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bault\Documents\stage recherche 3a\sonnet sim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5" i="1"/>
  <c r="DJ33" i="1" l="1"/>
  <c r="C162" i="1" l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B162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B161" i="1"/>
  <c r="CQ160" i="1"/>
  <c r="CR160" i="1"/>
  <c r="CS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B160" i="1"/>
  <c r="I2" i="1" l="1"/>
  <c r="I3" i="1"/>
  <c r="DI27" i="1"/>
  <c r="DI28" i="1"/>
  <c r="DI29" i="1"/>
  <c r="DI30" i="1"/>
  <c r="DI31" i="1"/>
  <c r="DI44" i="1" s="1"/>
  <c r="DI32" i="1"/>
  <c r="DI33" i="1"/>
  <c r="DI37" i="1" s="1"/>
  <c r="DI34" i="1"/>
  <c r="DI35" i="1"/>
  <c r="DI36" i="1"/>
  <c r="DI38" i="1"/>
  <c r="DI42" i="1" s="1"/>
  <c r="DI39" i="1"/>
  <c r="DI41" i="1" s="1"/>
  <c r="DI40" i="1"/>
  <c r="DI24" i="1"/>
  <c r="I5" i="1"/>
  <c r="DH27" i="1"/>
  <c r="DH28" i="1"/>
  <c r="DH29" i="1"/>
  <c r="DH30" i="1"/>
  <c r="DH31" i="1"/>
  <c r="DH44" i="1" s="1"/>
  <c r="DH32" i="1"/>
  <c r="DH33" i="1"/>
  <c r="DH37" i="1" s="1"/>
  <c r="DH34" i="1"/>
  <c r="DH35" i="1"/>
  <c r="DH36" i="1"/>
  <c r="DH38" i="1"/>
  <c r="DH42" i="1" s="1"/>
  <c r="DH39" i="1"/>
  <c r="DH40" i="1"/>
  <c r="DH41" i="1"/>
  <c r="DH24" i="1"/>
  <c r="DG27" i="1"/>
  <c r="DG28" i="1"/>
  <c r="DG29" i="1"/>
  <c r="DG30" i="1"/>
  <c r="DG31" i="1"/>
  <c r="DG32" i="1"/>
  <c r="DG33" i="1"/>
  <c r="DG37" i="1" s="1"/>
  <c r="DG34" i="1"/>
  <c r="DG35" i="1"/>
  <c r="DG36" i="1"/>
  <c r="DG38" i="1"/>
  <c r="DG42" i="1" s="1"/>
  <c r="DG39" i="1"/>
  <c r="DG41" i="1" s="1"/>
  <c r="DG40" i="1"/>
  <c r="DG44" i="1"/>
  <c r="DG24" i="1"/>
  <c r="DF27" i="1"/>
  <c r="DF28" i="1" s="1"/>
  <c r="DF29" i="1"/>
  <c r="DF30" i="1"/>
  <c r="DF31" i="1"/>
  <c r="DF32" i="1"/>
  <c r="DF33" i="1"/>
  <c r="DF36" i="1" s="1"/>
  <c r="DF35" i="1"/>
  <c r="DF38" i="1"/>
  <c r="DF42" i="1" s="1"/>
  <c r="DF39" i="1"/>
  <c r="DF40" i="1"/>
  <c r="DF41" i="1"/>
  <c r="DF44" i="1"/>
  <c r="DF24" i="1"/>
  <c r="CX24" i="1"/>
  <c r="DF34" i="1" l="1"/>
  <c r="DF37" i="1"/>
  <c r="DE27" i="1"/>
  <c r="DE28" i="1" s="1"/>
  <c r="DE29" i="1"/>
  <c r="DE30" i="1"/>
  <c r="DE31" i="1"/>
  <c r="DE32" i="1"/>
  <c r="DE33" i="1"/>
  <c r="DE37" i="1" s="1"/>
  <c r="DE34" i="1"/>
  <c r="DE35" i="1"/>
  <c r="DE36" i="1"/>
  <c r="DE38" i="1"/>
  <c r="DE42" i="1" s="1"/>
  <c r="DE39" i="1"/>
  <c r="DE41" i="1" s="1"/>
  <c r="DE40" i="1"/>
  <c r="DE44" i="1"/>
  <c r="DE24" i="1"/>
  <c r="FD17" i="1"/>
  <c r="DD27" i="1" l="1"/>
  <c r="DD28" i="1"/>
  <c r="DD29" i="1"/>
  <c r="DD30" i="1"/>
  <c r="DD31" i="1"/>
  <c r="DD44" i="1" s="1"/>
  <c r="DD32" i="1"/>
  <c r="DD33" i="1"/>
  <c r="DD37" i="1" s="1"/>
  <c r="DD34" i="1"/>
  <c r="DD35" i="1"/>
  <c r="DD36" i="1"/>
  <c r="DD38" i="1"/>
  <c r="DD42" i="1" s="1"/>
  <c r="DD39" i="1"/>
  <c r="DD41" i="1" s="1"/>
  <c r="DD40" i="1"/>
  <c r="DD24" i="1"/>
  <c r="EK10" i="1" l="1"/>
  <c r="EK11" i="1" s="1"/>
  <c r="EK12" i="1" s="1"/>
  <c r="EB10" i="1"/>
  <c r="EC10" i="1"/>
  <c r="ED10" i="1"/>
  <c r="EE10" i="1"/>
  <c r="EF10" i="1"/>
  <c r="EG10" i="1"/>
  <c r="EH10" i="1"/>
  <c r="EI10" i="1"/>
  <c r="EJ10" i="1"/>
  <c r="EB13" i="1"/>
  <c r="EC13" i="1"/>
  <c r="ED13" i="1"/>
  <c r="EE13" i="1"/>
  <c r="EF13" i="1"/>
  <c r="EG13" i="1"/>
  <c r="EH13" i="1"/>
  <c r="EI13" i="1"/>
  <c r="EJ13" i="1"/>
  <c r="EK13" i="1"/>
  <c r="EB7" i="1"/>
  <c r="EC7" i="1"/>
  <c r="ED7" i="1"/>
  <c r="EE7" i="1"/>
  <c r="EF7" i="1"/>
  <c r="EG7" i="1"/>
  <c r="EH7" i="1"/>
  <c r="EI7" i="1"/>
  <c r="EJ7" i="1"/>
  <c r="EK7" i="1"/>
  <c r="DA10" i="1"/>
  <c r="DA11" i="1" s="1"/>
  <c r="DI10" i="1"/>
  <c r="DI11" i="1" s="1"/>
  <c r="DQ10" i="1"/>
  <c r="DQ11" i="1" s="1"/>
  <c r="DY10" i="1"/>
  <c r="DY11" i="1" s="1"/>
  <c r="CX7" i="1"/>
  <c r="CY7" i="1"/>
  <c r="CY10" i="1" s="1"/>
  <c r="CY11" i="1" s="1"/>
  <c r="CZ7" i="1"/>
  <c r="CZ10" i="1" s="1"/>
  <c r="CZ11" i="1" s="1"/>
  <c r="DA7" i="1"/>
  <c r="DB7" i="1"/>
  <c r="DB10" i="1" s="1"/>
  <c r="DB11" i="1" s="1"/>
  <c r="DC7" i="1"/>
  <c r="DC10" i="1" s="1"/>
  <c r="DC11" i="1" s="1"/>
  <c r="DD7" i="1"/>
  <c r="DD10" i="1" s="1"/>
  <c r="DD11" i="1" s="1"/>
  <c r="DE7" i="1"/>
  <c r="DE10" i="1" s="1"/>
  <c r="DE11" i="1" s="1"/>
  <c r="DF7" i="1"/>
  <c r="DF10" i="1" s="1"/>
  <c r="DF11" i="1" s="1"/>
  <c r="DG7" i="1"/>
  <c r="DG10" i="1" s="1"/>
  <c r="DG11" i="1" s="1"/>
  <c r="DH7" i="1"/>
  <c r="DH10" i="1" s="1"/>
  <c r="DH11" i="1" s="1"/>
  <c r="DI7" i="1"/>
  <c r="DJ7" i="1"/>
  <c r="DJ10" i="1" s="1"/>
  <c r="DJ11" i="1" s="1"/>
  <c r="DK7" i="1"/>
  <c r="DK10" i="1" s="1"/>
  <c r="DK11" i="1" s="1"/>
  <c r="DL7" i="1"/>
  <c r="DL10" i="1" s="1"/>
  <c r="DL11" i="1" s="1"/>
  <c r="DM7" i="1"/>
  <c r="DM10" i="1" s="1"/>
  <c r="DM11" i="1" s="1"/>
  <c r="DN7" i="1"/>
  <c r="DN10" i="1" s="1"/>
  <c r="DN11" i="1" s="1"/>
  <c r="DO7" i="1"/>
  <c r="DO10" i="1" s="1"/>
  <c r="DO11" i="1" s="1"/>
  <c r="DP7" i="1"/>
  <c r="DP10" i="1" s="1"/>
  <c r="DP11" i="1" s="1"/>
  <c r="DQ7" i="1"/>
  <c r="DR7" i="1"/>
  <c r="DR10" i="1" s="1"/>
  <c r="DR11" i="1" s="1"/>
  <c r="DS7" i="1"/>
  <c r="DS10" i="1" s="1"/>
  <c r="DS11" i="1" s="1"/>
  <c r="DT7" i="1"/>
  <c r="DT10" i="1" s="1"/>
  <c r="DT11" i="1" s="1"/>
  <c r="DU7" i="1"/>
  <c r="DU10" i="1" s="1"/>
  <c r="DU11" i="1" s="1"/>
  <c r="DV7" i="1"/>
  <c r="DV10" i="1" s="1"/>
  <c r="DV11" i="1" s="1"/>
  <c r="DW7" i="1"/>
  <c r="DW10" i="1" s="1"/>
  <c r="DW11" i="1" s="1"/>
  <c r="DX7" i="1"/>
  <c r="DX10" i="1" s="1"/>
  <c r="DX11" i="1" s="1"/>
  <c r="DY7" i="1"/>
  <c r="DZ7" i="1"/>
  <c r="DZ10" i="1" s="1"/>
  <c r="DZ11" i="1" s="1"/>
  <c r="EA7" i="1"/>
  <c r="EA10" i="1" s="1"/>
  <c r="EA11" i="1" s="1"/>
  <c r="EL7" i="1"/>
  <c r="EM7" i="1"/>
  <c r="EN7" i="1"/>
  <c r="EO7" i="1"/>
  <c r="EP7" i="1"/>
  <c r="EQ7" i="1"/>
  <c r="ER7" i="1"/>
  <c r="ES7" i="1"/>
  <c r="ES11" i="1" s="1"/>
  <c r="ES12" i="1" s="1"/>
  <c r="ET7" i="1"/>
  <c r="EU7" i="1"/>
  <c r="EV7" i="1"/>
  <c r="EW7" i="1"/>
  <c r="EX7" i="1"/>
  <c r="EY7" i="1"/>
  <c r="EZ7" i="1"/>
  <c r="EL10" i="1"/>
  <c r="EL11" i="1" s="1"/>
  <c r="EM10" i="1"/>
  <c r="EM11" i="1" s="1"/>
  <c r="EN10" i="1"/>
  <c r="EO10" i="1"/>
  <c r="EO11" i="1" s="1"/>
  <c r="EO12" i="1" s="1"/>
  <c r="EP10" i="1"/>
  <c r="EQ10" i="1"/>
  <c r="ER10" i="1"/>
  <c r="ER11" i="1" s="1"/>
  <c r="ER12" i="1" s="1"/>
  <c r="ES10" i="1"/>
  <c r="ET10" i="1"/>
  <c r="ET11" i="1" s="1"/>
  <c r="ET12" i="1" s="1"/>
  <c r="EU10" i="1"/>
  <c r="EV10" i="1"/>
  <c r="EW10" i="1"/>
  <c r="EW11" i="1" s="1"/>
  <c r="EW12" i="1" s="1"/>
  <c r="EX10" i="1"/>
  <c r="EY10" i="1"/>
  <c r="EZ10" i="1"/>
  <c r="EZ11" i="1" s="1"/>
  <c r="EZ12" i="1" s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Q10" i="1"/>
  <c r="FQ11" i="1" s="1"/>
  <c r="FK10" i="1"/>
  <c r="FK11" i="1" s="1"/>
  <c r="FJ10" i="1"/>
  <c r="FJ11" i="1" s="1"/>
  <c r="FI10" i="1"/>
  <c r="FI11" i="1" s="1"/>
  <c r="FH10" i="1"/>
  <c r="FH11" i="1" s="1"/>
  <c r="FG10" i="1"/>
  <c r="FG11" i="1" s="1"/>
  <c r="FF10" i="1"/>
  <c r="FF11" i="1" s="1"/>
  <c r="FE10" i="1"/>
  <c r="FE11" i="1" s="1"/>
  <c r="FD10" i="1"/>
  <c r="FD11" i="1" s="1"/>
  <c r="GJ7" i="1"/>
  <c r="GJ10" i="1" s="1"/>
  <c r="GJ11" i="1" s="1"/>
  <c r="GI7" i="1"/>
  <c r="GI10" i="1" s="1"/>
  <c r="GI11" i="1" s="1"/>
  <c r="GH7" i="1"/>
  <c r="GH10" i="1" s="1"/>
  <c r="GH11" i="1" s="1"/>
  <c r="GG7" i="1"/>
  <c r="GG10" i="1" s="1"/>
  <c r="GG11" i="1" s="1"/>
  <c r="GF7" i="1"/>
  <c r="GF10" i="1" s="1"/>
  <c r="GF11" i="1" s="1"/>
  <c r="GE7" i="1"/>
  <c r="GE10" i="1" s="1"/>
  <c r="GE11" i="1" s="1"/>
  <c r="GD7" i="1"/>
  <c r="GC7" i="1"/>
  <c r="GC10" i="1" s="1"/>
  <c r="GC11" i="1" s="1"/>
  <c r="GB7" i="1"/>
  <c r="GB10" i="1" s="1"/>
  <c r="GB11" i="1" s="1"/>
  <c r="GA7" i="1"/>
  <c r="GA10" i="1" s="1"/>
  <c r="GA11" i="1" s="1"/>
  <c r="FZ7" i="1"/>
  <c r="FZ10" i="1" s="1"/>
  <c r="FZ11" i="1" s="1"/>
  <c r="FY7" i="1"/>
  <c r="FY10" i="1" s="1"/>
  <c r="FY11" i="1" s="1"/>
  <c r="FX7" i="1"/>
  <c r="FX10" i="1" s="1"/>
  <c r="FX11" i="1" s="1"/>
  <c r="FW7" i="1"/>
  <c r="FW10" i="1" s="1"/>
  <c r="FW11" i="1" s="1"/>
  <c r="FV7" i="1"/>
  <c r="FU7" i="1"/>
  <c r="FU10" i="1" s="1"/>
  <c r="FU11" i="1" s="1"/>
  <c r="FT7" i="1"/>
  <c r="FS7" i="1"/>
  <c r="FS10" i="1" s="1"/>
  <c r="FS11" i="1" s="1"/>
  <c r="FR7" i="1"/>
  <c r="FR10" i="1" s="1"/>
  <c r="FR11" i="1" s="1"/>
  <c r="FQ7" i="1"/>
  <c r="FP7" i="1"/>
  <c r="FP10" i="1" s="1"/>
  <c r="FP11" i="1" s="1"/>
  <c r="FO7" i="1"/>
  <c r="FO10" i="1" s="1"/>
  <c r="FO11" i="1" s="1"/>
  <c r="FN7" i="1"/>
  <c r="FM7" i="1"/>
  <c r="FM10" i="1" s="1"/>
  <c r="FM11" i="1" s="1"/>
  <c r="FL7" i="1"/>
  <c r="FK7" i="1"/>
  <c r="FJ7" i="1"/>
  <c r="FI7" i="1"/>
  <c r="FH7" i="1"/>
  <c r="FG7" i="1"/>
  <c r="FF7" i="1"/>
  <c r="FE7" i="1"/>
  <c r="FD7" i="1"/>
  <c r="FC7" i="1"/>
  <c r="FC10" i="1" s="1"/>
  <c r="FC11" i="1" s="1"/>
  <c r="FB7" i="1"/>
  <c r="EU11" i="1" l="1"/>
  <c r="EU12" i="1" s="1"/>
  <c r="EE11" i="1"/>
  <c r="EE12" i="1" s="1"/>
  <c r="ED11" i="1"/>
  <c r="ED12" i="1" s="1"/>
  <c r="EH11" i="1"/>
  <c r="EH12" i="1" s="1"/>
  <c r="EG11" i="1"/>
  <c r="EG12" i="1" s="1"/>
  <c r="EC11" i="1"/>
  <c r="EI11" i="1"/>
  <c r="EI12" i="1" s="1"/>
  <c r="EF11" i="1"/>
  <c r="EF12" i="1" s="1"/>
  <c r="EJ11" i="1"/>
  <c r="EJ12" i="1" s="1"/>
  <c r="EB11" i="1"/>
  <c r="EL12" i="1"/>
  <c r="EM12" i="1"/>
  <c r="EY11" i="1"/>
  <c r="EY12" i="1" s="1"/>
  <c r="EQ11" i="1"/>
  <c r="EQ12" i="1" s="1"/>
  <c r="EP11" i="1"/>
  <c r="EP12" i="1" s="1"/>
  <c r="EX11" i="1"/>
  <c r="EX12" i="1" s="1"/>
  <c r="EV11" i="1"/>
  <c r="EV12" i="1" s="1"/>
  <c r="EN11" i="1"/>
  <c r="EN12" i="1" s="1"/>
  <c r="FN10" i="1"/>
  <c r="FN11" i="1" s="1"/>
  <c r="FV10" i="1"/>
  <c r="FV11" i="1" s="1"/>
  <c r="GD10" i="1"/>
  <c r="GD11" i="1" s="1"/>
  <c r="FL10" i="1"/>
  <c r="FL11" i="1" s="1"/>
  <c r="FT10" i="1"/>
  <c r="FT11" i="1" s="1"/>
  <c r="CW13" i="1"/>
  <c r="DG13" i="1"/>
  <c r="EB12" i="1" l="1"/>
  <c r="EC12" i="1"/>
  <c r="DG12" i="1"/>
  <c r="CW7" i="1"/>
  <c r="CX10" i="1" s="1"/>
  <c r="CX11" i="1" s="1"/>
  <c r="DC24" i="1" l="1"/>
  <c r="DC27" i="1" s="1"/>
  <c r="DC28" i="1" s="1"/>
  <c r="DC29" i="1"/>
  <c r="DC30" i="1"/>
  <c r="DC31" i="1"/>
  <c r="DC32" i="1"/>
  <c r="DC33" i="1"/>
  <c r="DC34" i="1" s="1"/>
  <c r="DC35" i="1"/>
  <c r="DC41" i="1" s="1"/>
  <c r="DC36" i="1"/>
  <c r="DC37" i="1"/>
  <c r="DC38" i="1"/>
  <c r="DC42" i="1" s="1"/>
  <c r="DC39" i="1"/>
  <c r="DC40" i="1"/>
  <c r="DC44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B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J157" i="1"/>
  <c r="CK157" i="1"/>
  <c r="CL157" i="1"/>
  <c r="CM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B157" i="1"/>
  <c r="DB24" i="1"/>
  <c r="DB30" i="1" s="1"/>
  <c r="DB27" i="1"/>
  <c r="DB28" i="1" s="1"/>
  <c r="DB29" i="1"/>
  <c r="DB31" i="1"/>
  <c r="DB44" i="1" s="1"/>
  <c r="DB32" i="1"/>
  <c r="DB35" i="1"/>
  <c r="DB38" i="1"/>
  <c r="DB42" i="1" s="1"/>
  <c r="DB39" i="1"/>
  <c r="DA27" i="1"/>
  <c r="DA28" i="1" s="1"/>
  <c r="DA29" i="1"/>
  <c r="DA30" i="1"/>
  <c r="DA31" i="1"/>
  <c r="DA32" i="1"/>
  <c r="DA33" i="1"/>
  <c r="DA36" i="1" s="1"/>
  <c r="DA35" i="1"/>
  <c r="DA38" i="1"/>
  <c r="DA42" i="1" s="1"/>
  <c r="DA39" i="1"/>
  <c r="DA41" i="1" s="1"/>
  <c r="DA40" i="1"/>
  <c r="DA44" i="1"/>
  <c r="DA24" i="1"/>
  <c r="DB33" i="1" l="1"/>
  <c r="DB40" i="1"/>
  <c r="DB41" i="1" s="1"/>
  <c r="DA34" i="1"/>
  <c r="DA37" i="1"/>
  <c r="CZ27" i="1"/>
  <c r="CZ28" i="1" s="1"/>
  <c r="CZ29" i="1"/>
  <c r="CZ31" i="1"/>
  <c r="CZ32" i="1"/>
  <c r="CZ35" i="1"/>
  <c r="CZ38" i="1"/>
  <c r="CZ42" i="1" s="1"/>
  <c r="CZ44" i="1"/>
  <c r="CZ24" i="1"/>
  <c r="CZ39" i="1" s="1"/>
  <c r="DB36" i="1" l="1"/>
  <c r="DB37" i="1"/>
  <c r="DB34" i="1"/>
  <c r="CZ41" i="1"/>
  <c r="CZ33" i="1"/>
  <c r="CZ40" i="1"/>
  <c r="CZ30" i="1"/>
  <c r="CZ37" i="1"/>
  <c r="CY29" i="1"/>
  <c r="CY31" i="1"/>
  <c r="CY44" i="1" s="1"/>
  <c r="CY32" i="1"/>
  <c r="CY35" i="1"/>
  <c r="CY38" i="1"/>
  <c r="CY42" i="1" s="1"/>
  <c r="CY39" i="1"/>
  <c r="CY24" i="1"/>
  <c r="CY33" i="1" s="1"/>
  <c r="AD151" i="1"/>
  <c r="AE151" i="1"/>
  <c r="AF151" i="1"/>
  <c r="AG151" i="1"/>
  <c r="AH151" i="1"/>
  <c r="AI151" i="1"/>
  <c r="AJ151" i="1"/>
  <c r="AK151" i="1"/>
  <c r="AL151" i="1"/>
  <c r="AM151" i="1"/>
  <c r="AN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G151" i="1"/>
  <c r="H151" i="1"/>
  <c r="I151" i="1"/>
  <c r="J151" i="1"/>
  <c r="K151" i="1"/>
  <c r="L151" i="1"/>
  <c r="M151" i="1"/>
  <c r="F151" i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23" i="1"/>
  <c r="B122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B116" i="1"/>
  <c r="CY36" i="1" l="1"/>
  <c r="CY34" i="1"/>
  <c r="CY40" i="1"/>
  <c r="CY41" i="1" s="1"/>
  <c r="CY30" i="1"/>
  <c r="CY27" i="1"/>
  <c r="CY28" i="1" s="1"/>
  <c r="CZ36" i="1"/>
  <c r="CZ34" i="1"/>
  <c r="CY37" i="1"/>
  <c r="CX109" i="1"/>
  <c r="CW78" i="1"/>
  <c r="CW109" i="1" s="1"/>
  <c r="CX78" i="1"/>
  <c r="CY78" i="1"/>
  <c r="CY109" i="1" s="1"/>
  <c r="CV29" i="1"/>
  <c r="CW29" i="1"/>
  <c r="CX29" i="1"/>
  <c r="CV31" i="1"/>
  <c r="CW31" i="1"/>
  <c r="CX31" i="1"/>
  <c r="CV32" i="1"/>
  <c r="CW32" i="1"/>
  <c r="CX32" i="1"/>
  <c r="CV35" i="1"/>
  <c r="CW35" i="1"/>
  <c r="CX35" i="1"/>
  <c r="CV38" i="1"/>
  <c r="CV42" i="1" s="1"/>
  <c r="CW38" i="1"/>
  <c r="CW42" i="1" s="1"/>
  <c r="CX38" i="1"/>
  <c r="CX42" i="1" s="1"/>
  <c r="CV24" i="1"/>
  <c r="CV39" i="1" s="1"/>
  <c r="CW24" i="1"/>
  <c r="CW33" i="1" s="1"/>
  <c r="CW36" i="1" s="1"/>
  <c r="CX30" i="1"/>
  <c r="CH78" i="1"/>
  <c r="CI78" i="1"/>
  <c r="CJ78" i="1"/>
  <c r="CJ109" i="1" s="1"/>
  <c r="CK78" i="1"/>
  <c r="CK109" i="1" s="1"/>
  <c r="CL78" i="1"/>
  <c r="CM78" i="1"/>
  <c r="CN78" i="1"/>
  <c r="CN109" i="1" s="1"/>
  <c r="CO78" i="1"/>
  <c r="CO109" i="1" s="1"/>
  <c r="CP78" i="1"/>
  <c r="CQ78" i="1"/>
  <c r="CR78" i="1"/>
  <c r="CS78" i="1"/>
  <c r="CT78" i="1"/>
  <c r="CU78" i="1"/>
  <c r="CV78" i="1"/>
  <c r="CV109" i="1" s="1"/>
  <c r="CH109" i="1"/>
  <c r="CI109" i="1"/>
  <c r="CL109" i="1"/>
  <c r="CM109" i="1"/>
  <c r="CP109" i="1"/>
  <c r="CQ109" i="1"/>
  <c r="CR109" i="1"/>
  <c r="CS109" i="1"/>
  <c r="CT109" i="1"/>
  <c r="CU109" i="1"/>
  <c r="CW44" i="1" l="1"/>
  <c r="CW117" i="1"/>
  <c r="CW118" i="1" s="1"/>
  <c r="CW119" i="1" s="1"/>
  <c r="CV44" i="1"/>
  <c r="CV117" i="1"/>
  <c r="CV118" i="1" s="1"/>
  <c r="CV119" i="1" s="1"/>
  <c r="CX44" i="1"/>
  <c r="CX117" i="1"/>
  <c r="CX118" i="1" s="1"/>
  <c r="CX119" i="1" s="1"/>
  <c r="CV30" i="1"/>
  <c r="CV33" i="1"/>
  <c r="CV27" i="1"/>
  <c r="CV28" i="1" s="1"/>
  <c r="CV40" i="1"/>
  <c r="CV41" i="1" s="1"/>
  <c r="CX39" i="1"/>
  <c r="CX40" i="1"/>
  <c r="CW40" i="1"/>
  <c r="CX33" i="1"/>
  <c r="CX27" i="1"/>
  <c r="CX28" i="1" s="1"/>
  <c r="CW39" i="1"/>
  <c r="CW30" i="1"/>
  <c r="CW27" i="1"/>
  <c r="CW28" i="1" s="1"/>
  <c r="CW34" i="1"/>
  <c r="CW37" i="1"/>
  <c r="CS24" i="1"/>
  <c r="CS27" i="1" s="1"/>
  <c r="CS28" i="1" s="1"/>
  <c r="CT24" i="1"/>
  <c r="CU24" i="1"/>
  <c r="CU39" i="1" s="1"/>
  <c r="CT27" i="1"/>
  <c r="CT28" i="1" s="1"/>
  <c r="CU27" i="1"/>
  <c r="CU28" i="1" s="1"/>
  <c r="CS29" i="1"/>
  <c r="CT29" i="1"/>
  <c r="CU29" i="1"/>
  <c r="CS30" i="1"/>
  <c r="CT30" i="1"/>
  <c r="CS31" i="1"/>
  <c r="CT31" i="1"/>
  <c r="CT117" i="1" s="1"/>
  <c r="CT118" i="1" s="1"/>
  <c r="CT119" i="1" s="1"/>
  <c r="CU31" i="1"/>
  <c r="CU117" i="1" s="1"/>
  <c r="CU118" i="1" s="1"/>
  <c r="CU119" i="1" s="1"/>
  <c r="CS32" i="1"/>
  <c r="CT32" i="1"/>
  <c r="CU32" i="1"/>
  <c r="CS33" i="1"/>
  <c r="CS34" i="1" s="1"/>
  <c r="CT33" i="1"/>
  <c r="CT34" i="1" s="1"/>
  <c r="CS35" i="1"/>
  <c r="CT35" i="1"/>
  <c r="CU35" i="1"/>
  <c r="CT37" i="1"/>
  <c r="CS38" i="1"/>
  <c r="CS42" i="1" s="1"/>
  <c r="CT38" i="1"/>
  <c r="CT42" i="1" s="1"/>
  <c r="CU38" i="1"/>
  <c r="CU42" i="1" s="1"/>
  <c r="CT39" i="1"/>
  <c r="CS40" i="1"/>
  <c r="CT40" i="1"/>
  <c r="CU40" i="1"/>
  <c r="CT44" i="1"/>
  <c r="CP24" i="1"/>
  <c r="CP27" i="1" s="1"/>
  <c r="CP28" i="1" s="1"/>
  <c r="CQ24" i="1"/>
  <c r="CQ40" i="1" s="1"/>
  <c r="CR24" i="1"/>
  <c r="CR27" i="1" s="1"/>
  <c r="CR28" i="1" s="1"/>
  <c r="CP29" i="1"/>
  <c r="CQ29" i="1"/>
  <c r="CR29" i="1"/>
  <c r="CP30" i="1"/>
  <c r="CQ30" i="1"/>
  <c r="CR30" i="1"/>
  <c r="CP31" i="1"/>
  <c r="CP117" i="1" s="1"/>
  <c r="CP118" i="1" s="1"/>
  <c r="CP119" i="1" s="1"/>
  <c r="CQ31" i="1"/>
  <c r="CQ117" i="1" s="1"/>
  <c r="CQ118" i="1" s="1"/>
  <c r="CQ119" i="1" s="1"/>
  <c r="CR31" i="1"/>
  <c r="CR117" i="1" s="1"/>
  <c r="CR118" i="1" s="1"/>
  <c r="CR119" i="1" s="1"/>
  <c r="CP32" i="1"/>
  <c r="CQ32" i="1"/>
  <c r="CR32" i="1"/>
  <c r="CP33" i="1"/>
  <c r="CP34" i="1" s="1"/>
  <c r="CQ33" i="1"/>
  <c r="CQ34" i="1" s="1"/>
  <c r="CP35" i="1"/>
  <c r="CQ35" i="1"/>
  <c r="CR35" i="1"/>
  <c r="CP38" i="1"/>
  <c r="CP42" i="1" s="1"/>
  <c r="CQ38" i="1"/>
  <c r="CQ42" i="1" s="1"/>
  <c r="CR38" i="1"/>
  <c r="CR42" i="1" s="1"/>
  <c r="CP39" i="1"/>
  <c r="CQ39" i="1"/>
  <c r="CP40" i="1"/>
  <c r="CP41" i="1" s="1"/>
  <c r="CP44" i="1"/>
  <c r="CR44" i="1"/>
  <c r="CO24" i="1"/>
  <c r="CO27" i="1" s="1"/>
  <c r="CO28" i="1" s="1"/>
  <c r="CO29" i="1"/>
  <c r="CO31" i="1"/>
  <c r="CO32" i="1"/>
  <c r="CO33" i="1"/>
  <c r="CO34" i="1" s="1"/>
  <c r="CO35" i="1"/>
  <c r="CO38" i="1"/>
  <c r="CO42" i="1" s="1"/>
  <c r="CO39" i="1"/>
  <c r="CK24" i="1"/>
  <c r="CK27" i="1" s="1"/>
  <c r="CK28" i="1" s="1"/>
  <c r="CL24" i="1"/>
  <c r="CL39" i="1" s="1"/>
  <c r="CM24" i="1"/>
  <c r="CM39" i="1" s="1"/>
  <c r="CN24" i="1"/>
  <c r="CL27" i="1"/>
  <c r="CL28" i="1" s="1"/>
  <c r="CN27" i="1"/>
  <c r="CN28" i="1" s="1"/>
  <c r="CK29" i="1"/>
  <c r="CL29" i="1"/>
  <c r="CM29" i="1"/>
  <c r="CN29" i="1"/>
  <c r="CL30" i="1"/>
  <c r="CN30" i="1"/>
  <c r="CK31" i="1"/>
  <c r="CK117" i="1" s="1"/>
  <c r="CK118" i="1" s="1"/>
  <c r="CK119" i="1" s="1"/>
  <c r="CL31" i="1"/>
  <c r="CM31" i="1"/>
  <c r="CM117" i="1" s="1"/>
  <c r="CM118" i="1" s="1"/>
  <c r="CM119" i="1" s="1"/>
  <c r="CN31" i="1"/>
  <c r="CN117" i="1" s="1"/>
  <c r="CN118" i="1" s="1"/>
  <c r="CN119" i="1" s="1"/>
  <c r="CK32" i="1"/>
  <c r="CL32" i="1"/>
  <c r="CM32" i="1"/>
  <c r="CN32" i="1"/>
  <c r="CK33" i="1"/>
  <c r="CK34" i="1" s="1"/>
  <c r="CL33" i="1"/>
  <c r="CL34" i="1" s="1"/>
  <c r="CN33" i="1"/>
  <c r="CN34" i="1" s="1"/>
  <c r="CK35" i="1"/>
  <c r="CL35" i="1"/>
  <c r="CM35" i="1"/>
  <c r="CN35" i="1"/>
  <c r="CK36" i="1"/>
  <c r="CN36" i="1"/>
  <c r="CK38" i="1"/>
  <c r="CK42" i="1" s="1"/>
  <c r="CL38" i="1"/>
  <c r="CL42" i="1" s="1"/>
  <c r="CM38" i="1"/>
  <c r="CM42" i="1" s="1"/>
  <c r="CN38" i="1"/>
  <c r="CN42" i="1" s="1"/>
  <c r="CK39" i="1"/>
  <c r="CN39" i="1"/>
  <c r="CK40" i="1"/>
  <c r="CL40" i="1"/>
  <c r="CN40" i="1"/>
  <c r="CN41" i="1" s="1"/>
  <c r="CK44" i="1"/>
  <c r="CG24" i="1"/>
  <c r="CG27" i="1" s="1"/>
  <c r="CG28" i="1" s="1"/>
  <c r="CH24" i="1"/>
  <c r="CH27" i="1" s="1"/>
  <c r="CH28" i="1" s="1"/>
  <c r="CI24" i="1"/>
  <c r="CI27" i="1" s="1"/>
  <c r="CI28" i="1" s="1"/>
  <c r="CJ24" i="1"/>
  <c r="CJ40" i="1" s="1"/>
  <c r="CG29" i="1"/>
  <c r="CH29" i="1"/>
  <c r="CI29" i="1"/>
  <c r="CJ29" i="1"/>
  <c r="CH30" i="1"/>
  <c r="CI30" i="1"/>
  <c r="CJ30" i="1"/>
  <c r="CG31" i="1"/>
  <c r="CG117" i="1" s="1"/>
  <c r="CH31" i="1"/>
  <c r="CH117" i="1" s="1"/>
  <c r="CH118" i="1" s="1"/>
  <c r="CH119" i="1" s="1"/>
  <c r="CI31" i="1"/>
  <c r="CI117" i="1" s="1"/>
  <c r="CI118" i="1" s="1"/>
  <c r="CI119" i="1" s="1"/>
  <c r="CJ31" i="1"/>
  <c r="CG32" i="1"/>
  <c r="CH32" i="1"/>
  <c r="CI32" i="1"/>
  <c r="CJ32" i="1"/>
  <c r="CI33" i="1"/>
  <c r="CI34" i="1" s="1"/>
  <c r="CG35" i="1"/>
  <c r="CH35" i="1"/>
  <c r="CI35" i="1"/>
  <c r="CJ35" i="1"/>
  <c r="CG38" i="1"/>
  <c r="CG42" i="1" s="1"/>
  <c r="CH38" i="1"/>
  <c r="CI38" i="1"/>
  <c r="CI42" i="1" s="1"/>
  <c r="CJ38" i="1"/>
  <c r="CJ42" i="1" s="1"/>
  <c r="CG39" i="1"/>
  <c r="CI39" i="1"/>
  <c r="CH40" i="1"/>
  <c r="CH42" i="1"/>
  <c r="CI44" i="1"/>
  <c r="CF24" i="1"/>
  <c r="CF27" i="1" s="1"/>
  <c r="CF28" i="1" s="1"/>
  <c r="CF29" i="1"/>
  <c r="CF31" i="1"/>
  <c r="CF32" i="1"/>
  <c r="CF35" i="1"/>
  <c r="CF38" i="1"/>
  <c r="CF42" i="1" s="1"/>
  <c r="CF40" i="1"/>
  <c r="CE24" i="1"/>
  <c r="CE27" i="1" s="1"/>
  <c r="CE28" i="1" s="1"/>
  <c r="CE29" i="1"/>
  <c r="CE30" i="1"/>
  <c r="CE31" i="1"/>
  <c r="CE32" i="1"/>
  <c r="CE33" i="1"/>
  <c r="CE34" i="1" s="1"/>
  <c r="CE35" i="1"/>
  <c r="CE37" i="1"/>
  <c r="CE38" i="1"/>
  <c r="CE42" i="1" s="1"/>
  <c r="CE39" i="1"/>
  <c r="CE41" i="1" s="1"/>
  <c r="CE40" i="1"/>
  <c r="CD24" i="1"/>
  <c r="CD27" i="1" s="1"/>
  <c r="CD28" i="1" s="1"/>
  <c r="CD29" i="1"/>
  <c r="CD30" i="1"/>
  <c r="CD31" i="1"/>
  <c r="CD32" i="1"/>
  <c r="CD35" i="1"/>
  <c r="CD38" i="1"/>
  <c r="CD42" i="1" s="1"/>
  <c r="CD39" i="1"/>
  <c r="BZ78" i="1"/>
  <c r="BZ109" i="1" s="1"/>
  <c r="CA78" i="1"/>
  <c r="CA109" i="1" s="1"/>
  <c r="CB78" i="1"/>
  <c r="CB109" i="1" s="1"/>
  <c r="CC78" i="1"/>
  <c r="CC109" i="1" s="1"/>
  <c r="CD78" i="1"/>
  <c r="CD109" i="1" s="1"/>
  <c r="CE78" i="1"/>
  <c r="CE109" i="1" s="1"/>
  <c r="CF78" i="1"/>
  <c r="CF109" i="1" s="1"/>
  <c r="CG78" i="1"/>
  <c r="CG109" i="1" s="1"/>
  <c r="BF78" i="1"/>
  <c r="BF109" i="1" s="1"/>
  <c r="BG78" i="1"/>
  <c r="BG109" i="1" s="1"/>
  <c r="BH78" i="1"/>
  <c r="BH109" i="1" s="1"/>
  <c r="BI78" i="1"/>
  <c r="BI109" i="1" s="1"/>
  <c r="BJ78" i="1"/>
  <c r="BJ109" i="1" s="1"/>
  <c r="BK78" i="1"/>
  <c r="BK109" i="1" s="1"/>
  <c r="BL78" i="1"/>
  <c r="BL109" i="1" s="1"/>
  <c r="BM78" i="1"/>
  <c r="BM109" i="1" s="1"/>
  <c r="BN78" i="1"/>
  <c r="BN109" i="1" s="1"/>
  <c r="BO78" i="1"/>
  <c r="BO109" i="1" s="1"/>
  <c r="BP78" i="1"/>
  <c r="BP109" i="1" s="1"/>
  <c r="CC29" i="1"/>
  <c r="CC31" i="1"/>
  <c r="CC32" i="1"/>
  <c r="CC35" i="1"/>
  <c r="CC38" i="1"/>
  <c r="CC42" i="1" s="1"/>
  <c r="CC24" i="1"/>
  <c r="CC27" i="1" s="1"/>
  <c r="CC28" i="1" s="1"/>
  <c r="CB24" i="1"/>
  <c r="CB30" i="1" s="1"/>
  <c r="CB29" i="1"/>
  <c r="CB31" i="1"/>
  <c r="CB117" i="1" s="1"/>
  <c r="CB32" i="1"/>
  <c r="CB35" i="1"/>
  <c r="CB38" i="1"/>
  <c r="CB42" i="1" s="1"/>
  <c r="CB44" i="1"/>
  <c r="BZ38" i="1"/>
  <c r="BZ42" i="1" s="1"/>
  <c r="CA38" i="1"/>
  <c r="CA42" i="1"/>
  <c r="BD38" i="1"/>
  <c r="BE38" i="1"/>
  <c r="BF38" i="1"/>
  <c r="BG38" i="1"/>
  <c r="BH38" i="1"/>
  <c r="BI38" i="1"/>
  <c r="BI42" i="1" s="1"/>
  <c r="BJ38" i="1"/>
  <c r="BK38" i="1"/>
  <c r="BK42" i="1" s="1"/>
  <c r="BL38" i="1"/>
  <c r="BM38" i="1"/>
  <c r="BN38" i="1"/>
  <c r="BO38" i="1"/>
  <c r="BP38" i="1"/>
  <c r="BQ38" i="1"/>
  <c r="BQ42" i="1" s="1"/>
  <c r="BR38" i="1"/>
  <c r="BS38" i="1"/>
  <c r="BS42" i="1" s="1"/>
  <c r="BT38" i="1"/>
  <c r="BU38" i="1"/>
  <c r="BV38" i="1"/>
  <c r="BW38" i="1"/>
  <c r="BX38" i="1"/>
  <c r="BY38" i="1"/>
  <c r="BY42" i="1" s="1"/>
  <c r="BD42" i="1"/>
  <c r="BE42" i="1"/>
  <c r="BF42" i="1"/>
  <c r="BG42" i="1"/>
  <c r="BH42" i="1"/>
  <c r="BJ42" i="1"/>
  <c r="BL42" i="1"/>
  <c r="BM42" i="1"/>
  <c r="BN42" i="1"/>
  <c r="BO42" i="1"/>
  <c r="BP42" i="1"/>
  <c r="BR42" i="1"/>
  <c r="BT42" i="1"/>
  <c r="BU42" i="1"/>
  <c r="BV42" i="1"/>
  <c r="BW42" i="1"/>
  <c r="BX42" i="1"/>
  <c r="AP38" i="1"/>
  <c r="AQ38" i="1"/>
  <c r="AR38" i="1"/>
  <c r="AR42" i="1" s="1"/>
  <c r="AS38" i="1"/>
  <c r="AT38" i="1"/>
  <c r="AU38" i="1"/>
  <c r="AV38" i="1"/>
  <c r="AV42" i="1" s="1"/>
  <c r="AW38" i="1"/>
  <c r="AW42" i="1" s="1"/>
  <c r="AX38" i="1"/>
  <c r="AY38" i="1"/>
  <c r="AZ38" i="1"/>
  <c r="AZ42" i="1" s="1"/>
  <c r="BA38" i="1"/>
  <c r="BB38" i="1"/>
  <c r="BC38" i="1"/>
  <c r="AP42" i="1"/>
  <c r="AQ42" i="1"/>
  <c r="AS42" i="1"/>
  <c r="AT42" i="1"/>
  <c r="AU42" i="1"/>
  <c r="AX42" i="1"/>
  <c r="AY42" i="1"/>
  <c r="BA42" i="1"/>
  <c r="BB42" i="1"/>
  <c r="BC42" i="1"/>
  <c r="CD33" i="1" l="1"/>
  <c r="CD34" i="1" s="1"/>
  <c r="CJ39" i="1"/>
  <c r="CJ41" i="1" s="1"/>
  <c r="CI37" i="1"/>
  <c r="CJ33" i="1"/>
  <c r="CJ37" i="1" s="1"/>
  <c r="CM44" i="1"/>
  <c r="CK37" i="1"/>
  <c r="CK30" i="1"/>
  <c r="CQ44" i="1"/>
  <c r="CR33" i="1"/>
  <c r="CR36" i="1" s="1"/>
  <c r="CQ27" i="1"/>
  <c r="CQ28" i="1" s="1"/>
  <c r="CT36" i="1"/>
  <c r="CW41" i="1"/>
  <c r="CD44" i="1"/>
  <c r="CD117" i="1"/>
  <c r="CD118" i="1" s="1"/>
  <c r="CD119" i="1" s="1"/>
  <c r="CF39" i="1"/>
  <c r="CF41" i="1" s="1"/>
  <c r="CH39" i="1"/>
  <c r="CI36" i="1"/>
  <c r="CH33" i="1"/>
  <c r="CG118" i="1"/>
  <c r="CG119" i="1" s="1"/>
  <c r="CJ27" i="1"/>
  <c r="CJ28" i="1" s="1"/>
  <c r="CM33" i="1"/>
  <c r="CT41" i="1"/>
  <c r="CL44" i="1"/>
  <c r="CL117" i="1"/>
  <c r="CL118" i="1" s="1"/>
  <c r="CL119" i="1" s="1"/>
  <c r="CO44" i="1"/>
  <c r="CO117" i="1"/>
  <c r="CO118" i="1" s="1"/>
  <c r="CO119" i="1" s="1"/>
  <c r="CR40" i="1"/>
  <c r="CS39" i="1"/>
  <c r="CS41" i="1" s="1"/>
  <c r="CS44" i="1"/>
  <c r="CS117" i="1"/>
  <c r="CS118" i="1" s="1"/>
  <c r="CS119" i="1" s="1"/>
  <c r="CU41" i="1"/>
  <c r="CM40" i="1"/>
  <c r="CM41" i="1" s="1"/>
  <c r="CC33" i="1"/>
  <c r="CC36" i="1" s="1"/>
  <c r="CD40" i="1"/>
  <c r="CD41" i="1" s="1"/>
  <c r="CG44" i="1"/>
  <c r="CO40" i="1"/>
  <c r="CO30" i="1"/>
  <c r="CP36" i="1"/>
  <c r="CU44" i="1"/>
  <c r="CX41" i="1"/>
  <c r="CE44" i="1"/>
  <c r="CE117" i="1"/>
  <c r="CE118" i="1" s="1"/>
  <c r="CE119" i="1" s="1"/>
  <c r="CF33" i="1"/>
  <c r="CF34" i="1" s="1"/>
  <c r="CK41" i="1"/>
  <c r="CL41" i="1"/>
  <c r="CO41" i="1"/>
  <c r="CB118" i="1"/>
  <c r="CB119" i="1" s="1"/>
  <c r="CC44" i="1"/>
  <c r="CC117" i="1"/>
  <c r="CC118" i="1" s="1"/>
  <c r="CC119" i="1" s="1"/>
  <c r="CN37" i="1"/>
  <c r="CM30" i="1"/>
  <c r="CM27" i="1"/>
  <c r="CM28" i="1" s="1"/>
  <c r="CR39" i="1"/>
  <c r="CQ41" i="1"/>
  <c r="CH44" i="1"/>
  <c r="CF44" i="1"/>
  <c r="CF117" i="1"/>
  <c r="CF118" i="1" s="1"/>
  <c r="CF119" i="1" s="1"/>
  <c r="CJ44" i="1"/>
  <c r="CJ117" i="1"/>
  <c r="CJ118" i="1" s="1"/>
  <c r="CJ119" i="1" s="1"/>
  <c r="CN44" i="1"/>
  <c r="CO36" i="1"/>
  <c r="CV34" i="1"/>
  <c r="CV37" i="1"/>
  <c r="CV36" i="1"/>
  <c r="CX36" i="1"/>
  <c r="CX37" i="1"/>
  <c r="CX34" i="1"/>
  <c r="CU33" i="1"/>
  <c r="CS36" i="1"/>
  <c r="CU30" i="1"/>
  <c r="CS37" i="1"/>
  <c r="CQ36" i="1"/>
  <c r="CR37" i="1"/>
  <c r="CQ37" i="1"/>
  <c r="CR34" i="1"/>
  <c r="CP37" i="1"/>
  <c r="CO37" i="1"/>
  <c r="CL37" i="1"/>
  <c r="CL36" i="1"/>
  <c r="CI40" i="1"/>
  <c r="CI41" i="1" s="1"/>
  <c r="CH41" i="1"/>
  <c r="CG40" i="1"/>
  <c r="CG41" i="1" s="1"/>
  <c r="CG30" i="1"/>
  <c r="CG33" i="1"/>
  <c r="CJ36" i="1"/>
  <c r="CJ34" i="1"/>
  <c r="CF30" i="1"/>
  <c r="CF37" i="1"/>
  <c r="CF36" i="1"/>
  <c r="CE36" i="1"/>
  <c r="CD37" i="1"/>
  <c r="CD36" i="1"/>
  <c r="CC40" i="1"/>
  <c r="CC30" i="1"/>
  <c r="CC39" i="1"/>
  <c r="CC34" i="1"/>
  <c r="CC37" i="1"/>
  <c r="CB27" i="1"/>
  <c r="CB28" i="1" s="1"/>
  <c r="CB33" i="1"/>
  <c r="CB40" i="1"/>
  <c r="CB39" i="1"/>
  <c r="BL104" i="1"/>
  <c r="BL105" i="1" s="1"/>
  <c r="CA35" i="1"/>
  <c r="CA32" i="1"/>
  <c r="CA31" i="1"/>
  <c r="CA30" i="1"/>
  <c r="CA29" i="1"/>
  <c r="CA27" i="1"/>
  <c r="CA28" i="1" s="1"/>
  <c r="BZ24" i="1"/>
  <c r="CA24" i="1"/>
  <c r="BZ29" i="1"/>
  <c r="BZ31" i="1"/>
  <c r="BZ32" i="1"/>
  <c r="BZ35" i="1"/>
  <c r="C78" i="1"/>
  <c r="C109" i="1" s="1"/>
  <c r="D78" i="1"/>
  <c r="D109" i="1" s="1"/>
  <c r="E78" i="1"/>
  <c r="E109" i="1" s="1"/>
  <c r="F78" i="1"/>
  <c r="F109" i="1" s="1"/>
  <c r="G78" i="1"/>
  <c r="G109" i="1" s="1"/>
  <c r="H78" i="1"/>
  <c r="H109" i="1" s="1"/>
  <c r="I78" i="1"/>
  <c r="I109" i="1" s="1"/>
  <c r="J78" i="1"/>
  <c r="J109" i="1" s="1"/>
  <c r="K78" i="1"/>
  <c r="K109" i="1" s="1"/>
  <c r="L78" i="1"/>
  <c r="L109" i="1" s="1"/>
  <c r="M78" i="1"/>
  <c r="M109" i="1" s="1"/>
  <c r="N78" i="1"/>
  <c r="N109" i="1" s="1"/>
  <c r="O78" i="1"/>
  <c r="O109" i="1" s="1"/>
  <c r="P78" i="1"/>
  <c r="P109" i="1" s="1"/>
  <c r="Q78" i="1"/>
  <c r="Q109" i="1" s="1"/>
  <c r="R78" i="1"/>
  <c r="R109" i="1" s="1"/>
  <c r="S78" i="1"/>
  <c r="S109" i="1" s="1"/>
  <c r="T78" i="1"/>
  <c r="T109" i="1" s="1"/>
  <c r="U78" i="1"/>
  <c r="U109" i="1" s="1"/>
  <c r="V78" i="1"/>
  <c r="V109" i="1" s="1"/>
  <c r="W78" i="1"/>
  <c r="W109" i="1" s="1"/>
  <c r="X78" i="1"/>
  <c r="X109" i="1" s="1"/>
  <c r="Y78" i="1"/>
  <c r="Y109" i="1" s="1"/>
  <c r="Z78" i="1"/>
  <c r="Z109" i="1" s="1"/>
  <c r="AA78" i="1"/>
  <c r="AA109" i="1" s="1"/>
  <c r="AB78" i="1"/>
  <c r="AB109" i="1" s="1"/>
  <c r="AC78" i="1"/>
  <c r="AC109" i="1" s="1"/>
  <c r="AD78" i="1"/>
  <c r="AD109" i="1" s="1"/>
  <c r="AE78" i="1"/>
  <c r="AE109" i="1" s="1"/>
  <c r="AF78" i="1"/>
  <c r="AF109" i="1" s="1"/>
  <c r="AG78" i="1"/>
  <c r="AG109" i="1" s="1"/>
  <c r="AH78" i="1"/>
  <c r="AH109" i="1" s="1"/>
  <c r="AI78" i="1"/>
  <c r="AI109" i="1" s="1"/>
  <c r="AJ78" i="1"/>
  <c r="AJ109" i="1" s="1"/>
  <c r="AK78" i="1"/>
  <c r="AK109" i="1" s="1"/>
  <c r="AL78" i="1"/>
  <c r="AL109" i="1" s="1"/>
  <c r="AM78" i="1"/>
  <c r="AM109" i="1" s="1"/>
  <c r="AN78" i="1"/>
  <c r="AN109" i="1" s="1"/>
  <c r="AO78" i="1"/>
  <c r="AO109" i="1" s="1"/>
  <c r="AP78" i="1"/>
  <c r="AP109" i="1" s="1"/>
  <c r="AQ78" i="1"/>
  <c r="AQ109" i="1" s="1"/>
  <c r="AR78" i="1"/>
  <c r="AR109" i="1" s="1"/>
  <c r="AS78" i="1"/>
  <c r="AS109" i="1" s="1"/>
  <c r="AT78" i="1"/>
  <c r="AT109" i="1" s="1"/>
  <c r="AU78" i="1"/>
  <c r="AU109" i="1" s="1"/>
  <c r="AV78" i="1"/>
  <c r="AV109" i="1" s="1"/>
  <c r="AW78" i="1"/>
  <c r="AW109" i="1" s="1"/>
  <c r="AX78" i="1"/>
  <c r="AX109" i="1" s="1"/>
  <c r="AY78" i="1"/>
  <c r="AY109" i="1" s="1"/>
  <c r="AZ78" i="1"/>
  <c r="AZ109" i="1" s="1"/>
  <c r="BA78" i="1"/>
  <c r="BA109" i="1" s="1"/>
  <c r="BB78" i="1"/>
  <c r="BB109" i="1" s="1"/>
  <c r="BC78" i="1"/>
  <c r="BC109" i="1" s="1"/>
  <c r="BD78" i="1"/>
  <c r="BD109" i="1" s="1"/>
  <c r="B78" i="1"/>
  <c r="B109" i="1" s="1"/>
  <c r="BQ32" i="1"/>
  <c r="BR32" i="1"/>
  <c r="BS32" i="1"/>
  <c r="BT32" i="1"/>
  <c r="BU32" i="1"/>
  <c r="BV32" i="1"/>
  <c r="BW32" i="1"/>
  <c r="BX32" i="1"/>
  <c r="BY32" i="1"/>
  <c r="BQ35" i="1"/>
  <c r="BR35" i="1"/>
  <c r="BS35" i="1"/>
  <c r="BT35" i="1"/>
  <c r="BU35" i="1"/>
  <c r="BV35" i="1"/>
  <c r="BW35" i="1"/>
  <c r="BX35" i="1"/>
  <c r="BY35" i="1"/>
  <c r="BQ23" i="1"/>
  <c r="BP29" i="1"/>
  <c r="BP31" i="1"/>
  <c r="BP32" i="1"/>
  <c r="BP33" i="1"/>
  <c r="BP36" i="1" s="1"/>
  <c r="BP34" i="1"/>
  <c r="BP35" i="1"/>
  <c r="BP24" i="1"/>
  <c r="BP30" i="1" s="1"/>
  <c r="BM24" i="1"/>
  <c r="BN24" i="1"/>
  <c r="BO24" i="1"/>
  <c r="BM29" i="1"/>
  <c r="BN29" i="1"/>
  <c r="BO29" i="1"/>
  <c r="BM31" i="1"/>
  <c r="BN31" i="1"/>
  <c r="BO31" i="1"/>
  <c r="BM32" i="1"/>
  <c r="BN32" i="1"/>
  <c r="BO32" i="1"/>
  <c r="BN33" i="1"/>
  <c r="BN34" i="1" s="1"/>
  <c r="BM35" i="1"/>
  <c r="BN35" i="1"/>
  <c r="BO35" i="1"/>
  <c r="BL24" i="1"/>
  <c r="BL29" i="1"/>
  <c r="BL31" i="1"/>
  <c r="BL32" i="1"/>
  <c r="BL33" i="1"/>
  <c r="BL34" i="1" s="1"/>
  <c r="BL35" i="1"/>
  <c r="BJ29" i="1"/>
  <c r="BK29" i="1"/>
  <c r="BJ31" i="1"/>
  <c r="BK31" i="1"/>
  <c r="BJ32" i="1"/>
  <c r="BK32" i="1"/>
  <c r="BJ35" i="1"/>
  <c r="BK35" i="1"/>
  <c r="BJ24" i="1"/>
  <c r="BK24" i="1"/>
  <c r="BF35" i="1"/>
  <c r="BG35" i="1"/>
  <c r="BH35" i="1"/>
  <c r="BI35" i="1"/>
  <c r="BF32" i="1"/>
  <c r="BG32" i="1"/>
  <c r="BH32" i="1"/>
  <c r="BI32" i="1"/>
  <c r="BF31" i="1"/>
  <c r="BG31" i="1"/>
  <c r="BH31" i="1"/>
  <c r="BI31" i="1"/>
  <c r="BF29" i="1"/>
  <c r="BG29" i="1"/>
  <c r="BH29" i="1"/>
  <c r="BI29" i="1"/>
  <c r="BI24" i="1"/>
  <c r="BF24" i="1"/>
  <c r="BG24" i="1"/>
  <c r="CB41" i="1" l="1"/>
  <c r="BF27" i="1"/>
  <c r="BF28" i="1" s="1"/>
  <c r="BF40" i="1"/>
  <c r="BF41" i="1" s="1"/>
  <c r="BF39" i="1"/>
  <c r="BQ39" i="1"/>
  <c r="BQ78" i="1"/>
  <c r="BQ109" i="1" s="1"/>
  <c r="BL27" i="1"/>
  <c r="BL28" i="1" s="1"/>
  <c r="BL40" i="1"/>
  <c r="BL39" i="1"/>
  <c r="BN27" i="1"/>
  <c r="BN28" i="1" s="1"/>
  <c r="BN40" i="1"/>
  <c r="BN39" i="1"/>
  <c r="CA33" i="1"/>
  <c r="CA104" i="1" s="1"/>
  <c r="CA105" i="1" s="1"/>
  <c r="CA39" i="1"/>
  <c r="CA41" i="1" s="1"/>
  <c r="CA40" i="1"/>
  <c r="BQ27" i="1"/>
  <c r="BQ28" i="1" s="1"/>
  <c r="BJ117" i="1"/>
  <c r="BJ118" i="1" s="1"/>
  <c r="BJ119" i="1" s="1"/>
  <c r="BJ44" i="1"/>
  <c r="BZ117" i="1"/>
  <c r="BZ118" i="1" s="1"/>
  <c r="BZ119" i="1" s="1"/>
  <c r="BZ44" i="1"/>
  <c r="BO27" i="1"/>
  <c r="BO28" i="1" s="1"/>
  <c r="BO39" i="1"/>
  <c r="BO40" i="1"/>
  <c r="BJ33" i="1"/>
  <c r="BJ104" i="1" s="1"/>
  <c r="BJ105" i="1" s="1"/>
  <c r="BJ40" i="1"/>
  <c r="BJ39" i="1"/>
  <c r="BJ41" i="1" s="1"/>
  <c r="BJ27" i="1"/>
  <c r="BJ28" i="1" s="1"/>
  <c r="BO117" i="1"/>
  <c r="BO118" i="1" s="1"/>
  <c r="BO119" i="1" s="1"/>
  <c r="BO44" i="1"/>
  <c r="BM27" i="1"/>
  <c r="BM28" i="1" s="1"/>
  <c r="BM39" i="1"/>
  <c r="BM40" i="1"/>
  <c r="BP117" i="1"/>
  <c r="BP118" i="1" s="1"/>
  <c r="BP119" i="1" s="1"/>
  <c r="BP44" i="1"/>
  <c r="BQ31" i="1"/>
  <c r="BZ33" i="1"/>
  <c r="BZ104" i="1" s="1"/>
  <c r="BZ105" i="1" s="1"/>
  <c r="BZ39" i="1"/>
  <c r="BZ40" i="1"/>
  <c r="CR41" i="1"/>
  <c r="BI27" i="1"/>
  <c r="BI28" i="1" s="1"/>
  <c r="BI40" i="1"/>
  <c r="BI39" i="1"/>
  <c r="BQ24" i="1"/>
  <c r="BQ30" i="1" s="1"/>
  <c r="BK27" i="1"/>
  <c r="BK28" i="1" s="1"/>
  <c r="BK39" i="1"/>
  <c r="BK40" i="1"/>
  <c r="CM34" i="1"/>
  <c r="CM37" i="1"/>
  <c r="BN37" i="1"/>
  <c r="BQ29" i="1"/>
  <c r="BP104" i="1"/>
  <c r="BP105" i="1" s="1"/>
  <c r="CH34" i="1"/>
  <c r="CH36" i="1"/>
  <c r="CH37" i="1"/>
  <c r="BG117" i="1"/>
  <c r="BG118" i="1" s="1"/>
  <c r="BG119" i="1" s="1"/>
  <c r="BG44" i="1"/>
  <c r="BL117" i="1"/>
  <c r="BL118" i="1" s="1"/>
  <c r="BL119" i="1" s="1"/>
  <c r="BL44" i="1"/>
  <c r="CA117" i="1"/>
  <c r="CA118" i="1" s="1"/>
  <c r="CA119" i="1" s="1"/>
  <c r="CA44" i="1"/>
  <c r="BN117" i="1"/>
  <c r="BN118" i="1" s="1"/>
  <c r="BN119" i="1" s="1"/>
  <c r="BN44" i="1"/>
  <c r="BI117" i="1"/>
  <c r="BI118" i="1" s="1"/>
  <c r="BI119" i="1" s="1"/>
  <c r="BI44" i="1"/>
  <c r="BM117" i="1"/>
  <c r="BM118" i="1" s="1"/>
  <c r="BM119" i="1" s="1"/>
  <c r="BM44" i="1"/>
  <c r="BL37" i="1"/>
  <c r="CC41" i="1"/>
  <c r="BK117" i="1"/>
  <c r="BK118" i="1" s="1"/>
  <c r="BK119" i="1" s="1"/>
  <c r="BK44" i="1"/>
  <c r="BF117" i="1"/>
  <c r="BF118" i="1" s="1"/>
  <c r="BF119" i="1" s="1"/>
  <c r="BF44" i="1"/>
  <c r="BR23" i="1"/>
  <c r="BG33" i="1"/>
  <c r="BG39" i="1"/>
  <c r="BG40" i="1"/>
  <c r="BG41" i="1" s="1"/>
  <c r="BH117" i="1"/>
  <c r="BH118" i="1" s="1"/>
  <c r="BH119" i="1" s="1"/>
  <c r="BH44" i="1"/>
  <c r="BO33" i="1"/>
  <c r="BO37" i="1" s="1"/>
  <c r="BP39" i="1"/>
  <c r="BP40" i="1"/>
  <c r="BP27" i="1"/>
  <c r="BP28" i="1" s="1"/>
  <c r="BN104" i="1"/>
  <c r="BN105" i="1" s="1"/>
  <c r="CM36" i="1"/>
  <c r="CU36" i="1"/>
  <c r="CU34" i="1"/>
  <c r="CU37" i="1"/>
  <c r="CG34" i="1"/>
  <c r="CG36" i="1"/>
  <c r="CG37" i="1"/>
  <c r="CB37" i="1"/>
  <c r="CB34" i="1"/>
  <c r="CB36" i="1"/>
  <c r="BZ37" i="1"/>
  <c r="BZ30" i="1"/>
  <c r="BZ27" i="1"/>
  <c r="BZ28" i="1" s="1"/>
  <c r="BZ34" i="1"/>
  <c r="BP37" i="1"/>
  <c r="BJ34" i="1"/>
  <c r="BJ37" i="1"/>
  <c r="BK30" i="1"/>
  <c r="BG36" i="1"/>
  <c r="BJ30" i="1"/>
  <c r="BK33" i="1"/>
  <c r="BK104" i="1" s="1"/>
  <c r="BK105" i="1" s="1"/>
  <c r="BN36" i="1"/>
  <c r="BO36" i="1"/>
  <c r="BO30" i="1"/>
  <c r="BM33" i="1"/>
  <c r="BN30" i="1"/>
  <c r="BM30" i="1"/>
  <c r="BL30" i="1"/>
  <c r="BL36" i="1"/>
  <c r="BI30" i="1"/>
  <c r="BF30" i="1"/>
  <c r="BI33" i="1"/>
  <c r="BI104" i="1" s="1"/>
  <c r="BI105" i="1" s="1"/>
  <c r="BG30" i="1"/>
  <c r="BF33" i="1"/>
  <c r="BF104" i="1" s="1"/>
  <c r="BF105" i="1" s="1"/>
  <c r="BG27" i="1"/>
  <c r="BG28" i="1" s="1"/>
  <c r="BK41" i="1" l="1"/>
  <c r="CA36" i="1"/>
  <c r="BJ36" i="1"/>
  <c r="CA37" i="1"/>
  <c r="BQ33" i="1"/>
  <c r="BM41" i="1"/>
  <c r="BO41" i="1"/>
  <c r="BQ40" i="1"/>
  <c r="BZ41" i="1"/>
  <c r="BQ41" i="1"/>
  <c r="BZ36" i="1"/>
  <c r="BG37" i="1"/>
  <c r="BG104" i="1"/>
  <c r="BG105" i="1" s="1"/>
  <c r="BG34" i="1"/>
  <c r="BQ117" i="1"/>
  <c r="BQ118" i="1" s="1"/>
  <c r="BQ119" i="1" s="1"/>
  <c r="BQ44" i="1"/>
  <c r="BN41" i="1"/>
  <c r="BS23" i="1"/>
  <c r="BR78" i="1"/>
  <c r="BR109" i="1" s="1"/>
  <c r="BR24" i="1"/>
  <c r="BR33" i="1" s="1"/>
  <c r="BR29" i="1"/>
  <c r="BR31" i="1"/>
  <c r="BI41" i="1"/>
  <c r="BM37" i="1"/>
  <c r="BM104" i="1"/>
  <c r="BM105" i="1" s="1"/>
  <c r="CA34" i="1"/>
  <c r="BP41" i="1"/>
  <c r="BL41" i="1"/>
  <c r="BO34" i="1"/>
  <c r="BO104" i="1"/>
  <c r="BO105" i="1" s="1"/>
  <c r="BK36" i="1"/>
  <c r="BK34" i="1"/>
  <c r="BK37" i="1"/>
  <c r="BI37" i="1"/>
  <c r="BI34" i="1"/>
  <c r="BI36" i="1"/>
  <c r="BF37" i="1"/>
  <c r="BF36" i="1"/>
  <c r="BF34" i="1"/>
  <c r="BM34" i="1"/>
  <c r="BM36" i="1"/>
  <c r="BH24" i="1"/>
  <c r="BE35" i="1"/>
  <c r="BE32" i="1"/>
  <c r="BE26" i="1"/>
  <c r="BE25" i="1"/>
  <c r="BE23" i="1"/>
  <c r="BD35" i="1"/>
  <c r="BD32" i="1"/>
  <c r="BD31" i="1"/>
  <c r="BD29" i="1"/>
  <c r="BD24" i="1"/>
  <c r="BC35" i="1"/>
  <c r="BB35" i="1"/>
  <c r="BC32" i="1"/>
  <c r="BC31" i="1"/>
  <c r="BC29" i="1"/>
  <c r="BC24" i="1"/>
  <c r="BB32" i="1"/>
  <c r="BB31" i="1"/>
  <c r="BB29" i="1"/>
  <c r="BB24" i="1"/>
  <c r="AY35" i="1"/>
  <c r="AZ35" i="1"/>
  <c r="BA35" i="1"/>
  <c r="AY32" i="1"/>
  <c r="AZ32" i="1"/>
  <c r="BA32" i="1"/>
  <c r="AY31" i="1"/>
  <c r="AZ31" i="1"/>
  <c r="BA31" i="1"/>
  <c r="AY29" i="1"/>
  <c r="AZ29" i="1"/>
  <c r="BA29" i="1"/>
  <c r="AY24" i="1"/>
  <c r="AY30" i="1" s="1"/>
  <c r="AZ24" i="1"/>
  <c r="BA24" i="1"/>
  <c r="AS35" i="1"/>
  <c r="AT35" i="1"/>
  <c r="AU35" i="1"/>
  <c r="AV35" i="1"/>
  <c r="AW35" i="1"/>
  <c r="AX35" i="1"/>
  <c r="AS32" i="1"/>
  <c r="AT32" i="1"/>
  <c r="AU32" i="1"/>
  <c r="AV32" i="1"/>
  <c r="AW32" i="1"/>
  <c r="AX32" i="1"/>
  <c r="AS31" i="1"/>
  <c r="AT31" i="1"/>
  <c r="AU31" i="1"/>
  <c r="AV31" i="1"/>
  <c r="AW31" i="1"/>
  <c r="AX31" i="1"/>
  <c r="AS29" i="1"/>
  <c r="AT29" i="1"/>
  <c r="AU29" i="1"/>
  <c r="AV29" i="1"/>
  <c r="AW29" i="1"/>
  <c r="AX29" i="1"/>
  <c r="AS24" i="1"/>
  <c r="AT24" i="1"/>
  <c r="AU24" i="1"/>
  <c r="AV24" i="1"/>
  <c r="AV27" i="1" s="1"/>
  <c r="AV28" i="1" s="1"/>
  <c r="AW24" i="1"/>
  <c r="AW27" i="1" s="1"/>
  <c r="AW28" i="1" s="1"/>
  <c r="AX24" i="1"/>
  <c r="AR35" i="1"/>
  <c r="AR32" i="1"/>
  <c r="AR31" i="1"/>
  <c r="AR29" i="1"/>
  <c r="AR24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B32" i="1"/>
  <c r="AP35" i="1"/>
  <c r="AQ35" i="1"/>
  <c r="AP31" i="1"/>
  <c r="AQ31" i="1"/>
  <c r="AP29" i="1"/>
  <c r="AQ29" i="1"/>
  <c r="AQ27" i="1"/>
  <c r="AQ28" i="1" s="1"/>
  <c r="AQ24" i="1"/>
  <c r="AP24" i="1"/>
  <c r="BR37" i="1" l="1"/>
  <c r="BR34" i="1"/>
  <c r="BR36" i="1"/>
  <c r="BR104" i="1"/>
  <c r="BR105" i="1" s="1"/>
  <c r="AS33" i="1"/>
  <c r="AS39" i="1"/>
  <c r="AS41" i="1" s="1"/>
  <c r="AS40" i="1"/>
  <c r="AP117" i="1"/>
  <c r="AP118" i="1" s="1"/>
  <c r="AP119" i="1" s="1"/>
  <c r="AP44" i="1"/>
  <c r="AX117" i="1"/>
  <c r="AX118" i="1" s="1"/>
  <c r="AX119" i="1" s="1"/>
  <c r="AX44" i="1"/>
  <c r="BC117" i="1"/>
  <c r="BC118" i="1" s="1"/>
  <c r="BC119" i="1" s="1"/>
  <c r="BC44" i="1"/>
  <c r="AW117" i="1"/>
  <c r="AW118" i="1" s="1"/>
  <c r="AW119" i="1" s="1"/>
  <c r="AW44" i="1"/>
  <c r="BA117" i="1"/>
  <c r="BA118" i="1" s="1"/>
  <c r="BA119" i="1" s="1"/>
  <c r="BA44" i="1"/>
  <c r="BE29" i="1"/>
  <c r="BE78" i="1"/>
  <c r="BE109" i="1" s="1"/>
  <c r="AX17" i="1"/>
  <c r="AX40" i="1"/>
  <c r="AX39" i="1"/>
  <c r="AX41" i="1" s="1"/>
  <c r="AV117" i="1"/>
  <c r="AV118" i="1" s="1"/>
  <c r="AV119" i="1" s="1"/>
  <c r="AV44" i="1"/>
  <c r="AZ117" i="1"/>
  <c r="AZ118" i="1" s="1"/>
  <c r="AZ119" i="1" s="1"/>
  <c r="AZ44" i="1"/>
  <c r="BB17" i="1"/>
  <c r="BB39" i="1"/>
  <c r="BB41" i="1" s="1"/>
  <c r="BB40" i="1"/>
  <c r="BE116" i="1"/>
  <c r="BR27" i="1"/>
  <c r="BR28" i="1" s="1"/>
  <c r="BR30" i="1"/>
  <c r="AP17" i="1"/>
  <c r="AP40" i="1"/>
  <c r="AP39" i="1"/>
  <c r="AP41" i="1" s="1"/>
  <c r="BA17" i="1"/>
  <c r="BA39" i="1"/>
  <c r="BA40" i="1"/>
  <c r="AQ17" i="1"/>
  <c r="AQ40" i="1"/>
  <c r="AQ39" i="1"/>
  <c r="AQ41" i="1" s="1"/>
  <c r="AW33" i="1"/>
  <c r="AW40" i="1"/>
  <c r="AW41" i="1" s="1"/>
  <c r="AW39" i="1"/>
  <c r="AU117" i="1"/>
  <c r="AU118" i="1" s="1"/>
  <c r="AU119" i="1" s="1"/>
  <c r="AU44" i="1"/>
  <c r="AZ17" i="1"/>
  <c r="AZ40" i="1"/>
  <c r="AZ39" i="1"/>
  <c r="AZ41" i="1" s="1"/>
  <c r="AY117" i="1"/>
  <c r="AY118" i="1" s="1"/>
  <c r="AY119" i="1" s="1"/>
  <c r="AY44" i="1"/>
  <c r="BR39" i="1"/>
  <c r="BQ34" i="1"/>
  <c r="BQ104" i="1"/>
  <c r="BQ105" i="1" s="1"/>
  <c r="BQ37" i="1"/>
  <c r="BQ36" i="1"/>
  <c r="AV33" i="1"/>
  <c r="AV40" i="1"/>
  <c r="AV39" i="1"/>
  <c r="AV41" i="1" s="1"/>
  <c r="AT117" i="1"/>
  <c r="AT118" i="1" s="1"/>
  <c r="AT119" i="1" s="1"/>
  <c r="AT44" i="1"/>
  <c r="AY17" i="1"/>
  <c r="AY40" i="1"/>
  <c r="AY39" i="1"/>
  <c r="BB117" i="1"/>
  <c r="BB118" i="1" s="1"/>
  <c r="BB119" i="1" s="1"/>
  <c r="BB44" i="1"/>
  <c r="BD27" i="1"/>
  <c r="BD28" i="1" s="1"/>
  <c r="BD40" i="1"/>
  <c r="BD39" i="1"/>
  <c r="BD41" i="1" s="1"/>
  <c r="BR40" i="1"/>
  <c r="AR17" i="1"/>
  <c r="AR40" i="1"/>
  <c r="AR39" i="1"/>
  <c r="AR41" i="1" s="1"/>
  <c r="AU33" i="1"/>
  <c r="AU39" i="1"/>
  <c r="AU41" i="1" s="1"/>
  <c r="AU40" i="1"/>
  <c r="AS117" i="1"/>
  <c r="AS118" i="1" s="1"/>
  <c r="AS119" i="1" s="1"/>
  <c r="AS44" i="1"/>
  <c r="AT33" i="1"/>
  <c r="AT39" i="1"/>
  <c r="AT40" i="1"/>
  <c r="BC27" i="1"/>
  <c r="BC28" i="1" s="1"/>
  <c r="BC40" i="1"/>
  <c r="BC39" i="1"/>
  <c r="BD117" i="1"/>
  <c r="BD118" i="1" s="1"/>
  <c r="BD119" i="1" s="1"/>
  <c r="BD44" i="1"/>
  <c r="BH39" i="1"/>
  <c r="BH41" i="1" s="1"/>
  <c r="BH40" i="1"/>
  <c r="BT23" i="1"/>
  <c r="BS78" i="1"/>
  <c r="BS109" i="1" s="1"/>
  <c r="BS24" i="1"/>
  <c r="BS30" i="1" s="1"/>
  <c r="BS31" i="1"/>
  <c r="BS29" i="1"/>
  <c r="AQ117" i="1"/>
  <c r="AQ118" i="1" s="1"/>
  <c r="AQ119" i="1" s="1"/>
  <c r="AQ44" i="1"/>
  <c r="AR117" i="1"/>
  <c r="AR118" i="1" s="1"/>
  <c r="AR119" i="1" s="1"/>
  <c r="AR44" i="1"/>
  <c r="BR117" i="1"/>
  <c r="BR118" i="1" s="1"/>
  <c r="BR119" i="1" s="1"/>
  <c r="BR44" i="1"/>
  <c r="AR27" i="1"/>
  <c r="AR28" i="1" s="1"/>
  <c r="BB27" i="1"/>
  <c r="BB28" i="1" s="1"/>
  <c r="AW17" i="1"/>
  <c r="AP33" i="1"/>
  <c r="BC33" i="1"/>
  <c r="BC104" i="1" s="1"/>
  <c r="BC105" i="1" s="1"/>
  <c r="AR33" i="1"/>
  <c r="AR104" i="1" s="1"/>
  <c r="AR105" i="1" s="1"/>
  <c r="BB33" i="1"/>
  <c r="AS34" i="1"/>
  <c r="AS54" i="1"/>
  <c r="AS55" i="1"/>
  <c r="AS36" i="1"/>
  <c r="AT34" i="1"/>
  <c r="AT54" i="1"/>
  <c r="AT55" i="1"/>
  <c r="AT36" i="1"/>
  <c r="AW36" i="1"/>
  <c r="AW54" i="1"/>
  <c r="AW55" i="1"/>
  <c r="AW34" i="1"/>
  <c r="AV36" i="1"/>
  <c r="AV34" i="1"/>
  <c r="AV54" i="1"/>
  <c r="AV55" i="1"/>
  <c r="AU34" i="1"/>
  <c r="AU36" i="1"/>
  <c r="AU54" i="1"/>
  <c r="AU55" i="1"/>
  <c r="AU27" i="1"/>
  <c r="AU28" i="1" s="1"/>
  <c r="AW30" i="1"/>
  <c r="BE31" i="1"/>
  <c r="BD17" i="1"/>
  <c r="AV17" i="1"/>
  <c r="AQ30" i="1"/>
  <c r="AR30" i="1"/>
  <c r="AT27" i="1"/>
  <c r="AT28" i="1" s="1"/>
  <c r="AV30" i="1"/>
  <c r="AX33" i="1"/>
  <c r="BA27" i="1"/>
  <c r="BA28" i="1" s="1"/>
  <c r="BB30" i="1"/>
  <c r="BC34" i="1"/>
  <c r="BD30" i="1"/>
  <c r="BC17" i="1"/>
  <c r="AU17" i="1"/>
  <c r="AP30" i="1"/>
  <c r="AS27" i="1"/>
  <c r="AS28" i="1" s="1"/>
  <c r="AU30" i="1"/>
  <c r="AR36" i="1"/>
  <c r="AZ27" i="1"/>
  <c r="AZ28" i="1" s="1"/>
  <c r="BA30" i="1"/>
  <c r="AT17" i="1"/>
  <c r="AP34" i="1"/>
  <c r="AT30" i="1"/>
  <c r="AY27" i="1"/>
  <c r="AY28" i="1" s="1"/>
  <c r="AZ30" i="1"/>
  <c r="BA33" i="1"/>
  <c r="BC30" i="1"/>
  <c r="BE24" i="1"/>
  <c r="BE39" i="1" s="1"/>
  <c r="AS17" i="1"/>
  <c r="AX30" i="1"/>
  <c r="AS30" i="1"/>
  <c r="AP36" i="1"/>
  <c r="AR55" i="1"/>
  <c r="AR54" i="1"/>
  <c r="AZ33" i="1"/>
  <c r="BD33" i="1"/>
  <c r="AP27" i="1"/>
  <c r="AP28" i="1" s="1"/>
  <c r="AQ33" i="1"/>
  <c r="AX27" i="1"/>
  <c r="AX28" i="1" s="1"/>
  <c r="AY33" i="1"/>
  <c r="AP55" i="1"/>
  <c r="AP54" i="1"/>
  <c r="BH27" i="1"/>
  <c r="BH28" i="1" s="1"/>
  <c r="BH33" i="1"/>
  <c r="BH104" i="1" s="1"/>
  <c r="BH105" i="1" s="1"/>
  <c r="BH30" i="1"/>
  <c r="H7" i="1"/>
  <c r="BA41" i="1" l="1"/>
  <c r="BE117" i="1"/>
  <c r="BE118" i="1" s="1"/>
  <c r="BE119" i="1" s="1"/>
  <c r="BE44" i="1"/>
  <c r="AY37" i="1"/>
  <c r="AY104" i="1"/>
  <c r="AY105" i="1" s="1"/>
  <c r="AX37" i="1"/>
  <c r="AX104" i="1"/>
  <c r="AX105" i="1" s="1"/>
  <c r="BS39" i="1"/>
  <c r="BS41" i="1" s="1"/>
  <c r="BC41" i="1"/>
  <c r="BR41" i="1"/>
  <c r="AP37" i="1"/>
  <c r="AP104" i="1"/>
  <c r="AP105" i="1" s="1"/>
  <c r="BS40" i="1"/>
  <c r="AQ37" i="1"/>
  <c r="AQ104" i="1"/>
  <c r="AQ105" i="1" s="1"/>
  <c r="AU37" i="1"/>
  <c r="AU104" i="1"/>
  <c r="AU105" i="1" s="1"/>
  <c r="AW37" i="1"/>
  <c r="AW104" i="1"/>
  <c r="AW105" i="1" s="1"/>
  <c r="AS37" i="1"/>
  <c r="AS104" i="1"/>
  <c r="AS105" i="1" s="1"/>
  <c r="BU23" i="1"/>
  <c r="BT78" i="1"/>
  <c r="BT109" i="1" s="1"/>
  <c r="BT40" i="1"/>
  <c r="BT24" i="1"/>
  <c r="BT30" i="1" s="1"/>
  <c r="BT27" i="1"/>
  <c r="BT28" i="1" s="1"/>
  <c r="BT29" i="1"/>
  <c r="BT31" i="1"/>
  <c r="AV37" i="1"/>
  <c r="AV104" i="1"/>
  <c r="AV105" i="1" s="1"/>
  <c r="BE40" i="1"/>
  <c r="BE41" i="1" s="1"/>
  <c r="BD37" i="1"/>
  <c r="BD104" i="1"/>
  <c r="BD105" i="1" s="1"/>
  <c r="BS33" i="1"/>
  <c r="AT41" i="1"/>
  <c r="AY41" i="1"/>
  <c r="AZ37" i="1"/>
  <c r="AZ104" i="1"/>
  <c r="AZ105" i="1" s="1"/>
  <c r="BS117" i="1"/>
  <c r="BS118" i="1" s="1"/>
  <c r="BS119" i="1" s="1"/>
  <c r="BS44" i="1"/>
  <c r="AT37" i="1"/>
  <c r="AT104" i="1"/>
  <c r="AT105" i="1" s="1"/>
  <c r="BA37" i="1"/>
  <c r="BA104" i="1"/>
  <c r="BA105" i="1" s="1"/>
  <c r="BB34" i="1"/>
  <c r="BB104" i="1"/>
  <c r="BB105" i="1" s="1"/>
  <c r="BS27" i="1"/>
  <c r="BS28" i="1" s="1"/>
  <c r="AR34" i="1"/>
  <c r="AR37" i="1"/>
  <c r="BC36" i="1"/>
  <c r="BC37" i="1"/>
  <c r="BB54" i="1"/>
  <c r="BB37" i="1"/>
  <c r="BB36" i="1"/>
  <c r="BB55" i="1"/>
  <c r="BH37" i="1"/>
  <c r="BH34" i="1"/>
  <c r="BH36" i="1"/>
  <c r="AX54" i="1"/>
  <c r="AX55" i="1"/>
  <c r="AX34" i="1"/>
  <c r="AX36" i="1"/>
  <c r="BA34" i="1"/>
  <c r="BA36" i="1"/>
  <c r="BA54" i="1"/>
  <c r="BA55" i="1"/>
  <c r="AY36" i="1"/>
  <c r="AY55" i="1"/>
  <c r="AY54" i="1"/>
  <c r="AY34" i="1"/>
  <c r="AQ54" i="1"/>
  <c r="AQ55" i="1"/>
  <c r="AQ36" i="1"/>
  <c r="AQ34" i="1"/>
  <c r="BE27" i="1"/>
  <c r="BE28" i="1" s="1"/>
  <c r="BE17" i="1"/>
  <c r="BE30" i="1"/>
  <c r="BD34" i="1"/>
  <c r="BD36" i="1"/>
  <c r="AZ36" i="1"/>
  <c r="AZ55" i="1"/>
  <c r="AZ54" i="1"/>
  <c r="AZ34" i="1"/>
  <c r="BE33" i="1"/>
  <c r="C38" i="1"/>
  <c r="C42" i="1" s="1"/>
  <c r="D38" i="1"/>
  <c r="D42" i="1" s="1"/>
  <c r="E38" i="1"/>
  <c r="E42" i="1" s="1"/>
  <c r="F38" i="1"/>
  <c r="F42" i="1" s="1"/>
  <c r="G38" i="1"/>
  <c r="G42" i="1" s="1"/>
  <c r="H38" i="1"/>
  <c r="H42" i="1" s="1"/>
  <c r="I38" i="1"/>
  <c r="I42" i="1" s="1"/>
  <c r="J38" i="1"/>
  <c r="J42" i="1" s="1"/>
  <c r="K38" i="1"/>
  <c r="K42" i="1" s="1"/>
  <c r="L38" i="1"/>
  <c r="L42" i="1" s="1"/>
  <c r="M38" i="1"/>
  <c r="M42" i="1" s="1"/>
  <c r="N38" i="1"/>
  <c r="N42" i="1" s="1"/>
  <c r="O38" i="1"/>
  <c r="O42" i="1" s="1"/>
  <c r="P38" i="1"/>
  <c r="P42" i="1" s="1"/>
  <c r="Q38" i="1"/>
  <c r="Q42" i="1" s="1"/>
  <c r="R38" i="1"/>
  <c r="R42" i="1" s="1"/>
  <c r="S38" i="1"/>
  <c r="S42" i="1" s="1"/>
  <c r="T38" i="1"/>
  <c r="T42" i="1" s="1"/>
  <c r="U38" i="1"/>
  <c r="U42" i="1" s="1"/>
  <c r="V38" i="1"/>
  <c r="V42" i="1" s="1"/>
  <c r="W38" i="1"/>
  <c r="W42" i="1" s="1"/>
  <c r="X38" i="1"/>
  <c r="X42" i="1" s="1"/>
  <c r="Y38" i="1"/>
  <c r="Y42" i="1" s="1"/>
  <c r="Z38" i="1"/>
  <c r="Z42" i="1" s="1"/>
  <c r="AA38" i="1"/>
  <c r="AA42" i="1" s="1"/>
  <c r="AB38" i="1"/>
  <c r="AB42" i="1" s="1"/>
  <c r="AC38" i="1"/>
  <c r="AC42" i="1" s="1"/>
  <c r="AD38" i="1"/>
  <c r="AD42" i="1" s="1"/>
  <c r="AE38" i="1"/>
  <c r="AE42" i="1" s="1"/>
  <c r="AF38" i="1"/>
  <c r="AF42" i="1" s="1"/>
  <c r="AG38" i="1"/>
  <c r="AG42" i="1" s="1"/>
  <c r="AH38" i="1"/>
  <c r="AH42" i="1" s="1"/>
  <c r="AI38" i="1"/>
  <c r="AI42" i="1" s="1"/>
  <c r="AJ38" i="1"/>
  <c r="AJ42" i="1" s="1"/>
  <c r="AK38" i="1"/>
  <c r="AK42" i="1" s="1"/>
  <c r="AL38" i="1"/>
  <c r="AL42" i="1" s="1"/>
  <c r="AM38" i="1"/>
  <c r="AM42" i="1" s="1"/>
  <c r="AN38" i="1"/>
  <c r="AN42" i="1" s="1"/>
  <c r="AO38" i="1"/>
  <c r="AO42" i="1" s="1"/>
  <c r="B38" i="1"/>
  <c r="B42" i="1" s="1"/>
  <c r="AO35" i="1"/>
  <c r="AO31" i="1"/>
  <c r="AO29" i="1"/>
  <c r="AO24" i="1"/>
  <c r="AO27" i="1" s="1"/>
  <c r="AO28" i="1" s="1"/>
  <c r="AK35" i="1"/>
  <c r="AL35" i="1"/>
  <c r="AM35" i="1"/>
  <c r="AN35" i="1"/>
  <c r="AK31" i="1"/>
  <c r="AL31" i="1"/>
  <c r="AM31" i="1"/>
  <c r="AN31" i="1"/>
  <c r="AK29" i="1"/>
  <c r="AL29" i="1"/>
  <c r="AM29" i="1"/>
  <c r="AN29" i="1"/>
  <c r="AK24" i="1"/>
  <c r="AK39" i="1" s="1"/>
  <c r="AL24" i="1"/>
  <c r="AL39" i="1" s="1"/>
  <c r="AM24" i="1"/>
  <c r="AM39" i="1" s="1"/>
  <c r="AN24" i="1"/>
  <c r="AN27" i="1" s="1"/>
  <c r="AN28" i="1" s="1"/>
  <c r="G5" i="1"/>
  <c r="G7" i="1" s="1"/>
  <c r="AM27" i="1" l="1"/>
  <c r="AM28" i="1" s="1"/>
  <c r="BT117" i="1"/>
  <c r="BT118" i="1" s="1"/>
  <c r="BT119" i="1" s="1"/>
  <c r="BT44" i="1"/>
  <c r="BV23" i="1"/>
  <c r="BU78" i="1"/>
  <c r="BU109" i="1" s="1"/>
  <c r="BU24" i="1"/>
  <c r="BU30" i="1" s="1"/>
  <c r="BU27" i="1"/>
  <c r="BU28" i="1" s="1"/>
  <c r="BU29" i="1"/>
  <c r="BU31" i="1"/>
  <c r="BS34" i="1"/>
  <c r="BS37" i="1"/>
  <c r="BS36" i="1"/>
  <c r="BS104" i="1"/>
  <c r="BS105" i="1" s="1"/>
  <c r="AN44" i="1"/>
  <c r="AN117" i="1"/>
  <c r="AN118" i="1" s="1"/>
  <c r="AN119" i="1" s="1"/>
  <c r="AM44" i="1"/>
  <c r="AM117" i="1"/>
  <c r="AM118" i="1" s="1"/>
  <c r="AM119" i="1" s="1"/>
  <c r="AL44" i="1"/>
  <c r="AL117" i="1"/>
  <c r="AL118" i="1" s="1"/>
  <c r="AL119" i="1" s="1"/>
  <c r="AO44" i="1"/>
  <c r="AO117" i="1"/>
  <c r="AO118" i="1" s="1"/>
  <c r="AO119" i="1" s="1"/>
  <c r="BT33" i="1"/>
  <c r="AK44" i="1"/>
  <c r="AK117" i="1"/>
  <c r="AK118" i="1" s="1"/>
  <c r="AK119" i="1" s="1"/>
  <c r="BT39" i="1"/>
  <c r="BT41" i="1" s="1"/>
  <c r="BE37" i="1"/>
  <c r="BE104" i="1"/>
  <c r="BE105" i="1" s="1"/>
  <c r="AN39" i="1"/>
  <c r="BE36" i="1"/>
  <c r="BE34" i="1"/>
  <c r="AL27" i="1"/>
  <c r="AL28" i="1" s="1"/>
  <c r="AK27" i="1"/>
  <c r="AK28" i="1" s="1"/>
  <c r="AN33" i="1"/>
  <c r="AN17" i="1"/>
  <c r="AN30" i="1"/>
  <c r="AN40" i="1"/>
  <c r="AN41" i="1" s="1"/>
  <c r="AO33" i="1"/>
  <c r="AO17" i="1"/>
  <c r="AO30" i="1"/>
  <c r="AM33" i="1"/>
  <c r="AM17" i="1"/>
  <c r="AM30" i="1"/>
  <c r="AM40" i="1"/>
  <c r="AM41" i="1" s="1"/>
  <c r="AL33" i="1"/>
  <c r="AL17" i="1"/>
  <c r="AL30" i="1"/>
  <c r="AL40" i="1"/>
  <c r="AL41" i="1" s="1"/>
  <c r="AO39" i="1"/>
  <c r="AK17" i="1"/>
  <c r="AK33" i="1"/>
  <c r="AK30" i="1"/>
  <c r="AK40" i="1"/>
  <c r="AK41" i="1" s="1"/>
  <c r="AO40" i="1"/>
  <c r="AJ35" i="1"/>
  <c r="AJ31" i="1"/>
  <c r="AJ29" i="1"/>
  <c r="AJ24" i="1"/>
  <c r="AJ39" i="1" s="1"/>
  <c r="BT34" i="1" l="1"/>
  <c r="BT37" i="1"/>
  <c r="BT104" i="1"/>
  <c r="BT105" i="1" s="1"/>
  <c r="BT36" i="1"/>
  <c r="AO37" i="1"/>
  <c r="AO104" i="1"/>
  <c r="AO105" i="1" s="1"/>
  <c r="BU33" i="1"/>
  <c r="AL37" i="1"/>
  <c r="AL104" i="1"/>
  <c r="AL105" i="1" s="1"/>
  <c r="BU39" i="1"/>
  <c r="BU41" i="1" s="1"/>
  <c r="BE56" i="1"/>
  <c r="BE55" i="1"/>
  <c r="BF55" i="1" s="1"/>
  <c r="BU40" i="1"/>
  <c r="BU117" i="1"/>
  <c r="BU118" i="1" s="1"/>
  <c r="BU119" i="1" s="1"/>
  <c r="BU44" i="1"/>
  <c r="BW23" i="1"/>
  <c r="BV78" i="1"/>
  <c r="BV109" i="1" s="1"/>
  <c r="BV39" i="1"/>
  <c r="BV31" i="1"/>
  <c r="BV24" i="1"/>
  <c r="BV30" i="1" s="1"/>
  <c r="BV27" i="1"/>
  <c r="BV28" i="1" s="1"/>
  <c r="BV29" i="1"/>
  <c r="AK37" i="1"/>
  <c r="AK104" i="1"/>
  <c r="AK105" i="1" s="1"/>
  <c r="AN37" i="1"/>
  <c r="AN104" i="1"/>
  <c r="AN105" i="1" s="1"/>
  <c r="AM37" i="1"/>
  <c r="AM104" i="1"/>
  <c r="AM105" i="1" s="1"/>
  <c r="AJ44" i="1"/>
  <c r="AJ117" i="1"/>
  <c r="AJ118" i="1" s="1"/>
  <c r="AJ119" i="1" s="1"/>
  <c r="AO36" i="1"/>
  <c r="AO34" i="1"/>
  <c r="AO55" i="1"/>
  <c r="AO54" i="1"/>
  <c r="AL54" i="1"/>
  <c r="AL55" i="1"/>
  <c r="AL34" i="1"/>
  <c r="AL36" i="1"/>
  <c r="AJ30" i="1"/>
  <c r="AN36" i="1"/>
  <c r="AN34" i="1"/>
  <c r="AN54" i="1"/>
  <c r="AN55" i="1"/>
  <c r="AJ17" i="1"/>
  <c r="AJ33" i="1"/>
  <c r="AK54" i="1"/>
  <c r="AK55" i="1"/>
  <c r="AK36" i="1"/>
  <c r="AK34" i="1"/>
  <c r="AJ40" i="1"/>
  <c r="AJ41" i="1" s="1"/>
  <c r="AO41" i="1"/>
  <c r="AM34" i="1"/>
  <c r="AM36" i="1"/>
  <c r="AM54" i="1"/>
  <c r="AM55" i="1"/>
  <c r="AJ27" i="1"/>
  <c r="AJ28" i="1" s="1"/>
  <c r="C31" i="1"/>
  <c r="C117" i="1" s="1"/>
  <c r="C118" i="1" s="1"/>
  <c r="C119" i="1" s="1"/>
  <c r="D31" i="1"/>
  <c r="D117" i="1" s="1"/>
  <c r="D118" i="1" s="1"/>
  <c r="D119" i="1" s="1"/>
  <c r="E31" i="1"/>
  <c r="E117" i="1" s="1"/>
  <c r="E118" i="1" s="1"/>
  <c r="E119" i="1" s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D117" i="1" s="1"/>
  <c r="AD118" i="1" s="1"/>
  <c r="AD119" i="1" s="1"/>
  <c r="AE31" i="1"/>
  <c r="AE117" i="1" s="1"/>
  <c r="AE118" i="1" s="1"/>
  <c r="AE119" i="1" s="1"/>
  <c r="AF31" i="1"/>
  <c r="AF117" i="1" s="1"/>
  <c r="AF118" i="1" s="1"/>
  <c r="AF119" i="1" s="1"/>
  <c r="AG31" i="1"/>
  <c r="AG117" i="1" s="1"/>
  <c r="AG118" i="1" s="1"/>
  <c r="AG119" i="1" s="1"/>
  <c r="AH31" i="1"/>
  <c r="AH117" i="1" s="1"/>
  <c r="AH118" i="1" s="1"/>
  <c r="AH119" i="1" s="1"/>
  <c r="AI31" i="1"/>
  <c r="AI117" i="1" s="1"/>
  <c r="AI118" i="1" s="1"/>
  <c r="AI119" i="1" s="1"/>
  <c r="B31" i="1"/>
  <c r="B117" i="1" s="1"/>
  <c r="B118" i="1" s="1"/>
  <c r="B119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B24" i="1"/>
  <c r="C24" i="1"/>
  <c r="D24" i="1"/>
  <c r="E24" i="1"/>
  <c r="V45" i="1" l="1"/>
  <c r="V117" i="1"/>
  <c r="V118" i="1" s="1"/>
  <c r="V119" i="1" s="1"/>
  <c r="N45" i="1"/>
  <c r="N117" i="1"/>
  <c r="N118" i="1" s="1"/>
  <c r="N119" i="1" s="1"/>
  <c r="F45" i="1"/>
  <c r="F117" i="1"/>
  <c r="F118" i="1" s="1"/>
  <c r="F119" i="1" s="1"/>
  <c r="AC45" i="1"/>
  <c r="AC117" i="1"/>
  <c r="AC118" i="1" s="1"/>
  <c r="AC119" i="1" s="1"/>
  <c r="U45" i="1"/>
  <c r="U117" i="1"/>
  <c r="U118" i="1" s="1"/>
  <c r="U119" i="1" s="1"/>
  <c r="M45" i="1"/>
  <c r="M117" i="1"/>
  <c r="M118" i="1" s="1"/>
  <c r="M119" i="1" s="1"/>
  <c r="BV33" i="1"/>
  <c r="BU36" i="1"/>
  <c r="BU37" i="1"/>
  <c r="BU104" i="1"/>
  <c r="BU105" i="1" s="1"/>
  <c r="BU34" i="1"/>
  <c r="AB45" i="1"/>
  <c r="AB117" i="1"/>
  <c r="AB118" i="1" s="1"/>
  <c r="AB119" i="1" s="1"/>
  <c r="T45" i="1"/>
  <c r="T117" i="1"/>
  <c r="T118" i="1" s="1"/>
  <c r="T119" i="1" s="1"/>
  <c r="L45" i="1"/>
  <c r="L117" i="1"/>
  <c r="L118" i="1" s="1"/>
  <c r="L119" i="1" s="1"/>
  <c r="BV117" i="1"/>
  <c r="BV118" i="1" s="1"/>
  <c r="BV119" i="1" s="1"/>
  <c r="BV44" i="1"/>
  <c r="AA45" i="1"/>
  <c r="AA117" i="1"/>
  <c r="AA118" i="1" s="1"/>
  <c r="AA119" i="1" s="1"/>
  <c r="K45" i="1"/>
  <c r="K117" i="1"/>
  <c r="K118" i="1" s="1"/>
  <c r="K119" i="1" s="1"/>
  <c r="S45" i="1"/>
  <c r="S117" i="1"/>
  <c r="S118" i="1" s="1"/>
  <c r="S119" i="1" s="1"/>
  <c r="Z45" i="1"/>
  <c r="Z117" i="1"/>
  <c r="Z118" i="1" s="1"/>
  <c r="Z119" i="1" s="1"/>
  <c r="R45" i="1"/>
  <c r="R117" i="1"/>
  <c r="R118" i="1" s="1"/>
  <c r="R119" i="1" s="1"/>
  <c r="J45" i="1"/>
  <c r="J117" i="1"/>
  <c r="J118" i="1" s="1"/>
  <c r="J119" i="1" s="1"/>
  <c r="BV40" i="1"/>
  <c r="BV41" i="1" s="1"/>
  <c r="Y45" i="1"/>
  <c r="Y117" i="1"/>
  <c r="Y118" i="1" s="1"/>
  <c r="Y119" i="1" s="1"/>
  <c r="Q45" i="1"/>
  <c r="Q117" i="1"/>
  <c r="Q118" i="1" s="1"/>
  <c r="Q119" i="1" s="1"/>
  <c r="I45" i="1"/>
  <c r="I117" i="1"/>
  <c r="I118" i="1" s="1"/>
  <c r="I119" i="1" s="1"/>
  <c r="X45" i="1"/>
  <c r="X117" i="1"/>
  <c r="X118" i="1" s="1"/>
  <c r="X119" i="1" s="1"/>
  <c r="P45" i="1"/>
  <c r="P117" i="1"/>
  <c r="P118" i="1" s="1"/>
  <c r="P119" i="1" s="1"/>
  <c r="H45" i="1"/>
  <c r="H117" i="1"/>
  <c r="H118" i="1" s="1"/>
  <c r="H119" i="1" s="1"/>
  <c r="BX23" i="1"/>
  <c r="BW78" i="1"/>
  <c r="BW109" i="1" s="1"/>
  <c r="BW29" i="1"/>
  <c r="BW31" i="1"/>
  <c r="BW24" i="1"/>
  <c r="BW30" i="1" s="1"/>
  <c r="W45" i="1"/>
  <c r="W117" i="1"/>
  <c r="W118" i="1" s="1"/>
  <c r="W119" i="1" s="1"/>
  <c r="O45" i="1"/>
  <c r="O117" i="1"/>
  <c r="O118" i="1" s="1"/>
  <c r="O119" i="1" s="1"/>
  <c r="G45" i="1"/>
  <c r="G117" i="1"/>
  <c r="G118" i="1" s="1"/>
  <c r="G119" i="1" s="1"/>
  <c r="AJ37" i="1"/>
  <c r="AJ104" i="1"/>
  <c r="AJ105" i="1" s="1"/>
  <c r="R17" i="1"/>
  <c r="R33" i="1"/>
  <c r="AG33" i="1"/>
  <c r="AG17" i="1"/>
  <c r="Y33" i="1"/>
  <c r="Y17" i="1"/>
  <c r="Q33" i="1"/>
  <c r="Q17" i="1"/>
  <c r="I33" i="1"/>
  <c r="I17" i="1"/>
  <c r="AF33" i="1"/>
  <c r="AF17" i="1"/>
  <c r="X33" i="1"/>
  <c r="X17" i="1"/>
  <c r="P33" i="1"/>
  <c r="P17" i="1"/>
  <c r="H33" i="1"/>
  <c r="H17" i="1"/>
  <c r="S17" i="1"/>
  <c r="S33" i="1"/>
  <c r="E17" i="1"/>
  <c r="E33" i="1"/>
  <c r="W33" i="1"/>
  <c r="W17" i="1"/>
  <c r="O33" i="1"/>
  <c r="O17" i="1"/>
  <c r="G33" i="1"/>
  <c r="G17" i="1"/>
  <c r="AI17" i="1"/>
  <c r="AI33" i="1"/>
  <c r="AE33" i="1"/>
  <c r="AE17" i="1"/>
  <c r="D17" i="1"/>
  <c r="D33" i="1"/>
  <c r="AD33" i="1"/>
  <c r="AD17" i="1"/>
  <c r="V33" i="1"/>
  <c r="V17" i="1"/>
  <c r="N33" i="1"/>
  <c r="N17" i="1"/>
  <c r="F33" i="1"/>
  <c r="F17" i="1"/>
  <c r="AJ54" i="1"/>
  <c r="AJ55" i="1"/>
  <c r="AJ36" i="1"/>
  <c r="AJ34" i="1"/>
  <c r="AH17" i="1"/>
  <c r="AH33" i="1"/>
  <c r="AC17" i="1"/>
  <c r="AC33" i="1"/>
  <c r="U17" i="1"/>
  <c r="U33" i="1"/>
  <c r="M33" i="1"/>
  <c r="M17" i="1"/>
  <c r="AA17" i="1"/>
  <c r="AA33" i="1"/>
  <c r="K17" i="1"/>
  <c r="K33" i="1"/>
  <c r="Z17" i="1"/>
  <c r="Z33" i="1"/>
  <c r="J17" i="1"/>
  <c r="J33" i="1"/>
  <c r="C17" i="1"/>
  <c r="C33" i="1"/>
  <c r="B17" i="1"/>
  <c r="B33" i="1"/>
  <c r="AB17" i="1"/>
  <c r="AB33" i="1"/>
  <c r="T17" i="1"/>
  <c r="T33" i="1"/>
  <c r="L17" i="1"/>
  <c r="L33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B40" i="1"/>
  <c r="B39" i="1"/>
  <c r="U37" i="1" l="1"/>
  <c r="U104" i="1"/>
  <c r="U105" i="1" s="1"/>
  <c r="AD37" i="1"/>
  <c r="AD104" i="1"/>
  <c r="AD105" i="1" s="1"/>
  <c r="G37" i="1"/>
  <c r="G104" i="1"/>
  <c r="G105" i="1" s="1"/>
  <c r="AF37" i="1"/>
  <c r="AF104" i="1"/>
  <c r="AF105" i="1" s="1"/>
  <c r="AG37" i="1"/>
  <c r="AG104" i="1"/>
  <c r="AG105" i="1" s="1"/>
  <c r="BW39" i="1"/>
  <c r="AB37" i="1"/>
  <c r="AB104" i="1"/>
  <c r="AB105" i="1" s="1"/>
  <c r="B37" i="1"/>
  <c r="B104" i="1"/>
  <c r="B105" i="1" s="1"/>
  <c r="K37" i="1"/>
  <c r="K104" i="1"/>
  <c r="K105" i="1" s="1"/>
  <c r="AC37" i="1"/>
  <c r="AD65" i="1" s="1"/>
  <c r="AC104" i="1"/>
  <c r="AC105" i="1" s="1"/>
  <c r="D37" i="1"/>
  <c r="D104" i="1"/>
  <c r="D105" i="1" s="1"/>
  <c r="R37" i="1"/>
  <c r="R104" i="1"/>
  <c r="R105" i="1" s="1"/>
  <c r="F37" i="1"/>
  <c r="F104" i="1"/>
  <c r="F105" i="1" s="1"/>
  <c r="O37" i="1"/>
  <c r="O104" i="1"/>
  <c r="O105" i="1" s="1"/>
  <c r="H37" i="1"/>
  <c r="AZ98" i="1" s="1"/>
  <c r="AZ95" i="1" s="1"/>
  <c r="H104" i="1"/>
  <c r="H105" i="1" s="1"/>
  <c r="BW40" i="1"/>
  <c r="BW41" i="1" s="1"/>
  <c r="BV104" i="1"/>
  <c r="BV105" i="1" s="1"/>
  <c r="BV34" i="1"/>
  <c r="BV36" i="1"/>
  <c r="BV37" i="1"/>
  <c r="I37" i="1"/>
  <c r="I104" i="1"/>
  <c r="I105" i="1" s="1"/>
  <c r="L37" i="1"/>
  <c r="L104" i="1"/>
  <c r="L105" i="1" s="1"/>
  <c r="C37" i="1"/>
  <c r="C104" i="1"/>
  <c r="C105" i="1" s="1"/>
  <c r="AA37" i="1"/>
  <c r="AA104" i="1"/>
  <c r="AA105" i="1" s="1"/>
  <c r="AH37" i="1"/>
  <c r="AH104" i="1"/>
  <c r="AH105" i="1" s="1"/>
  <c r="BW27" i="1"/>
  <c r="BW28" i="1" s="1"/>
  <c r="BY23" i="1"/>
  <c r="BX39" i="1"/>
  <c r="BX78" i="1"/>
  <c r="BX109" i="1" s="1"/>
  <c r="BX29" i="1"/>
  <c r="BX24" i="1"/>
  <c r="BX33" i="1" s="1"/>
  <c r="BX31" i="1"/>
  <c r="N37" i="1"/>
  <c r="N104" i="1"/>
  <c r="N105" i="1" s="1"/>
  <c r="AE37" i="1"/>
  <c r="AE104" i="1"/>
  <c r="AE105" i="1" s="1"/>
  <c r="P37" i="1"/>
  <c r="P104" i="1"/>
  <c r="P105" i="1" s="1"/>
  <c r="Q37" i="1"/>
  <c r="Q104" i="1"/>
  <c r="Q105" i="1" s="1"/>
  <c r="Z37" i="1"/>
  <c r="Z104" i="1"/>
  <c r="Z105" i="1" s="1"/>
  <c r="W37" i="1"/>
  <c r="W104" i="1"/>
  <c r="W105" i="1" s="1"/>
  <c r="T37" i="1"/>
  <c r="T104" i="1"/>
  <c r="T105" i="1" s="1"/>
  <c r="J37" i="1"/>
  <c r="AJ98" i="1" s="1"/>
  <c r="AJ95" i="1" s="1"/>
  <c r="J104" i="1"/>
  <c r="J105" i="1" s="1"/>
  <c r="AI37" i="1"/>
  <c r="AI104" i="1"/>
  <c r="AI105" i="1" s="1"/>
  <c r="E37" i="1"/>
  <c r="E104" i="1"/>
  <c r="E105" i="1" s="1"/>
  <c r="BW33" i="1"/>
  <c r="S37" i="1"/>
  <c r="S104" i="1"/>
  <c r="S105" i="1" s="1"/>
  <c r="M37" i="1"/>
  <c r="M104" i="1"/>
  <c r="M105" i="1" s="1"/>
  <c r="V37" i="1"/>
  <c r="V104" i="1"/>
  <c r="V105" i="1" s="1"/>
  <c r="X37" i="1"/>
  <c r="Y98" i="1" s="1"/>
  <c r="Y95" i="1" s="1"/>
  <c r="X104" i="1"/>
  <c r="X105" i="1" s="1"/>
  <c r="Y37" i="1"/>
  <c r="Y104" i="1"/>
  <c r="Y105" i="1" s="1"/>
  <c r="BW117" i="1"/>
  <c r="BW118" i="1" s="1"/>
  <c r="BW119" i="1" s="1"/>
  <c r="BW44" i="1"/>
  <c r="T98" i="1"/>
  <c r="T95" i="1" s="1"/>
  <c r="AB98" i="1"/>
  <c r="AB95" i="1" s="1"/>
  <c r="AR98" i="1"/>
  <c r="AR95" i="1" s="1"/>
  <c r="C98" i="1"/>
  <c r="C95" i="1" s="1"/>
  <c r="AU98" i="1"/>
  <c r="AU95" i="1" s="1"/>
  <c r="AL98" i="1"/>
  <c r="AL95" i="1" s="1"/>
  <c r="B98" i="1"/>
  <c r="AV98" i="1"/>
  <c r="AV95" i="1" s="1"/>
  <c r="U98" i="1"/>
  <c r="U95" i="1" s="1"/>
  <c r="J98" i="1"/>
  <c r="J95" i="1" s="1"/>
  <c r="AX98" i="1"/>
  <c r="AX95" i="1" s="1"/>
  <c r="AN98" i="1"/>
  <c r="AN95" i="1" s="1"/>
  <c r="M98" i="1"/>
  <c r="M95" i="1" s="1"/>
  <c r="K98" i="1"/>
  <c r="K95" i="1" s="1"/>
  <c r="AP98" i="1"/>
  <c r="AP95" i="1" s="1"/>
  <c r="AF98" i="1"/>
  <c r="AF95" i="1" s="1"/>
  <c r="AT98" i="1"/>
  <c r="AT95" i="1" s="1"/>
  <c r="AI98" i="1"/>
  <c r="AI95" i="1" s="1"/>
  <c r="AG98" i="1"/>
  <c r="AG95" i="1" s="1"/>
  <c r="O98" i="1"/>
  <c r="O95" i="1" s="1"/>
  <c r="AA98" i="1"/>
  <c r="AA95" i="1" s="1"/>
  <c r="Z98" i="1"/>
  <c r="Z95" i="1" s="1"/>
  <c r="P98" i="1"/>
  <c r="P95" i="1" s="1"/>
  <c r="BA98" i="1"/>
  <c r="BA95" i="1" s="1"/>
  <c r="R98" i="1"/>
  <c r="R95" i="1" s="1"/>
  <c r="Q98" i="1"/>
  <c r="Q95" i="1" s="1"/>
  <c r="BB98" i="1"/>
  <c r="BB95" i="1" s="1"/>
  <c r="BC98" i="1"/>
  <c r="BC95" i="1" s="1"/>
  <c r="Q36" i="1"/>
  <c r="Q34" i="1"/>
  <c r="Q54" i="1"/>
  <c r="Q55" i="1"/>
  <c r="M54" i="1"/>
  <c r="M55" i="1"/>
  <c r="M36" i="1"/>
  <c r="M34" i="1"/>
  <c r="AI54" i="1"/>
  <c r="AI55" i="1"/>
  <c r="AI36" i="1"/>
  <c r="AI34" i="1"/>
  <c r="E54" i="1"/>
  <c r="E55" i="1"/>
  <c r="E36" i="1"/>
  <c r="E34" i="1"/>
  <c r="J54" i="1"/>
  <c r="J55" i="1"/>
  <c r="J36" i="1"/>
  <c r="J34" i="1"/>
  <c r="AE34" i="1"/>
  <c r="AE36" i="1"/>
  <c r="AE54" i="1"/>
  <c r="AE55" i="1"/>
  <c r="AB54" i="1"/>
  <c r="AB55" i="1"/>
  <c r="AB36" i="1"/>
  <c r="AB34" i="1"/>
  <c r="Z54" i="1"/>
  <c r="Z55" i="1"/>
  <c r="Z36" i="1"/>
  <c r="Z34" i="1"/>
  <c r="U54" i="1"/>
  <c r="U55" i="1"/>
  <c r="U36" i="1"/>
  <c r="U34" i="1"/>
  <c r="V34" i="1"/>
  <c r="V54" i="1"/>
  <c r="V55" i="1"/>
  <c r="V36" i="1"/>
  <c r="X36" i="1"/>
  <c r="X34" i="1"/>
  <c r="X54" i="1"/>
  <c r="X55" i="1"/>
  <c r="Y36" i="1"/>
  <c r="Y34" i="1"/>
  <c r="Y54" i="1"/>
  <c r="Y55" i="1"/>
  <c r="T54" i="1"/>
  <c r="T55" i="1"/>
  <c r="T36" i="1"/>
  <c r="T34" i="1"/>
  <c r="S54" i="1"/>
  <c r="S55" i="1"/>
  <c r="S36" i="1"/>
  <c r="S34" i="1"/>
  <c r="N54" i="1"/>
  <c r="N55" i="1"/>
  <c r="N36" i="1"/>
  <c r="N34" i="1"/>
  <c r="B55" i="1"/>
  <c r="B54" i="1"/>
  <c r="B36" i="1"/>
  <c r="B34" i="1"/>
  <c r="K54" i="1"/>
  <c r="K55" i="1"/>
  <c r="K36" i="1"/>
  <c r="K34" i="1"/>
  <c r="AC54" i="1"/>
  <c r="AC55" i="1"/>
  <c r="AC36" i="1"/>
  <c r="AC34" i="1"/>
  <c r="AD54" i="1"/>
  <c r="AD55" i="1"/>
  <c r="AD34" i="1"/>
  <c r="AD36" i="1"/>
  <c r="G34" i="1"/>
  <c r="G36" i="1"/>
  <c r="G54" i="1"/>
  <c r="G55" i="1"/>
  <c r="AF36" i="1"/>
  <c r="AF34" i="1"/>
  <c r="AF54" i="1"/>
  <c r="AF55" i="1"/>
  <c r="AG36" i="1"/>
  <c r="AG54" i="1"/>
  <c r="AG34" i="1"/>
  <c r="AG55" i="1"/>
  <c r="W34" i="1"/>
  <c r="W36" i="1"/>
  <c r="W54" i="1"/>
  <c r="W55" i="1"/>
  <c r="D54" i="1"/>
  <c r="D55" i="1"/>
  <c r="D36" i="1"/>
  <c r="D34" i="1"/>
  <c r="R54" i="1"/>
  <c r="R55" i="1"/>
  <c r="R36" i="1"/>
  <c r="R34" i="1"/>
  <c r="P36" i="1"/>
  <c r="P34" i="1"/>
  <c r="P54" i="1"/>
  <c r="P55" i="1"/>
  <c r="L54" i="1"/>
  <c r="L55" i="1"/>
  <c r="L36" i="1"/>
  <c r="L34" i="1"/>
  <c r="C54" i="1"/>
  <c r="C55" i="1"/>
  <c r="C36" i="1"/>
  <c r="C34" i="1"/>
  <c r="AA54" i="1"/>
  <c r="AA55" i="1"/>
  <c r="AA36" i="1"/>
  <c r="AA34" i="1"/>
  <c r="AH54" i="1"/>
  <c r="AH55" i="1"/>
  <c r="AH36" i="1"/>
  <c r="AH34" i="1"/>
  <c r="F34" i="1"/>
  <c r="F54" i="1"/>
  <c r="F55" i="1"/>
  <c r="F36" i="1"/>
  <c r="O34" i="1"/>
  <c r="O54" i="1"/>
  <c r="O55" i="1"/>
  <c r="O36" i="1"/>
  <c r="H36" i="1"/>
  <c r="H34" i="1"/>
  <c r="H54" i="1"/>
  <c r="H55" i="1"/>
  <c r="I36" i="1"/>
  <c r="I34" i="1"/>
  <c r="I55" i="1"/>
  <c r="I54" i="1"/>
  <c r="B52" i="1"/>
  <c r="C35" i="1"/>
  <c r="C41" i="1" s="1"/>
  <c r="D35" i="1"/>
  <c r="D41" i="1" s="1"/>
  <c r="E35" i="1"/>
  <c r="E41" i="1" s="1"/>
  <c r="F35" i="1"/>
  <c r="F41" i="1" s="1"/>
  <c r="G35" i="1"/>
  <c r="G41" i="1" s="1"/>
  <c r="H35" i="1"/>
  <c r="H41" i="1" s="1"/>
  <c r="I35" i="1"/>
  <c r="I41" i="1" s="1"/>
  <c r="J35" i="1"/>
  <c r="J41" i="1" s="1"/>
  <c r="K35" i="1"/>
  <c r="K41" i="1" s="1"/>
  <c r="L35" i="1"/>
  <c r="L41" i="1" s="1"/>
  <c r="M35" i="1"/>
  <c r="M41" i="1" s="1"/>
  <c r="N35" i="1"/>
  <c r="N41" i="1" s="1"/>
  <c r="O35" i="1"/>
  <c r="O41" i="1" s="1"/>
  <c r="P35" i="1"/>
  <c r="P41" i="1" s="1"/>
  <c r="Q35" i="1"/>
  <c r="Q41" i="1" s="1"/>
  <c r="R35" i="1"/>
  <c r="R41" i="1" s="1"/>
  <c r="S35" i="1"/>
  <c r="S41" i="1" s="1"/>
  <c r="T35" i="1"/>
  <c r="T41" i="1" s="1"/>
  <c r="U35" i="1"/>
  <c r="U41" i="1" s="1"/>
  <c r="V35" i="1"/>
  <c r="V41" i="1" s="1"/>
  <c r="W35" i="1"/>
  <c r="W41" i="1" s="1"/>
  <c r="X35" i="1"/>
  <c r="X41" i="1" s="1"/>
  <c r="Y35" i="1"/>
  <c r="Y41" i="1" s="1"/>
  <c r="Z35" i="1"/>
  <c r="Z41" i="1" s="1"/>
  <c r="AA35" i="1"/>
  <c r="AA41" i="1" s="1"/>
  <c r="AB35" i="1"/>
  <c r="AB41" i="1" s="1"/>
  <c r="AC35" i="1"/>
  <c r="AC41" i="1" s="1"/>
  <c r="AD35" i="1"/>
  <c r="AD41" i="1" s="1"/>
  <c r="AE35" i="1"/>
  <c r="AE41" i="1" s="1"/>
  <c r="AF35" i="1"/>
  <c r="AF41" i="1" s="1"/>
  <c r="AG35" i="1"/>
  <c r="AG41" i="1" s="1"/>
  <c r="AH35" i="1"/>
  <c r="AH41" i="1" s="1"/>
  <c r="AI35" i="1"/>
  <c r="AI41" i="1" s="1"/>
  <c r="B35" i="1"/>
  <c r="B41" i="1" s="1"/>
  <c r="BX104" i="1" l="1"/>
  <c r="BX105" i="1" s="1"/>
  <c r="BX36" i="1"/>
  <c r="BX37" i="1"/>
  <c r="BX34" i="1"/>
  <c r="S98" i="1"/>
  <c r="S95" i="1" s="1"/>
  <c r="I98" i="1"/>
  <c r="I95" i="1" s="1"/>
  <c r="N98" i="1"/>
  <c r="N95" i="1" s="1"/>
  <c r="V98" i="1"/>
  <c r="V95" i="1" s="1"/>
  <c r="AD98" i="1"/>
  <c r="AD95" i="1" s="1"/>
  <c r="BD98" i="1"/>
  <c r="BD95" i="1" s="1"/>
  <c r="L98" i="1"/>
  <c r="L95" i="1" s="1"/>
  <c r="BX40" i="1"/>
  <c r="CY98" i="1"/>
  <c r="CY95" i="1" s="1"/>
  <c r="CW98" i="1"/>
  <c r="CW95" i="1" s="1"/>
  <c r="CX98" i="1"/>
  <c r="CX95" i="1" s="1"/>
  <c r="CU98" i="1"/>
  <c r="CU95" i="1" s="1"/>
  <c r="BL98" i="1"/>
  <c r="BL95" i="1" s="1"/>
  <c r="BT98" i="1"/>
  <c r="BT95" i="1" s="1"/>
  <c r="CB98" i="1"/>
  <c r="CB95" i="1" s="1"/>
  <c r="CJ98" i="1"/>
  <c r="CJ95" i="1" s="1"/>
  <c r="CR98" i="1"/>
  <c r="CR95" i="1" s="1"/>
  <c r="CV98" i="1"/>
  <c r="CV95" i="1" s="1"/>
  <c r="BM98" i="1"/>
  <c r="BM95" i="1" s="1"/>
  <c r="BU98" i="1"/>
  <c r="BU95" i="1" s="1"/>
  <c r="CC98" i="1"/>
  <c r="CC95" i="1" s="1"/>
  <c r="CK98" i="1"/>
  <c r="CK95" i="1" s="1"/>
  <c r="BF98" i="1"/>
  <c r="BF95" i="1" s="1"/>
  <c r="BN98" i="1"/>
  <c r="BN95" i="1" s="1"/>
  <c r="BV98" i="1"/>
  <c r="BV95" i="1" s="1"/>
  <c r="CD98" i="1"/>
  <c r="CD95" i="1" s="1"/>
  <c r="CL98" i="1"/>
  <c r="CL95" i="1" s="1"/>
  <c r="BG98" i="1"/>
  <c r="BG95" i="1" s="1"/>
  <c r="BO98" i="1"/>
  <c r="BO95" i="1" s="1"/>
  <c r="BW98" i="1"/>
  <c r="BW95" i="1" s="1"/>
  <c r="CE98" i="1"/>
  <c r="CE95" i="1" s="1"/>
  <c r="CM98" i="1"/>
  <c r="CM95" i="1" s="1"/>
  <c r="BH98" i="1"/>
  <c r="BH95" i="1" s="1"/>
  <c r="BP98" i="1"/>
  <c r="BP95" i="1" s="1"/>
  <c r="BX98" i="1"/>
  <c r="BX95" i="1" s="1"/>
  <c r="CF98" i="1"/>
  <c r="CF95" i="1" s="1"/>
  <c r="CN98" i="1"/>
  <c r="CN95" i="1" s="1"/>
  <c r="BI98" i="1"/>
  <c r="BI95" i="1" s="1"/>
  <c r="BQ98" i="1"/>
  <c r="BQ95" i="1" s="1"/>
  <c r="BY98" i="1"/>
  <c r="CG98" i="1"/>
  <c r="CG95" i="1" s="1"/>
  <c r="CO98" i="1"/>
  <c r="CO95" i="1" s="1"/>
  <c r="CS98" i="1"/>
  <c r="CS95" i="1" s="1"/>
  <c r="BJ98" i="1"/>
  <c r="BJ95" i="1" s="1"/>
  <c r="BR98" i="1"/>
  <c r="BR95" i="1" s="1"/>
  <c r="BZ98" i="1"/>
  <c r="BZ95" i="1" s="1"/>
  <c r="CH98" i="1"/>
  <c r="CH95" i="1" s="1"/>
  <c r="CP98" i="1"/>
  <c r="CP95" i="1" s="1"/>
  <c r="CT98" i="1"/>
  <c r="CT95" i="1" s="1"/>
  <c r="BK98" i="1"/>
  <c r="BK95" i="1" s="1"/>
  <c r="BS98" i="1"/>
  <c r="BS95" i="1" s="1"/>
  <c r="CA98" i="1"/>
  <c r="CA95" i="1" s="1"/>
  <c r="CI98" i="1"/>
  <c r="CI95" i="1" s="1"/>
  <c r="CQ98" i="1"/>
  <c r="CQ95" i="1" s="1"/>
  <c r="E98" i="1"/>
  <c r="E95" i="1" s="1"/>
  <c r="AK98" i="1"/>
  <c r="AK95" i="1" s="1"/>
  <c r="F98" i="1"/>
  <c r="F95" i="1" s="1"/>
  <c r="W98" i="1"/>
  <c r="W95" i="1" s="1"/>
  <c r="AE98" i="1"/>
  <c r="AE95" i="1" s="1"/>
  <c r="AM98" i="1"/>
  <c r="AM95" i="1" s="1"/>
  <c r="B99" i="1"/>
  <c r="BE63" i="1" s="1"/>
  <c r="D98" i="1"/>
  <c r="D95" i="1" s="1"/>
  <c r="BX41" i="1"/>
  <c r="BY40" i="1"/>
  <c r="BY39" i="1"/>
  <c r="BY78" i="1"/>
  <c r="BY109" i="1" s="1"/>
  <c r="BY29" i="1"/>
  <c r="BY24" i="1"/>
  <c r="BY31" i="1"/>
  <c r="BY33" i="1"/>
  <c r="AS98" i="1"/>
  <c r="AS95" i="1" s="1"/>
  <c r="G98" i="1"/>
  <c r="G95" i="1" s="1"/>
  <c r="X98" i="1"/>
  <c r="X95" i="1" s="1"/>
  <c r="AO98" i="1"/>
  <c r="AO95" i="1" s="1"/>
  <c r="AW98" i="1"/>
  <c r="AW95" i="1" s="1"/>
  <c r="BE98" i="1"/>
  <c r="BE95" i="1" s="1"/>
  <c r="BX117" i="1"/>
  <c r="BX118" i="1" s="1"/>
  <c r="BX119" i="1" s="1"/>
  <c r="BX44" i="1"/>
  <c r="H98" i="1"/>
  <c r="H95" i="1" s="1"/>
  <c r="AH98" i="1"/>
  <c r="AH95" i="1" s="1"/>
  <c r="AQ98" i="1"/>
  <c r="AQ95" i="1" s="1"/>
  <c r="AY98" i="1"/>
  <c r="AY95" i="1" s="1"/>
  <c r="AC98" i="1"/>
  <c r="AC95" i="1" s="1"/>
  <c r="BX27" i="1"/>
  <c r="BX28" i="1" s="1"/>
  <c r="BX30" i="1"/>
  <c r="AD64" i="1"/>
  <c r="BW34" i="1"/>
  <c r="BW104" i="1"/>
  <c r="BW105" i="1" s="1"/>
  <c r="BW37" i="1"/>
  <c r="BW36" i="1"/>
  <c r="B95" i="1"/>
  <c r="BE62" i="1"/>
  <c r="AI44" i="1"/>
  <c r="AI30" i="1"/>
  <c r="AI29" i="1"/>
  <c r="AI27" i="1"/>
  <c r="AH44" i="1"/>
  <c r="AH30" i="1"/>
  <c r="AH29" i="1"/>
  <c r="AH27" i="1"/>
  <c r="AG44" i="1"/>
  <c r="AG30" i="1"/>
  <c r="AG29" i="1"/>
  <c r="AG27" i="1"/>
  <c r="BY117" i="1" l="1"/>
  <c r="BY118" i="1" s="1"/>
  <c r="BY119" i="1" s="1"/>
  <c r="BY44" i="1"/>
  <c r="BY27" i="1"/>
  <c r="BY28" i="1" s="1"/>
  <c r="BY30" i="1"/>
  <c r="BY41" i="1"/>
  <c r="BY95" i="1"/>
  <c r="BY34" i="1"/>
  <c r="BY104" i="1"/>
  <c r="BY105" i="1" s="1"/>
  <c r="BY36" i="1"/>
  <c r="BY37" i="1"/>
  <c r="BF62" i="1"/>
  <c r="AG28" i="1"/>
  <c r="AH28" i="1"/>
  <c r="AI28" i="1"/>
  <c r="AF30" i="1"/>
  <c r="AF29" i="1"/>
  <c r="AF27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B30" i="1"/>
  <c r="AE29" i="1"/>
  <c r="AE27" i="1"/>
  <c r="AD29" i="1"/>
  <c r="AD27" i="1"/>
  <c r="AA27" i="1"/>
  <c r="AB27" i="1"/>
  <c r="AA29" i="1"/>
  <c r="AB29" i="1"/>
  <c r="AC29" i="1"/>
  <c r="AC27" i="1"/>
  <c r="Z29" i="1"/>
  <c r="Z27" i="1"/>
  <c r="W29" i="1"/>
  <c r="X29" i="1"/>
  <c r="Y29" i="1"/>
  <c r="W27" i="1"/>
  <c r="X27" i="1"/>
  <c r="Y27" i="1"/>
  <c r="S29" i="1"/>
  <c r="T29" i="1"/>
  <c r="U29" i="1"/>
  <c r="V29" i="1"/>
  <c r="U27" i="1"/>
  <c r="V27" i="1"/>
  <c r="S27" i="1"/>
  <c r="T27" i="1"/>
  <c r="Q27" i="1"/>
  <c r="R27" i="1"/>
  <c r="P29" i="1"/>
  <c r="Q29" i="1"/>
  <c r="R29" i="1"/>
  <c r="P27" i="1"/>
  <c r="N29" i="1"/>
  <c r="O29" i="1"/>
  <c r="N27" i="1"/>
  <c r="O27" i="1"/>
  <c r="M29" i="1"/>
  <c r="L29" i="1"/>
  <c r="L27" i="1"/>
  <c r="M27" i="1"/>
  <c r="C29" i="1"/>
  <c r="D29" i="1"/>
  <c r="E29" i="1"/>
  <c r="F29" i="1"/>
  <c r="G29" i="1"/>
  <c r="H29" i="1"/>
  <c r="I29" i="1"/>
  <c r="J29" i="1"/>
  <c r="K29" i="1"/>
  <c r="B29" i="1"/>
  <c r="K27" i="1"/>
  <c r="H27" i="1"/>
  <c r="I27" i="1"/>
  <c r="J27" i="1"/>
  <c r="G27" i="1"/>
  <c r="C27" i="1"/>
  <c r="D27" i="1"/>
  <c r="E27" i="1"/>
  <c r="F27" i="1"/>
  <c r="B27" i="1"/>
  <c r="BE60" i="1" l="1"/>
  <c r="BE59" i="1"/>
  <c r="BF59" i="1" s="1"/>
  <c r="AD28" i="1"/>
  <c r="AD44" i="1"/>
  <c r="L28" i="1"/>
  <c r="U28" i="1"/>
  <c r="AE44" i="1"/>
  <c r="W44" i="1"/>
  <c r="W46" i="1" s="1"/>
  <c r="O44" i="1"/>
  <c r="O46" i="1" s="1"/>
  <c r="V44" i="1"/>
  <c r="V46" i="1" s="1"/>
  <c r="AB28" i="1"/>
  <c r="AC44" i="1"/>
  <c r="AC46" i="1" s="1"/>
  <c r="U44" i="1"/>
  <c r="U46" i="1" s="1"/>
  <c r="M44" i="1"/>
  <c r="M46" i="1" s="1"/>
  <c r="AA28" i="1"/>
  <c r="AB44" i="1"/>
  <c r="AB46" i="1" s="1"/>
  <c r="T44" i="1"/>
  <c r="T46" i="1" s="1"/>
  <c r="L44" i="1"/>
  <c r="L46" i="1" s="1"/>
  <c r="AF44" i="1"/>
  <c r="O28" i="1"/>
  <c r="K28" i="1"/>
  <c r="N28" i="1"/>
  <c r="Q28" i="1"/>
  <c r="Z28" i="1"/>
  <c r="AA44" i="1"/>
  <c r="AA46" i="1" s="1"/>
  <c r="S44" i="1"/>
  <c r="S46" i="1" s="1"/>
  <c r="K44" i="1"/>
  <c r="K46" i="1" s="1"/>
  <c r="J28" i="1"/>
  <c r="N44" i="1"/>
  <c r="N46" i="1" s="1"/>
  <c r="I28" i="1"/>
  <c r="H28" i="1"/>
  <c r="T28" i="1"/>
  <c r="Y28" i="1"/>
  <c r="Z44" i="1"/>
  <c r="Z46" i="1" s="1"/>
  <c r="R44" i="1"/>
  <c r="R46" i="1" s="1"/>
  <c r="J44" i="1"/>
  <c r="J46" i="1" s="1"/>
  <c r="S28" i="1"/>
  <c r="X28" i="1"/>
  <c r="AC28" i="1"/>
  <c r="Y44" i="1"/>
  <c r="Y46" i="1" s="1"/>
  <c r="Q44" i="1"/>
  <c r="Q46" i="1" s="1"/>
  <c r="I44" i="1"/>
  <c r="I46" i="1" s="1"/>
  <c r="AF28" i="1"/>
  <c r="R28" i="1"/>
  <c r="M28" i="1"/>
  <c r="P28" i="1"/>
  <c r="V28" i="1"/>
  <c r="W28" i="1"/>
  <c r="AE28" i="1"/>
  <c r="X44" i="1"/>
  <c r="X46" i="1" s="1"/>
  <c r="P44" i="1"/>
  <c r="P46" i="1" s="1"/>
  <c r="H44" i="1"/>
  <c r="H46" i="1" s="1"/>
  <c r="C44" i="1"/>
  <c r="B44" i="1"/>
  <c r="B28" i="1"/>
  <c r="C28" i="1"/>
  <c r="D44" i="1"/>
  <c r="D28" i="1"/>
  <c r="E44" i="1"/>
  <c r="E28" i="1"/>
  <c r="F28" i="1"/>
  <c r="F44" i="1"/>
  <c r="F46" i="1" s="1"/>
  <c r="G28" i="1"/>
  <c r="G44" i="1"/>
  <c r="G46" i="1" s="1"/>
  <c r="F5" i="1"/>
  <c r="F7" i="1" s="1"/>
  <c r="B13" i="1"/>
  <c r="B14" i="1"/>
  <c r="C5" i="1"/>
  <c r="C7" i="1" s="1"/>
  <c r="D5" i="1"/>
  <c r="D7" i="1" s="1"/>
  <c r="E5" i="1"/>
  <c r="E7" i="1" s="1"/>
  <c r="B5" i="1"/>
  <c r="B7" i="1" s="1"/>
  <c r="B11" i="1" l="1"/>
  <c r="B15" i="1" s="1"/>
</calcChain>
</file>

<file path=xl/sharedStrings.xml><?xml version="1.0" encoding="utf-8"?>
<sst xmlns="http://schemas.openxmlformats.org/spreadsheetml/2006/main" count="231" uniqueCount="217">
  <si>
    <t>A1</t>
  </si>
  <si>
    <t>design</t>
  </si>
  <si>
    <t>epsilon</t>
  </si>
  <si>
    <t>epsilon0</t>
  </si>
  <si>
    <t>a</t>
  </si>
  <si>
    <t>S</t>
  </si>
  <si>
    <t>C</t>
  </si>
  <si>
    <t>spiral (A9)</t>
  </si>
  <si>
    <t>A8</t>
  </si>
  <si>
    <t>A7</t>
  </si>
  <si>
    <t>capacitance(fF)</t>
  </si>
  <si>
    <t>parasitic capacitance(fF)</t>
  </si>
  <si>
    <t>omega_0_theorique (Ghz)</t>
  </si>
  <si>
    <t>inductance(nH)</t>
  </si>
  <si>
    <t>omega_0_mesuré (Ghz)</t>
  </si>
  <si>
    <t>paper</t>
  </si>
  <si>
    <t>omega_0_unparasited (Ghz)</t>
  </si>
  <si>
    <t>inductance design</t>
  </si>
  <si>
    <t>B1</t>
  </si>
  <si>
    <t>B2</t>
  </si>
  <si>
    <t>B3</t>
  </si>
  <si>
    <t>B4</t>
  </si>
  <si>
    <t>B5</t>
  </si>
  <si>
    <t>B6</t>
  </si>
  <si>
    <t>N</t>
  </si>
  <si>
    <t>longest length</t>
  </si>
  <si>
    <t>shortest length</t>
  </si>
  <si>
    <t>s</t>
  </si>
  <si>
    <t>w</t>
  </si>
  <si>
    <t>inductance (nH)</t>
  </si>
  <si>
    <t>parasitic capacitance (fF)</t>
  </si>
  <si>
    <t>mean length</t>
  </si>
  <si>
    <t>B7</t>
  </si>
  <si>
    <t>B8</t>
  </si>
  <si>
    <t>B9</t>
  </si>
  <si>
    <t>B10</t>
  </si>
  <si>
    <t>B11</t>
  </si>
  <si>
    <t>B12</t>
  </si>
  <si>
    <t>perimeter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</si>
  <si>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</si>
  <si>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</si>
  <si>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</si>
  <si>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</si>
  <si>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</si>
  <si>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</si>
  <si>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</si>
  <si>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</si>
  <si>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</si>
  <si>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</si>
  <si>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</si>
  <si>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</si>
  <si>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</si>
  <si>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</si>
  <si>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</si>
  <si>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</si>
  <si>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</si>
  <si>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</si>
  <si>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real perimeter</t>
  </si>
  <si>
    <t>big area</t>
  </si>
  <si>
    <t>real area</t>
  </si>
  <si>
    <t>B31</t>
  </si>
  <si>
    <t>B32</t>
  </si>
  <si>
    <t>B33</t>
  </si>
  <si>
    <t>B34</t>
  </si>
  <si>
    <t>N^(5/3)</t>
  </si>
  <si>
    <t>C1</t>
  </si>
  <si>
    <t>C2</t>
  </si>
  <si>
    <t>C3</t>
  </si>
  <si>
    <t>C4</t>
  </si>
  <si>
    <t>mu_0</t>
  </si>
  <si>
    <t>c</t>
  </si>
  <si>
    <t>L_model_bis</t>
  </si>
  <si>
    <t>C/(real perimeter)</t>
  </si>
  <si>
    <t>taille du gap (microns)</t>
  </si>
  <si>
    <t>capacité parasite (fF)</t>
  </si>
  <si>
    <t>B33 overlap capacitance</t>
  </si>
  <si>
    <t>C_diff/(real perimeter)</t>
  </si>
  <si>
    <t>B35</t>
  </si>
  <si>
    <t>B36</t>
  </si>
  <si>
    <t>B37</t>
  </si>
  <si>
    <t>B38</t>
  </si>
  <si>
    <t>spiral bis (A9 reshaped)</t>
  </si>
  <si>
    <t>delta_model</t>
  </si>
  <si>
    <t>B39</t>
  </si>
  <si>
    <t>B40</t>
  </si>
  <si>
    <t>B41</t>
  </si>
  <si>
    <t>B42</t>
  </si>
  <si>
    <t>B43</t>
  </si>
  <si>
    <t>self-resonance frequency (GHz)</t>
  </si>
  <si>
    <t>L*omega_res</t>
  </si>
  <si>
    <t>test</t>
  </si>
  <si>
    <t>occupation factor (rho)</t>
  </si>
  <si>
    <t>(L/C)</t>
  </si>
  <si>
    <t>B44</t>
  </si>
  <si>
    <t>B45</t>
  </si>
  <si>
    <t>B46</t>
  </si>
  <si>
    <t>B47</t>
  </si>
  <si>
    <t>B48</t>
  </si>
  <si>
    <t>B49</t>
  </si>
  <si>
    <t>!!!!</t>
  </si>
  <si>
    <t>!!!</t>
  </si>
  <si>
    <t>(L/C)/(-rho)+10</t>
  </si>
  <si>
    <t>C*rho</t>
  </si>
  <si>
    <t>L*rho</t>
  </si>
  <si>
    <t>B50</t>
  </si>
  <si>
    <t>B51</t>
  </si>
  <si>
    <t>B52</t>
  </si>
  <si>
    <t>B53</t>
  </si>
  <si>
    <t>B54</t>
  </si>
  <si>
    <t>B55</t>
  </si>
  <si>
    <t>B56</t>
  </si>
  <si>
    <t>s/Di</t>
  </si>
  <si>
    <t>geometrical_factor</t>
  </si>
  <si>
    <t>s=1</t>
  </si>
  <si>
    <t>w=1</t>
  </si>
  <si>
    <t>s=1 (standard deviation)</t>
  </si>
  <si>
    <t>C_model</t>
  </si>
  <si>
    <t>C8</t>
  </si>
  <si>
    <t>C5</t>
  </si>
  <si>
    <t>C6</t>
  </si>
  <si>
    <t>C7</t>
  </si>
  <si>
    <t>C9</t>
  </si>
  <si>
    <t>C10</t>
  </si>
  <si>
    <t>(C/N)*(rho^(0,8))/(s+w)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</si>
  <si>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</si>
  <si>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</si>
  <si>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</si>
  <si>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</si>
  <si>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</si>
  <si>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</si>
  <si>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</si>
  <si>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</si>
  <si>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</si>
  <si>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</si>
  <si>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s=2, w=1</t>
  </si>
  <si>
    <t>standard deviation</t>
  </si>
  <si>
    <t>perimeter the come back</t>
  </si>
  <si>
    <t>s=1, w=2</t>
  </si>
  <si>
    <t>s=1, w=1</t>
  </si>
  <si>
    <t>perimeter (is it dead ?)</t>
  </si>
  <si>
    <t>L_model_handmade</t>
  </si>
  <si>
    <t>formula for perimeter</t>
  </si>
  <si>
    <t>4s*(-3*N+1)+4*(N-1)²*(s+w)/rho+4*(N-1)*w/rho</t>
  </si>
  <si>
    <t>E1</t>
  </si>
  <si>
    <t>E2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</si>
  <si>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</si>
  <si>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</si>
  <si>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</si>
  <si>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</si>
  <si>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</si>
  <si>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</si>
  <si>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</si>
  <si>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</si>
  <si>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</si>
  <si>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</si>
  <si>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</si>
  <si>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</si>
  <si>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</si>
  <si>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</si>
  <si>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</si>
  <si>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</si>
  <si>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</si>
  <si>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</si>
  <si>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</si>
  <si>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</si>
  <si>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F1</t>
  </si>
  <si>
    <t>F2</t>
  </si>
  <si>
    <t>F3</t>
  </si>
  <si>
    <t>GMD</t>
  </si>
  <si>
    <t>L_tot</t>
  </si>
  <si>
    <t>L0_model</t>
  </si>
  <si>
    <t>abs((L-Ltot)/L)</t>
  </si>
  <si>
    <t>M_model_first_order</t>
  </si>
  <si>
    <t>length of segments</t>
  </si>
  <si>
    <t>L_java_model</t>
  </si>
  <si>
    <t>(L_java_model-L)/L</t>
  </si>
  <si>
    <t>F4</t>
  </si>
  <si>
    <t>F5</t>
  </si>
  <si>
    <t>octogonal</t>
  </si>
  <si>
    <t>F6</t>
  </si>
  <si>
    <t>F7</t>
  </si>
  <si>
    <t>16 turns</t>
  </si>
  <si>
    <t>geometrical factor</t>
  </si>
  <si>
    <t>C*10^(-9)/(l*geom)</t>
  </si>
  <si>
    <t>F8</t>
  </si>
  <si>
    <t>design inductance</t>
  </si>
  <si>
    <t>L (nH)</t>
  </si>
  <si>
    <t>C_para (fF)</t>
  </si>
  <si>
    <t>C_0 (fF)</t>
  </si>
  <si>
    <t>omega_0_theorique</t>
  </si>
  <si>
    <t>omega_0_mesuré</t>
  </si>
  <si>
    <t>essai membrane (substrat air)</t>
  </si>
  <si>
    <t>F3(membrane infinie)</t>
  </si>
  <si>
    <t>F3(membrane 0,5 microns)</t>
  </si>
  <si>
    <t>F3(membrane 0,25 microns)</t>
  </si>
  <si>
    <t>F3(membrane 0,05 microns)</t>
  </si>
  <si>
    <t>thickness (microns)</t>
  </si>
  <si>
    <t>d(omega)/dz</t>
  </si>
  <si>
    <t>(1/omega)*d(omega)/dz</t>
  </si>
  <si>
    <t>ratio</t>
  </si>
  <si>
    <t>theoretical ratio</t>
  </si>
  <si>
    <t>F9</t>
  </si>
  <si>
    <t>F10</t>
  </si>
  <si>
    <t>sans substrat</t>
  </si>
  <si>
    <t>F11</t>
  </si>
  <si>
    <t>F12</t>
  </si>
  <si>
    <t>F13</t>
  </si>
  <si>
    <t>F14</t>
  </si>
  <si>
    <t>F9 avec substrat : C=41fF</t>
  </si>
  <si>
    <t>F10 avec substrat : C=48fF</t>
  </si>
  <si>
    <t>29,9 nH et 21,4fF</t>
  </si>
  <si>
    <t>test_design_membrane</t>
  </si>
  <si>
    <t>C ground</t>
  </si>
  <si>
    <t>C remaining</t>
  </si>
  <si>
    <t>C remaining*10^6/(l)</t>
  </si>
  <si>
    <t>A1 (nous)</t>
  </si>
  <si>
    <t>A1 (testé avec Takis)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</si>
</sst>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inductance (nH)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Sheet1!$B$35:$AI$35</c:f>
              <c:numCache>
                <c:formatCode>General</c:formatCode>
                <c:ptCount val="34"/>
                <c:pt idx="0">
                  <c:v>147.36125994561544</c:v>
                </c:pt>
                <c:pt idx="1">
                  <c:v>147.36125994561544</c:v>
                </c:pt>
                <c:pt idx="2">
                  <c:v>147.36125994561544</c:v>
                </c:pt>
                <c:pt idx="3">
                  <c:v>112.39531331378515</c:v>
                </c:pt>
                <c:pt idx="4">
                  <c:v>213.7469933345871</c:v>
                </c:pt>
                <c:pt idx="5">
                  <c:v>213.7469933345871</c:v>
                </c:pt>
                <c:pt idx="6">
                  <c:v>213.7469933345871</c:v>
                </c:pt>
                <c:pt idx="7">
                  <c:v>213.7469933345871</c:v>
                </c:pt>
                <c:pt idx="8">
                  <c:v>213.7469933345871</c:v>
                </c:pt>
                <c:pt idx="9">
                  <c:v>213.7469933345871</c:v>
                </c:pt>
                <c:pt idx="10">
                  <c:v>213.7469933345871</c:v>
                </c:pt>
                <c:pt idx="11">
                  <c:v>213.7469933345871</c:v>
                </c:pt>
                <c:pt idx="12">
                  <c:v>199.68804701298282</c:v>
                </c:pt>
                <c:pt idx="13">
                  <c:v>186.01432617907153</c:v>
                </c:pt>
                <c:pt idx="14">
                  <c:v>172.73133703187324</c:v>
                </c:pt>
                <c:pt idx="15">
                  <c:v>159.84491483142523</c:v>
                </c:pt>
                <c:pt idx="16">
                  <c:v>147.36125994561544</c:v>
                </c:pt>
                <c:pt idx="17">
                  <c:v>135.28697981913788</c:v>
                </c:pt>
                <c:pt idx="18">
                  <c:v>123.62913819575981</c:v>
                </c:pt>
                <c:pt idx="19">
                  <c:v>112.39531331378515</c:v>
                </c:pt>
                <c:pt idx="20">
                  <c:v>101.59366732596476</c:v>
                </c:pt>
                <c:pt idx="21">
                  <c:v>91.233029933601046</c:v>
                </c:pt>
                <c:pt idx="22">
                  <c:v>81.323000269891821</c:v>
                </c:pt>
                <c:pt idx="23">
                  <c:v>71.874072577825331</c:v>
                </c:pt>
                <c:pt idx="24">
                  <c:v>62.897793461013549</c:v>
                </c:pt>
                <c:pt idx="25">
                  <c:v>54.406961875735732</c:v>
                </c:pt>
                <c:pt idx="26">
                  <c:v>46.415888336127807</c:v>
                </c:pt>
                <c:pt idx="27">
                  <c:v>38.940738398300049</c:v>
                </c:pt>
                <c:pt idx="28">
                  <c:v>38.940738398300049</c:v>
                </c:pt>
                <c:pt idx="29">
                  <c:v>38.940738398300049</c:v>
                </c:pt>
                <c:pt idx="30">
                  <c:v>38.940738398300049</c:v>
                </c:pt>
                <c:pt idx="31">
                  <c:v>38.940738398300049</c:v>
                </c:pt>
                <c:pt idx="32">
                  <c:v>38.940738398300049</c:v>
                </c:pt>
                <c:pt idx="33">
                  <c:v>38.940738398300049</c:v>
                </c:pt>
              </c:numCache>
            </c:numRef>
          </c:xVal>
          <c:yVal>
            <c:numRef>
              <c:f>Sheet1!$B$20:$AI$20</c:f>
              <c:numCache>
                <c:formatCode>General</c:formatCode>
                <c:ptCount val="34"/>
                <c:pt idx="0">
                  <c:v>38.799999999999997</c:v>
                </c:pt>
                <c:pt idx="1">
                  <c:v>61.7</c:v>
                </c:pt>
                <c:pt idx="2">
                  <c:v>28.4</c:v>
                </c:pt>
                <c:pt idx="3">
                  <c:v>27.8</c:v>
                </c:pt>
                <c:pt idx="4">
                  <c:v>93.9</c:v>
                </c:pt>
                <c:pt idx="5">
                  <c:v>84.2</c:v>
                </c:pt>
                <c:pt idx="6">
                  <c:v>74.599999999999994</c:v>
                </c:pt>
                <c:pt idx="7">
                  <c:v>64.599999999999994</c:v>
                </c:pt>
                <c:pt idx="8">
                  <c:v>54.7</c:v>
                </c:pt>
                <c:pt idx="9">
                  <c:v>45.1</c:v>
                </c:pt>
                <c:pt idx="10">
                  <c:v>36</c:v>
                </c:pt>
                <c:pt idx="11">
                  <c:v>27.7</c:v>
                </c:pt>
                <c:pt idx="12">
                  <c:v>27.7</c:v>
                </c:pt>
                <c:pt idx="13">
                  <c:v>27.6</c:v>
                </c:pt>
                <c:pt idx="14">
                  <c:v>27.5</c:v>
                </c:pt>
                <c:pt idx="15">
                  <c:v>27.2</c:v>
                </c:pt>
                <c:pt idx="16">
                  <c:v>26.8</c:v>
                </c:pt>
                <c:pt idx="17">
                  <c:v>26.2</c:v>
                </c:pt>
                <c:pt idx="18">
                  <c:v>25.5</c:v>
                </c:pt>
                <c:pt idx="19">
                  <c:v>24.7</c:v>
                </c:pt>
                <c:pt idx="20">
                  <c:v>23.7</c:v>
                </c:pt>
                <c:pt idx="21">
                  <c:v>22.6</c:v>
                </c:pt>
                <c:pt idx="22">
                  <c:v>21.3</c:v>
                </c:pt>
                <c:pt idx="23">
                  <c:v>19.899999999999999</c:v>
                </c:pt>
                <c:pt idx="24">
                  <c:v>18.399999999999999</c:v>
                </c:pt>
                <c:pt idx="25">
                  <c:v>16.8</c:v>
                </c:pt>
                <c:pt idx="26">
                  <c:v>15.1</c:v>
                </c:pt>
                <c:pt idx="27">
                  <c:v>13.4</c:v>
                </c:pt>
                <c:pt idx="28">
                  <c:v>10.199999999999999</c:v>
                </c:pt>
                <c:pt idx="29">
                  <c:v>7.9</c:v>
                </c:pt>
                <c:pt idx="30">
                  <c:v>6.2</c:v>
                </c:pt>
                <c:pt idx="31">
                  <c:v>9.5</c:v>
                </c:pt>
                <c:pt idx="32">
                  <c:v>6.7</c:v>
                </c:pt>
                <c:pt idx="33">
                  <c:v>4.7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L_model_bis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Sheet1!$B$35:$AI$35</c:f>
              <c:numCache>
                <c:formatCode>General</c:formatCode>
                <c:ptCount val="34"/>
                <c:pt idx="0">
                  <c:v>147.36125994561544</c:v>
                </c:pt>
                <c:pt idx="1">
                  <c:v>147.36125994561544</c:v>
                </c:pt>
                <c:pt idx="2">
                  <c:v>147.36125994561544</c:v>
                </c:pt>
                <c:pt idx="3">
                  <c:v>112.39531331378515</c:v>
                </c:pt>
                <c:pt idx="4">
                  <c:v>213.7469933345871</c:v>
                </c:pt>
                <c:pt idx="5">
                  <c:v>213.7469933345871</c:v>
                </c:pt>
                <c:pt idx="6">
                  <c:v>213.7469933345871</c:v>
                </c:pt>
                <c:pt idx="7">
                  <c:v>213.7469933345871</c:v>
                </c:pt>
                <c:pt idx="8">
                  <c:v>213.7469933345871</c:v>
                </c:pt>
                <c:pt idx="9">
                  <c:v>213.7469933345871</c:v>
                </c:pt>
                <c:pt idx="10">
                  <c:v>213.7469933345871</c:v>
                </c:pt>
                <c:pt idx="11">
                  <c:v>213.7469933345871</c:v>
                </c:pt>
                <c:pt idx="12">
                  <c:v>199.68804701298282</c:v>
                </c:pt>
                <c:pt idx="13">
                  <c:v>186.01432617907153</c:v>
                </c:pt>
                <c:pt idx="14">
                  <c:v>172.73133703187324</c:v>
                </c:pt>
                <c:pt idx="15">
                  <c:v>159.84491483142523</c:v>
                </c:pt>
                <c:pt idx="16">
                  <c:v>147.36125994561544</c:v>
                </c:pt>
                <c:pt idx="17">
                  <c:v>135.28697981913788</c:v>
                </c:pt>
                <c:pt idx="18">
                  <c:v>123.62913819575981</c:v>
                </c:pt>
                <c:pt idx="19">
                  <c:v>112.39531331378515</c:v>
                </c:pt>
                <c:pt idx="20">
                  <c:v>101.59366732596476</c:v>
                </c:pt>
                <c:pt idx="21">
                  <c:v>91.233029933601046</c:v>
                </c:pt>
                <c:pt idx="22">
                  <c:v>81.323000269891821</c:v>
                </c:pt>
                <c:pt idx="23">
                  <c:v>71.874072577825331</c:v>
                </c:pt>
                <c:pt idx="24">
                  <c:v>62.897793461013549</c:v>
                </c:pt>
                <c:pt idx="25">
                  <c:v>54.406961875735732</c:v>
                </c:pt>
                <c:pt idx="26">
                  <c:v>46.415888336127807</c:v>
                </c:pt>
                <c:pt idx="27">
                  <c:v>38.940738398300049</c:v>
                </c:pt>
                <c:pt idx="28">
                  <c:v>38.940738398300049</c:v>
                </c:pt>
                <c:pt idx="29">
                  <c:v>38.940738398300049</c:v>
                </c:pt>
                <c:pt idx="30">
                  <c:v>38.940738398300049</c:v>
                </c:pt>
                <c:pt idx="31">
                  <c:v>38.940738398300049</c:v>
                </c:pt>
                <c:pt idx="32">
                  <c:v>38.940738398300049</c:v>
                </c:pt>
                <c:pt idx="33">
                  <c:v>38.940738398300049</c:v>
                </c:pt>
              </c:numCache>
            </c:numRef>
          </c:xVal>
          <c:yVal>
            <c:numRef>
              <c:f>Sheet1!$B$41:$AI$41</c:f>
              <c:numCache>
                <c:formatCode>General</c:formatCode>
                <c:ptCount val="34"/>
                <c:pt idx="0">
                  <c:v>30.183912913618538</c:v>
                </c:pt>
                <c:pt idx="1">
                  <c:v>47.940644708629222</c:v>
                </c:pt>
                <c:pt idx="2">
                  <c:v>21.537566475541809</c:v>
                </c:pt>
                <c:pt idx="3">
                  <c:v>22.719377491219582</c:v>
                </c:pt>
                <c:pt idx="4">
                  <c:v>71.376967659465819</c:v>
                </c:pt>
                <c:pt idx="5">
                  <c:v>63.011884837802079</c:v>
                </c:pt>
                <c:pt idx="6">
                  <c:v>54.879157576868494</c:v>
                </c:pt>
                <c:pt idx="7">
                  <c:v>47.00186358581734</c:v>
                </c:pt>
                <c:pt idx="8">
                  <c:v>39.408180620021412</c:v>
                </c:pt>
                <c:pt idx="9">
                  <c:v>32.133292014695023</c:v>
                </c:pt>
                <c:pt idx="10">
                  <c:v>25.222380204265711</c:v>
                </c:pt>
                <c:pt idx="11">
                  <c:v>18.735618173541045</c:v>
                </c:pt>
                <c:pt idx="12">
                  <c:v>19.211728576576473</c:v>
                </c:pt>
                <c:pt idx="13">
                  <c:v>19.56426306901869</c:v>
                </c:pt>
                <c:pt idx="14">
                  <c:v>19.790964919445944</c:v>
                </c:pt>
                <c:pt idx="15">
                  <c:v>19.890256596430184</c:v>
                </c:pt>
                <c:pt idx="16">
                  <c:v>19.86124033051194</c:v>
                </c:pt>
                <c:pt idx="17">
                  <c:v>19.703706562854997</c:v>
                </c:pt>
                <c:pt idx="18">
                  <c:v>19.418150797475693</c:v>
                </c:pt>
                <c:pt idx="19">
                  <c:v>19.005799750462977</c:v>
                </c:pt>
                <c:pt idx="20">
                  <c:v>18.468648155710092</c:v>
                </c:pt>
                <c:pt idx="21">
                  <c:v>17.809508194661884</c:v>
                </c:pt>
                <c:pt idx="22">
                  <c:v>17.032074345430981</c:v>
                </c:pt>
                <c:pt idx="23">
                  <c:v>16.141007615974512</c:v>
                </c:pt>
                <c:pt idx="24">
                  <c:v>15.142044833904544</c:v>
                </c:pt>
                <c:pt idx="25">
                  <c:v>14.042141243345357</c:v>
                </c:pt>
                <c:pt idx="26">
                  <c:v>12.849658686719026</c:v>
                </c:pt>
                <c:pt idx="27">
                  <c:v>11.574618185731479</c:v>
                </c:pt>
                <c:pt idx="28">
                  <c:v>8.7450555188457617</c:v>
                </c:pt>
                <c:pt idx="29">
                  <c:v>6.5847930337366014</c:v>
                </c:pt>
                <c:pt idx="30">
                  <c:v>4.845579727159242</c:v>
                </c:pt>
                <c:pt idx="31">
                  <c:v>8.4456575399963683</c:v>
                </c:pt>
                <c:pt idx="32">
                  <c:v>6.1163342349431415</c:v>
                </c:pt>
                <c:pt idx="33">
                  <c:v>4.2765014501294543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1923456"/>
        <c:axId val="-631939776"/>
      </c:scatterChart>
      <c:valAx>
        <c:axId val="-6319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N^(5/3)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39776"/>
        <c:crosses val="autoZero"/>
        <c:crossBetween val="midCat"/>
      </c:valAx>
      <c:valAx>
        <c:axId val="-6319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C/(real perimeter) (s=w=1 micron)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C/(real perimeter) s=w=1 micron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(Sheet1!$F$78:$AB$78,Sheet1!$AS$78:$BA$78)</c:f>
              <c:numCache>
                <c:formatCode>General</c:formatCode>
                <c:ptCount val="32"/>
                <c:pt idx="0">
                  <c:v>11698</c:v>
                </c:pt>
                <c:pt idx="1">
                  <c:v>10698</c:v>
                </c:pt>
                <c:pt idx="2">
                  <c:v>9698</c:v>
                </c:pt>
                <c:pt idx="3">
                  <c:v>8698</c:v>
                </c:pt>
                <c:pt idx="4">
                  <c:v>7698</c:v>
                </c:pt>
                <c:pt idx="5">
                  <c:v>6698</c:v>
                </c:pt>
                <c:pt idx="6">
                  <c:v>5698</c:v>
                </c:pt>
                <c:pt idx="7">
                  <c:v>4698</c:v>
                </c:pt>
                <c:pt idx="8">
                  <c:v>4702</c:v>
                </c:pt>
                <c:pt idx="9">
                  <c:v>4690</c:v>
                </c:pt>
                <c:pt idx="10">
                  <c:v>4662</c:v>
                </c:pt>
                <c:pt idx="11">
                  <c:v>4618</c:v>
                </c:pt>
                <c:pt idx="12">
                  <c:v>4558</c:v>
                </c:pt>
                <c:pt idx="13">
                  <c:v>4482</c:v>
                </c:pt>
                <c:pt idx="14">
                  <c:v>4390</c:v>
                </c:pt>
                <c:pt idx="15">
                  <c:v>4282</c:v>
                </c:pt>
                <c:pt idx="16">
                  <c:v>4158</c:v>
                </c:pt>
                <c:pt idx="17">
                  <c:v>4018</c:v>
                </c:pt>
                <c:pt idx="18">
                  <c:v>3862</c:v>
                </c:pt>
                <c:pt idx="19">
                  <c:v>3690</c:v>
                </c:pt>
                <c:pt idx="20">
                  <c:v>3502</c:v>
                </c:pt>
                <c:pt idx="21">
                  <c:v>3298</c:v>
                </c:pt>
                <c:pt idx="22">
                  <c:v>3078</c:v>
                </c:pt>
                <c:pt idx="23">
                  <c:v>12698</c:v>
                </c:pt>
                <c:pt idx="24">
                  <c:v>13698</c:v>
                </c:pt>
                <c:pt idx="25">
                  <c:v>14698</c:v>
                </c:pt>
                <c:pt idx="26">
                  <c:v>15698</c:v>
                </c:pt>
                <c:pt idx="27">
                  <c:v>16698</c:v>
                </c:pt>
                <c:pt idx="28">
                  <c:v>17698</c:v>
                </c:pt>
                <c:pt idx="29">
                  <c:v>18698</c:v>
                </c:pt>
                <c:pt idx="30">
                  <c:v>19698</c:v>
                </c:pt>
                <c:pt idx="31">
                  <c:v>20698</c:v>
                </c:pt>
              </c:numCache>
            </c:numRef>
          </c:xVal>
          <c:yVal>
            <c:numRef>
              <c:f>(Sheet1!$F$44:$AB$44,Sheet1!$AS$44:$BA$44)</c:f>
              <c:numCache>
                <c:formatCode>General</c:formatCode>
                <c:ptCount val="32"/>
                <c:pt idx="0">
                  <c:v>2.3233215547703182E-12</c:v>
                </c:pt>
                <c:pt idx="1">
                  <c:v>2.2393822393822392E-12</c:v>
                </c:pt>
                <c:pt idx="2">
                  <c:v>2.2553191489361702E-12</c:v>
                </c:pt>
                <c:pt idx="3">
                  <c:v>2.2985781990521325E-12</c:v>
                </c:pt>
                <c:pt idx="4">
                  <c:v>2.3796791443850266E-12</c:v>
                </c:pt>
                <c:pt idx="5">
                  <c:v>2.4846625766871164E-12</c:v>
                </c:pt>
                <c:pt idx="6">
                  <c:v>2.6618705035971227E-12</c:v>
                </c:pt>
                <c:pt idx="7">
                  <c:v>2.8913043478260875E-12</c:v>
                </c:pt>
                <c:pt idx="8">
                  <c:v>2.8963414634146346E-12</c:v>
                </c:pt>
                <c:pt idx="9">
                  <c:v>2.9115586690017517E-12</c:v>
                </c:pt>
                <c:pt idx="10">
                  <c:v>2.9593639575971732E-12</c:v>
                </c:pt>
                <c:pt idx="11">
                  <c:v>3.0187835420393562E-12</c:v>
                </c:pt>
                <c:pt idx="12">
                  <c:v>3.0454545454545455E-12</c:v>
                </c:pt>
                <c:pt idx="13">
                  <c:v>3.1771799628942485E-12</c:v>
                </c:pt>
                <c:pt idx="14">
                  <c:v>3.255703422053232E-12</c:v>
                </c:pt>
                <c:pt idx="15">
                  <c:v>3.4001956947162432E-12</c:v>
                </c:pt>
                <c:pt idx="16">
                  <c:v>3.5678137651821865E-12</c:v>
                </c:pt>
                <c:pt idx="17">
                  <c:v>3.736842105263158E-12</c:v>
                </c:pt>
                <c:pt idx="18">
                  <c:v>3.9647577092511016E-12</c:v>
                </c:pt>
                <c:pt idx="19">
                  <c:v>4.1763341067285389E-12</c:v>
                </c:pt>
                <c:pt idx="20">
                  <c:v>4.4950738916256158E-12</c:v>
                </c:pt>
                <c:pt idx="21">
                  <c:v>4.8812664907651717E-12</c:v>
                </c:pt>
                <c:pt idx="22">
                  <c:v>5.3214285714285716E-12</c:v>
                </c:pt>
                <c:pt idx="23">
                  <c:v>2.0846905537459286E-12</c:v>
                </c:pt>
                <c:pt idx="24">
                  <c:v>2.1752265861027193E-12</c:v>
                </c:pt>
                <c:pt idx="25">
                  <c:v>2.1830985915492957E-12</c:v>
                </c:pt>
                <c:pt idx="26">
                  <c:v>2.0778364116094988E-12</c:v>
                </c:pt>
                <c:pt idx="27">
                  <c:v>1.9602977667493798E-12</c:v>
                </c:pt>
                <c:pt idx="28">
                  <c:v>2.0843091334894616E-12</c:v>
                </c:pt>
                <c:pt idx="29">
                  <c:v>2.0731707317073173E-12</c:v>
                </c:pt>
                <c:pt idx="30">
                  <c:v>2.0999999999999999E-12</c:v>
                </c:pt>
                <c:pt idx="31">
                  <c:v>2.0340681362725453E-12</c:v>
                </c:pt>
              </c:numCache>
            </c:numRef>
          </c:yVal>
          <c:smooth val="0"/>
        </c:ser>
        <c:ser>
          <c:idx val="1"/>
          <c:order val="1"/>
          <c:tx>
            <c:v>C/(real perimeter) s=2 w=1 microns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(Sheet1!$BF$31:$BO$31,Sheet1!$CB$31:$CU$31)</c:f>
              <c:numCache>
                <c:formatCode>General</c:formatCode>
                <c:ptCount val="30"/>
                <c:pt idx="0">
                  <c:v>17360</c:v>
                </c:pt>
                <c:pt idx="1">
                  <c:v>16400</c:v>
                </c:pt>
                <c:pt idx="2">
                  <c:v>15440</c:v>
                </c:pt>
                <c:pt idx="3">
                  <c:v>14480</c:v>
                </c:pt>
                <c:pt idx="4">
                  <c:v>13520</c:v>
                </c:pt>
                <c:pt idx="5">
                  <c:v>12560</c:v>
                </c:pt>
                <c:pt idx="6">
                  <c:v>11600</c:v>
                </c:pt>
                <c:pt idx="7">
                  <c:v>10640</c:v>
                </c:pt>
                <c:pt idx="8">
                  <c:v>9680</c:v>
                </c:pt>
                <c:pt idx="9">
                  <c:v>8720</c:v>
                </c:pt>
                <c:pt idx="10">
                  <c:v>7760</c:v>
                </c:pt>
                <c:pt idx="11">
                  <c:v>6800</c:v>
                </c:pt>
                <c:pt idx="12">
                  <c:v>6792</c:v>
                </c:pt>
                <c:pt idx="13">
                  <c:v>6760</c:v>
                </c:pt>
                <c:pt idx="14">
                  <c:v>6704</c:v>
                </c:pt>
                <c:pt idx="15">
                  <c:v>6624</c:v>
                </c:pt>
                <c:pt idx="16">
                  <c:v>6520</c:v>
                </c:pt>
                <c:pt idx="17">
                  <c:v>6392</c:v>
                </c:pt>
                <c:pt idx="18">
                  <c:v>6240</c:v>
                </c:pt>
                <c:pt idx="19">
                  <c:v>6064</c:v>
                </c:pt>
                <c:pt idx="20">
                  <c:v>5864</c:v>
                </c:pt>
                <c:pt idx="21">
                  <c:v>5640</c:v>
                </c:pt>
                <c:pt idx="22">
                  <c:v>5392</c:v>
                </c:pt>
                <c:pt idx="23">
                  <c:v>4872</c:v>
                </c:pt>
                <c:pt idx="24">
                  <c:v>4352</c:v>
                </c:pt>
                <c:pt idx="25">
                  <c:v>3832</c:v>
                </c:pt>
                <c:pt idx="26">
                  <c:v>3312</c:v>
                </c:pt>
                <c:pt idx="27">
                  <c:v>2792</c:v>
                </c:pt>
                <c:pt idx="28">
                  <c:v>2272</c:v>
                </c:pt>
                <c:pt idx="29">
                  <c:v>2240</c:v>
                </c:pt>
              </c:numCache>
            </c:numRef>
          </c:xVal>
          <c:yVal>
            <c:numRef>
              <c:f>(Sheet1!$BF$44:$BO$44,Sheet1!$CB$44:$CU$44)</c:f>
              <c:numCache>
                <c:formatCode>General</c:formatCode>
                <c:ptCount val="30"/>
                <c:pt idx="0">
                  <c:v>2.0449308755760367E-12</c:v>
                </c:pt>
                <c:pt idx="1">
                  <c:v>2.134146341463415E-12</c:v>
                </c:pt>
                <c:pt idx="2">
                  <c:v>2.0790155440414509E-12</c:v>
                </c:pt>
                <c:pt idx="3">
                  <c:v>2.0718232044198899E-12</c:v>
                </c:pt>
                <c:pt idx="4">
                  <c:v>2.1079881656804734E-12</c:v>
                </c:pt>
                <c:pt idx="5">
                  <c:v>2.1974522292993631E-12</c:v>
                </c:pt>
                <c:pt idx="6">
                  <c:v>2.2068965517241383E-12</c:v>
                </c:pt>
                <c:pt idx="7">
                  <c:v>2.2932330827067671E-12</c:v>
                </c:pt>
                <c:pt idx="8">
                  <c:v>2.3347107438016532E-12</c:v>
                </c:pt>
                <c:pt idx="9">
                  <c:v>2.4885321100917429E-12</c:v>
                </c:pt>
                <c:pt idx="10">
                  <c:v>2.5515463917525774E-12</c:v>
                </c:pt>
                <c:pt idx="11">
                  <c:v>2.7794117647058823E-12</c:v>
                </c:pt>
                <c:pt idx="12">
                  <c:v>2.7974087161366317E-12</c:v>
                </c:pt>
                <c:pt idx="13">
                  <c:v>2.8106508875739649E-12</c:v>
                </c:pt>
                <c:pt idx="14">
                  <c:v>2.8490453460620528E-12</c:v>
                </c:pt>
                <c:pt idx="15">
                  <c:v>2.9136473429951691E-12</c:v>
                </c:pt>
                <c:pt idx="16">
                  <c:v>2.914110429447853E-12</c:v>
                </c:pt>
                <c:pt idx="17">
                  <c:v>3.0350438047559445E-12</c:v>
                </c:pt>
                <c:pt idx="18">
                  <c:v>3.189102564102564E-12</c:v>
                </c:pt>
                <c:pt idx="19">
                  <c:v>3.2816622691292876E-12</c:v>
                </c:pt>
                <c:pt idx="20">
                  <c:v>3.4106412005457025E-12</c:v>
                </c:pt>
                <c:pt idx="21">
                  <c:v>3.6170212765957447E-12</c:v>
                </c:pt>
                <c:pt idx="22">
                  <c:v>3.746290801186943E-12</c:v>
                </c:pt>
                <c:pt idx="23">
                  <c:v>3.8382594417077179E-12</c:v>
                </c:pt>
                <c:pt idx="24">
                  <c:v>4.0211397058823534E-12</c:v>
                </c:pt>
                <c:pt idx="25">
                  <c:v>4.1231732776617961E-12</c:v>
                </c:pt>
                <c:pt idx="26">
                  <c:v>4.2270531400966185E-12</c:v>
                </c:pt>
                <c:pt idx="27">
                  <c:v>4.5487106017191974E-12</c:v>
                </c:pt>
                <c:pt idx="28">
                  <c:v>4.8855633802816903E-12</c:v>
                </c:pt>
                <c:pt idx="29">
                  <c:v>4.9999999999999997E-12</c:v>
                </c:pt>
              </c:numCache>
            </c:numRef>
          </c:yVal>
          <c:smooth val="0"/>
        </c:ser>
        <c:ser>
          <c:idx val="2"/>
          <c:order val="2"/>
          <c:tx>
            <c:v>C/(real perimeter) s=1, w=2 microns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Sheet1!$BP$31:$BY$31</c:f>
              <c:numCache>
                <c:formatCode>General</c:formatCode>
                <c:ptCount val="10"/>
                <c:pt idx="0">
                  <c:v>17560</c:v>
                </c:pt>
                <c:pt idx="1">
                  <c:v>16600</c:v>
                </c:pt>
                <c:pt idx="2">
                  <c:v>15640</c:v>
                </c:pt>
                <c:pt idx="3">
                  <c:v>14680</c:v>
                </c:pt>
                <c:pt idx="4">
                  <c:v>13720</c:v>
                </c:pt>
                <c:pt idx="5">
                  <c:v>12760</c:v>
                </c:pt>
                <c:pt idx="6">
                  <c:v>11800</c:v>
                </c:pt>
                <c:pt idx="7">
                  <c:v>10840</c:v>
                </c:pt>
                <c:pt idx="8">
                  <c:v>9880</c:v>
                </c:pt>
                <c:pt idx="9">
                  <c:v>8920</c:v>
                </c:pt>
              </c:numCache>
            </c:numRef>
          </c:xVal>
          <c:yVal>
            <c:numRef>
              <c:f>Sheet1!$BP$44:$BY$44</c:f>
              <c:numCache>
                <c:formatCode>General</c:formatCode>
                <c:ptCount val="10"/>
                <c:pt idx="0">
                  <c:v>2.1867881548974944E-12</c:v>
                </c:pt>
                <c:pt idx="1">
                  <c:v>2.2650602409638558E-12</c:v>
                </c:pt>
                <c:pt idx="2">
                  <c:v>2.1675191815856776E-12</c:v>
                </c:pt>
                <c:pt idx="3">
                  <c:v>2.152588555858311E-12</c:v>
                </c:pt>
                <c:pt idx="4">
                  <c:v>2.3542274052478134E-12</c:v>
                </c:pt>
                <c:pt idx="5">
                  <c:v>2.272727272727273E-12</c:v>
                </c:pt>
                <c:pt idx="6">
                  <c:v>2.4237288135593222E-12</c:v>
                </c:pt>
                <c:pt idx="7">
                  <c:v>2.3616236162361626E-12</c:v>
                </c:pt>
                <c:pt idx="8">
                  <c:v>2.5404858299595147E-12</c:v>
                </c:pt>
                <c:pt idx="9">
                  <c:v>2.5784753363228702E-12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87152"/>
        <c:axId val="-629186064"/>
      </c:scatterChart>
      <c:valAx>
        <c:axId val="-6291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86064"/>
        <c:crosses val="autoZero"/>
        <c:crossBetween val="midCat"/>
      </c:valAx>
      <c:valAx>
        <c:axId val="-629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8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C/(real perimeter) in function of rho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(Sheet1!$F$33:$AB$33,Sheet1!$AS$33:$BA$33)</c:f>
              <c:numCache>
                <c:formatCode>General</c:formatCode>
                <c:ptCount val="32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0.8867924528301887</c:v>
                </c:pt>
                <c:pt idx="9">
                  <c:v>0.81818181818181823</c:v>
                </c:pt>
                <c:pt idx="10">
                  <c:v>0.75438596491228072</c:v>
                </c:pt>
                <c:pt idx="11">
                  <c:v>0.69491525423728817</c:v>
                </c:pt>
                <c:pt idx="12">
                  <c:v>0.63934426229508201</c:v>
                </c:pt>
                <c:pt idx="13">
                  <c:v>0.58730158730158732</c:v>
                </c:pt>
                <c:pt idx="14">
                  <c:v>0.53846153846153844</c:v>
                </c:pt>
                <c:pt idx="15">
                  <c:v>0.4925373134328358</c:v>
                </c:pt>
                <c:pt idx="16">
                  <c:v>0.44927536231884058</c:v>
                </c:pt>
                <c:pt idx="17">
                  <c:v>0.40845070422535212</c:v>
                </c:pt>
                <c:pt idx="18">
                  <c:v>0.36986301369863012</c:v>
                </c:pt>
                <c:pt idx="19">
                  <c:v>0.33333333333333331</c:v>
                </c:pt>
                <c:pt idx="20">
                  <c:v>0.29870129870129869</c:v>
                </c:pt>
                <c:pt idx="21">
                  <c:v>0.26582278481012656</c:v>
                </c:pt>
                <c:pt idx="22">
                  <c:v>0.23456790123456789</c:v>
                </c:pt>
                <c:pt idx="23">
                  <c:v>0.37404580152671757</c:v>
                </c:pt>
                <c:pt idx="24">
                  <c:v>0.3475177304964539</c:v>
                </c:pt>
                <c:pt idx="25">
                  <c:v>0.32450331125827814</c:v>
                </c:pt>
                <c:pt idx="26">
                  <c:v>0.30434782608695654</c:v>
                </c:pt>
                <c:pt idx="27">
                  <c:v>0.28654970760233917</c:v>
                </c:pt>
                <c:pt idx="28">
                  <c:v>0.27071823204419887</c:v>
                </c:pt>
                <c:pt idx="29">
                  <c:v>0.25654450261780104</c:v>
                </c:pt>
                <c:pt idx="30">
                  <c:v>0.24378109452736318</c:v>
                </c:pt>
                <c:pt idx="31">
                  <c:v>0.23222748815165878</c:v>
                </c:pt>
              </c:numCache>
            </c:numRef>
          </c:xVal>
          <c:yVal>
            <c:numRef>
              <c:f>(Sheet1!$F$44:$AB$44,Sheet1!$AS$44:$BA$44)</c:f>
              <c:numCache>
                <c:formatCode>General</c:formatCode>
                <c:ptCount val="32"/>
                <c:pt idx="0">
                  <c:v>2.3233215547703182E-12</c:v>
                </c:pt>
                <c:pt idx="1">
                  <c:v>2.2393822393822392E-12</c:v>
                </c:pt>
                <c:pt idx="2">
                  <c:v>2.2553191489361702E-12</c:v>
                </c:pt>
                <c:pt idx="3">
                  <c:v>2.2985781990521325E-12</c:v>
                </c:pt>
                <c:pt idx="4">
                  <c:v>2.3796791443850266E-12</c:v>
                </c:pt>
                <c:pt idx="5">
                  <c:v>2.4846625766871164E-12</c:v>
                </c:pt>
                <c:pt idx="6">
                  <c:v>2.6618705035971227E-12</c:v>
                </c:pt>
                <c:pt idx="7">
                  <c:v>2.8913043478260875E-12</c:v>
                </c:pt>
                <c:pt idx="8">
                  <c:v>2.8963414634146346E-12</c:v>
                </c:pt>
                <c:pt idx="9">
                  <c:v>2.9115586690017517E-12</c:v>
                </c:pt>
                <c:pt idx="10">
                  <c:v>2.9593639575971732E-12</c:v>
                </c:pt>
                <c:pt idx="11">
                  <c:v>3.0187835420393562E-12</c:v>
                </c:pt>
                <c:pt idx="12">
                  <c:v>3.0454545454545455E-12</c:v>
                </c:pt>
                <c:pt idx="13">
                  <c:v>3.1771799628942485E-12</c:v>
                </c:pt>
                <c:pt idx="14">
                  <c:v>3.255703422053232E-12</c:v>
                </c:pt>
                <c:pt idx="15">
                  <c:v>3.4001956947162432E-12</c:v>
                </c:pt>
                <c:pt idx="16">
                  <c:v>3.5678137651821865E-12</c:v>
                </c:pt>
                <c:pt idx="17">
                  <c:v>3.736842105263158E-12</c:v>
                </c:pt>
                <c:pt idx="18">
                  <c:v>3.9647577092511016E-12</c:v>
                </c:pt>
                <c:pt idx="19">
                  <c:v>4.1763341067285389E-12</c:v>
                </c:pt>
                <c:pt idx="20">
                  <c:v>4.4950738916256158E-12</c:v>
                </c:pt>
                <c:pt idx="21">
                  <c:v>4.8812664907651717E-12</c:v>
                </c:pt>
                <c:pt idx="22">
                  <c:v>5.3214285714285716E-12</c:v>
                </c:pt>
                <c:pt idx="23">
                  <c:v>2.0846905537459286E-12</c:v>
                </c:pt>
                <c:pt idx="24">
                  <c:v>2.1752265861027193E-12</c:v>
                </c:pt>
                <c:pt idx="25">
                  <c:v>2.1830985915492957E-12</c:v>
                </c:pt>
                <c:pt idx="26">
                  <c:v>2.0778364116094988E-12</c:v>
                </c:pt>
                <c:pt idx="27">
                  <c:v>1.9602977667493798E-12</c:v>
                </c:pt>
                <c:pt idx="28">
                  <c:v>2.0843091334894616E-12</c:v>
                </c:pt>
                <c:pt idx="29">
                  <c:v>2.0731707317073173E-12</c:v>
                </c:pt>
                <c:pt idx="30">
                  <c:v>2.0999999999999999E-12</c:v>
                </c:pt>
                <c:pt idx="31">
                  <c:v>2.0340681362725453E-12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83344"/>
        <c:axId val="-629184432"/>
      </c:scatterChart>
      <c:valAx>
        <c:axId val="-6291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84432"/>
        <c:crosses val="autoZero"/>
        <c:crossBetween val="midCat"/>
      </c:valAx>
      <c:valAx>
        <c:axId val="-629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between simulation and GreenHouse's</a:t>
            </a:r>
            <a:r>
              <a:rPr lang="fr-FR" baseline="0"/>
              <a:t> </a:t>
            </a:r>
            <a:r>
              <a:rPr lang="fr-FR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L_model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Sheet1!$F$31:$AN$31</c:f>
              <c:numCache>
                <c:formatCode>General</c:formatCode>
                <c:ptCount val="35"/>
                <c:pt idx="0">
                  <c:v>11320</c:v>
                </c:pt>
                <c:pt idx="1">
                  <c:v>10360</c:v>
                </c:pt>
                <c:pt idx="2">
                  <c:v>9400</c:v>
                </c:pt>
                <c:pt idx="3">
                  <c:v>8440</c:v>
                </c:pt>
                <c:pt idx="4">
                  <c:v>7480</c:v>
                </c:pt>
                <c:pt idx="5">
                  <c:v>6520</c:v>
                </c:pt>
                <c:pt idx="6">
                  <c:v>5560</c:v>
                </c:pt>
                <c:pt idx="7">
                  <c:v>4600</c:v>
                </c:pt>
                <c:pt idx="8">
                  <c:v>4592</c:v>
                </c:pt>
                <c:pt idx="9">
                  <c:v>4568</c:v>
                </c:pt>
                <c:pt idx="10">
                  <c:v>4528</c:v>
                </c:pt>
                <c:pt idx="11">
                  <c:v>4472</c:v>
                </c:pt>
                <c:pt idx="12">
                  <c:v>4400</c:v>
                </c:pt>
                <c:pt idx="13">
                  <c:v>4312</c:v>
                </c:pt>
                <c:pt idx="14">
                  <c:v>4208</c:v>
                </c:pt>
                <c:pt idx="15">
                  <c:v>4088</c:v>
                </c:pt>
                <c:pt idx="16">
                  <c:v>3952</c:v>
                </c:pt>
                <c:pt idx="17">
                  <c:v>3800</c:v>
                </c:pt>
                <c:pt idx="18">
                  <c:v>3632</c:v>
                </c:pt>
                <c:pt idx="19">
                  <c:v>3448</c:v>
                </c:pt>
                <c:pt idx="20">
                  <c:v>3248</c:v>
                </c:pt>
                <c:pt idx="21">
                  <c:v>3032</c:v>
                </c:pt>
                <c:pt idx="22">
                  <c:v>2800</c:v>
                </c:pt>
                <c:pt idx="23">
                  <c:v>2552</c:v>
                </c:pt>
                <c:pt idx="24">
                  <c:v>2192</c:v>
                </c:pt>
                <c:pt idx="25">
                  <c:v>1832</c:v>
                </c:pt>
                <c:pt idx="26">
                  <c:v>1472</c:v>
                </c:pt>
                <c:pt idx="27">
                  <c:v>2264</c:v>
                </c:pt>
                <c:pt idx="28">
                  <c:v>1976</c:v>
                </c:pt>
                <c:pt idx="29">
                  <c:v>1688</c:v>
                </c:pt>
                <c:pt idx="30">
                  <c:v>2232</c:v>
                </c:pt>
                <c:pt idx="31">
                  <c:v>1912</c:v>
                </c:pt>
                <c:pt idx="32">
                  <c:v>1592</c:v>
                </c:pt>
                <c:pt idx="33">
                  <c:v>1272</c:v>
                </c:pt>
                <c:pt idx="34">
                  <c:v>952</c:v>
                </c:pt>
              </c:numCache>
            </c:numRef>
          </c:xVal>
          <c:yVal>
            <c:numRef>
              <c:f>Sheet1!$F$150:$AN$150</c:f>
              <c:numCache>
                <c:formatCode>General</c:formatCode>
                <c:ptCount val="35"/>
                <c:pt idx="0">
                  <c:v>95.4</c:v>
                </c:pt>
                <c:pt idx="1">
                  <c:v>83.2</c:v>
                </c:pt>
                <c:pt idx="2">
                  <c:v>71.599999999999994</c:v>
                </c:pt>
                <c:pt idx="3">
                  <c:v>60.5</c:v>
                </c:pt>
                <c:pt idx="4">
                  <c:v>50.1</c:v>
                </c:pt>
                <c:pt idx="5">
                  <c:v>40.5</c:v>
                </c:pt>
                <c:pt idx="6">
                  <c:v>31.7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23.7</c:v>
                </c:pt>
                <c:pt idx="12">
                  <c:v>23.4</c:v>
                </c:pt>
                <c:pt idx="13">
                  <c:v>23</c:v>
                </c:pt>
                <c:pt idx="14">
                  <c:v>22.5</c:v>
                </c:pt>
                <c:pt idx="15">
                  <c:v>21.9</c:v>
                </c:pt>
                <c:pt idx="16">
                  <c:v>21.1</c:v>
                </c:pt>
                <c:pt idx="17">
                  <c:v>20.2</c:v>
                </c:pt>
                <c:pt idx="18">
                  <c:v>19.100000000000001</c:v>
                </c:pt>
                <c:pt idx="19">
                  <c:v>17.899999999999999</c:v>
                </c:pt>
                <c:pt idx="20">
                  <c:v>16.600000000000001</c:v>
                </c:pt>
                <c:pt idx="21">
                  <c:v>15.2</c:v>
                </c:pt>
                <c:pt idx="22">
                  <c:v>13.7</c:v>
                </c:pt>
                <c:pt idx="23">
                  <c:v>12.1</c:v>
                </c:pt>
                <c:pt idx="24">
                  <c:v>8.6999999999999993</c:v>
                </c:pt>
                <c:pt idx="25">
                  <c:v>6.3</c:v>
                </c:pt>
                <c:pt idx="26">
                  <c:v>4.5999999999999996</c:v>
                </c:pt>
                <c:pt idx="27">
                  <c:v>8.3000000000000007</c:v>
                </c:pt>
                <c:pt idx="28">
                  <c:v>5.8</c:v>
                </c:pt>
                <c:pt idx="29">
                  <c:v>4</c:v>
                </c:pt>
                <c:pt idx="30">
                  <c:v>10</c:v>
                </c:pt>
                <c:pt idx="31">
                  <c:v>8.1</c:v>
                </c:pt>
                <c:pt idx="32">
                  <c:v>6.2</c:v>
                </c:pt>
                <c:pt idx="33">
                  <c:v>4.5</c:v>
                </c:pt>
                <c:pt idx="3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L_measured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Sheet1!$F$31:$AN$31</c:f>
              <c:numCache>
                <c:formatCode>General</c:formatCode>
                <c:ptCount val="35"/>
                <c:pt idx="0">
                  <c:v>11320</c:v>
                </c:pt>
                <c:pt idx="1">
                  <c:v>10360</c:v>
                </c:pt>
                <c:pt idx="2">
                  <c:v>9400</c:v>
                </c:pt>
                <c:pt idx="3">
                  <c:v>8440</c:v>
                </c:pt>
                <c:pt idx="4">
                  <c:v>7480</c:v>
                </c:pt>
                <c:pt idx="5">
                  <c:v>6520</c:v>
                </c:pt>
                <c:pt idx="6">
                  <c:v>5560</c:v>
                </c:pt>
                <c:pt idx="7">
                  <c:v>4600</c:v>
                </c:pt>
                <c:pt idx="8">
                  <c:v>4592</c:v>
                </c:pt>
                <c:pt idx="9">
                  <c:v>4568</c:v>
                </c:pt>
                <c:pt idx="10">
                  <c:v>4528</c:v>
                </c:pt>
                <c:pt idx="11">
                  <c:v>4472</c:v>
                </c:pt>
                <c:pt idx="12">
                  <c:v>4400</c:v>
                </c:pt>
                <c:pt idx="13">
                  <c:v>4312</c:v>
                </c:pt>
                <c:pt idx="14">
                  <c:v>4208</c:v>
                </c:pt>
                <c:pt idx="15">
                  <c:v>4088</c:v>
                </c:pt>
                <c:pt idx="16">
                  <c:v>3952</c:v>
                </c:pt>
                <c:pt idx="17">
                  <c:v>3800</c:v>
                </c:pt>
                <c:pt idx="18">
                  <c:v>3632</c:v>
                </c:pt>
                <c:pt idx="19">
                  <c:v>3448</c:v>
                </c:pt>
                <c:pt idx="20">
                  <c:v>3248</c:v>
                </c:pt>
                <c:pt idx="21">
                  <c:v>3032</c:v>
                </c:pt>
                <c:pt idx="22">
                  <c:v>2800</c:v>
                </c:pt>
                <c:pt idx="23">
                  <c:v>2552</c:v>
                </c:pt>
                <c:pt idx="24">
                  <c:v>2192</c:v>
                </c:pt>
                <c:pt idx="25">
                  <c:v>1832</c:v>
                </c:pt>
                <c:pt idx="26">
                  <c:v>1472</c:v>
                </c:pt>
                <c:pt idx="27">
                  <c:v>2264</c:v>
                </c:pt>
                <c:pt idx="28">
                  <c:v>1976</c:v>
                </c:pt>
                <c:pt idx="29">
                  <c:v>1688</c:v>
                </c:pt>
                <c:pt idx="30">
                  <c:v>2232</c:v>
                </c:pt>
                <c:pt idx="31">
                  <c:v>1912</c:v>
                </c:pt>
                <c:pt idx="32">
                  <c:v>1592</c:v>
                </c:pt>
                <c:pt idx="33">
                  <c:v>1272</c:v>
                </c:pt>
                <c:pt idx="34">
                  <c:v>952</c:v>
                </c:pt>
              </c:numCache>
            </c:numRef>
          </c:xVal>
          <c:yVal>
            <c:numRef>
              <c:f>Sheet1!$F$20:$AN$20</c:f>
              <c:numCache>
                <c:formatCode>General</c:formatCode>
                <c:ptCount val="35"/>
                <c:pt idx="0">
                  <c:v>93.9</c:v>
                </c:pt>
                <c:pt idx="1">
                  <c:v>84.2</c:v>
                </c:pt>
                <c:pt idx="2">
                  <c:v>74.599999999999994</c:v>
                </c:pt>
                <c:pt idx="3">
                  <c:v>64.599999999999994</c:v>
                </c:pt>
                <c:pt idx="4">
                  <c:v>54.7</c:v>
                </c:pt>
                <c:pt idx="5">
                  <c:v>45.1</c:v>
                </c:pt>
                <c:pt idx="6">
                  <c:v>36</c:v>
                </c:pt>
                <c:pt idx="7">
                  <c:v>27.7</c:v>
                </c:pt>
                <c:pt idx="8">
                  <c:v>27.7</c:v>
                </c:pt>
                <c:pt idx="9">
                  <c:v>27.6</c:v>
                </c:pt>
                <c:pt idx="10">
                  <c:v>27.5</c:v>
                </c:pt>
                <c:pt idx="11">
                  <c:v>27.2</c:v>
                </c:pt>
                <c:pt idx="12">
                  <c:v>26.8</c:v>
                </c:pt>
                <c:pt idx="13">
                  <c:v>26.2</c:v>
                </c:pt>
                <c:pt idx="14">
                  <c:v>25.5</c:v>
                </c:pt>
                <c:pt idx="15">
                  <c:v>24.7</c:v>
                </c:pt>
                <c:pt idx="16">
                  <c:v>23.7</c:v>
                </c:pt>
                <c:pt idx="17">
                  <c:v>22.6</c:v>
                </c:pt>
                <c:pt idx="18">
                  <c:v>21.3</c:v>
                </c:pt>
                <c:pt idx="19">
                  <c:v>19.899999999999999</c:v>
                </c:pt>
                <c:pt idx="20">
                  <c:v>18.399999999999999</c:v>
                </c:pt>
                <c:pt idx="21">
                  <c:v>16.8</c:v>
                </c:pt>
                <c:pt idx="22">
                  <c:v>15.1</c:v>
                </c:pt>
                <c:pt idx="23">
                  <c:v>13.4</c:v>
                </c:pt>
                <c:pt idx="24">
                  <c:v>10.199999999999999</c:v>
                </c:pt>
                <c:pt idx="25">
                  <c:v>7.9</c:v>
                </c:pt>
                <c:pt idx="26">
                  <c:v>6.2</c:v>
                </c:pt>
                <c:pt idx="27">
                  <c:v>9.5</c:v>
                </c:pt>
                <c:pt idx="28">
                  <c:v>6.7</c:v>
                </c:pt>
                <c:pt idx="29">
                  <c:v>4.7</c:v>
                </c:pt>
                <c:pt idx="30">
                  <c:v>11.5</c:v>
                </c:pt>
                <c:pt idx="31">
                  <c:v>9.5</c:v>
                </c:pt>
                <c:pt idx="32">
                  <c:v>7.6</c:v>
                </c:pt>
                <c:pt idx="33">
                  <c:v>5.8</c:v>
                </c:pt>
                <c:pt idx="34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88784"/>
        <c:axId val="-629181712"/>
      </c:scatterChart>
      <c:valAx>
        <c:axId val="-6291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perimeter in microns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81712"/>
        <c:crosses val="autoZero"/>
        <c:crossBetween val="midCat"/>
      </c:valAx>
      <c:valAx>
        <c:axId val="-6291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Inductance in nanoHenri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Sheet1!$A$158</c:f>
              <c:strCache>
                <c:ptCount val="1"/>
                <c:pt idx="0">
                  <c:v>C*10^(-9)/(l*geom)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Sheet1!$B$104:$BY$104</c:f>
              <c:numCache>
                <c:formatCode>General</c:formatCode>
                <c:ptCount val="76"/>
                <c:pt idx="0">
                  <c:v>6520</c:v>
                </c:pt>
                <c:pt idx="1">
                  <c:v>8199.9999999999982</c:v>
                </c:pt>
                <c:pt idx="2">
                  <c:v>5600</c:v>
                </c:pt>
                <c:pt idx="3">
                  <c:v>5480</c:v>
                </c:pt>
                <c:pt idx="4">
                  <c:v>11320.000000000002</c:v>
                </c:pt>
                <c:pt idx="5">
                  <c:v>10360</c:v>
                </c:pt>
                <c:pt idx="6">
                  <c:v>9400</c:v>
                </c:pt>
                <c:pt idx="7">
                  <c:v>8440</c:v>
                </c:pt>
                <c:pt idx="8">
                  <c:v>7480</c:v>
                </c:pt>
                <c:pt idx="9">
                  <c:v>6520.0000000000009</c:v>
                </c:pt>
                <c:pt idx="10">
                  <c:v>5560</c:v>
                </c:pt>
                <c:pt idx="11">
                  <c:v>4600</c:v>
                </c:pt>
                <c:pt idx="12">
                  <c:v>4592</c:v>
                </c:pt>
                <c:pt idx="13">
                  <c:v>4568</c:v>
                </c:pt>
                <c:pt idx="14">
                  <c:v>4528</c:v>
                </c:pt>
                <c:pt idx="15">
                  <c:v>4472</c:v>
                </c:pt>
                <c:pt idx="16">
                  <c:v>4400</c:v>
                </c:pt>
                <c:pt idx="17">
                  <c:v>4312</c:v>
                </c:pt>
                <c:pt idx="18">
                  <c:v>4208.0000000000009</c:v>
                </c:pt>
                <c:pt idx="19">
                  <c:v>4088</c:v>
                </c:pt>
                <c:pt idx="20">
                  <c:v>3952</c:v>
                </c:pt>
                <c:pt idx="21">
                  <c:v>3799.9999999999995</c:v>
                </c:pt>
                <c:pt idx="22">
                  <c:v>3632</c:v>
                </c:pt>
                <c:pt idx="23">
                  <c:v>3448</c:v>
                </c:pt>
                <c:pt idx="24">
                  <c:v>3248</c:v>
                </c:pt>
                <c:pt idx="25">
                  <c:v>3032</c:v>
                </c:pt>
                <c:pt idx="26">
                  <c:v>2800</c:v>
                </c:pt>
                <c:pt idx="27">
                  <c:v>2552</c:v>
                </c:pt>
                <c:pt idx="28">
                  <c:v>2192</c:v>
                </c:pt>
                <c:pt idx="29">
                  <c:v>1832</c:v>
                </c:pt>
                <c:pt idx="30">
                  <c:v>1471.9999999999998</c:v>
                </c:pt>
                <c:pt idx="31">
                  <c:v>2264</c:v>
                </c:pt>
                <c:pt idx="32">
                  <c:v>1976</c:v>
                </c:pt>
                <c:pt idx="33">
                  <c:v>1688.0000000000002</c:v>
                </c:pt>
                <c:pt idx="34">
                  <c:v>2232</c:v>
                </c:pt>
                <c:pt idx="35">
                  <c:v>1912</c:v>
                </c:pt>
                <c:pt idx="36">
                  <c:v>1592</c:v>
                </c:pt>
                <c:pt idx="37">
                  <c:v>1272.0000000000002</c:v>
                </c:pt>
                <c:pt idx="38">
                  <c:v>952</c:v>
                </c:pt>
                <c:pt idx="39">
                  <c:v>1544</c:v>
                </c:pt>
                <c:pt idx="40">
                  <c:v>5660.0000000000009</c:v>
                </c:pt>
                <c:pt idx="41">
                  <c:v>2830.0000000000005</c:v>
                </c:pt>
                <c:pt idx="42">
                  <c:v>1415.0000000000002</c:v>
                </c:pt>
                <c:pt idx="43">
                  <c:v>12280</c:v>
                </c:pt>
                <c:pt idx="44">
                  <c:v>13240</c:v>
                </c:pt>
                <c:pt idx="45">
                  <c:v>14200</c:v>
                </c:pt>
                <c:pt idx="46">
                  <c:v>15159.999999999998</c:v>
                </c:pt>
                <c:pt idx="47">
                  <c:v>16120.000000000002</c:v>
                </c:pt>
                <c:pt idx="48">
                  <c:v>17080</c:v>
                </c:pt>
                <c:pt idx="49">
                  <c:v>18040</c:v>
                </c:pt>
                <c:pt idx="50">
                  <c:v>19000</c:v>
                </c:pt>
                <c:pt idx="51">
                  <c:v>19960</c:v>
                </c:pt>
                <c:pt idx="52">
                  <c:v>9980</c:v>
                </c:pt>
                <c:pt idx="53">
                  <c:v>4990</c:v>
                </c:pt>
                <c:pt idx="54">
                  <c:v>2495</c:v>
                </c:pt>
                <c:pt idx="55">
                  <c:v>1247.5</c:v>
                </c:pt>
                <c:pt idx="56">
                  <c:v>17360</c:v>
                </c:pt>
                <c:pt idx="57">
                  <c:v>16400</c:v>
                </c:pt>
                <c:pt idx="58">
                  <c:v>15440</c:v>
                </c:pt>
                <c:pt idx="59">
                  <c:v>14480</c:v>
                </c:pt>
                <c:pt idx="60">
                  <c:v>13520.000000000002</c:v>
                </c:pt>
                <c:pt idx="61">
                  <c:v>12559.999999999998</c:v>
                </c:pt>
                <c:pt idx="62">
                  <c:v>11600</c:v>
                </c:pt>
                <c:pt idx="63">
                  <c:v>10640</c:v>
                </c:pt>
                <c:pt idx="64">
                  <c:v>9680.0000000000018</c:v>
                </c:pt>
                <c:pt idx="65">
                  <c:v>8720</c:v>
                </c:pt>
                <c:pt idx="66">
                  <c:v>17560</c:v>
                </c:pt>
                <c:pt idx="67">
                  <c:v>16600</c:v>
                </c:pt>
                <c:pt idx="68">
                  <c:v>15640.000000000002</c:v>
                </c:pt>
                <c:pt idx="69">
                  <c:v>14680</c:v>
                </c:pt>
                <c:pt idx="70">
                  <c:v>13719.999999999998</c:v>
                </c:pt>
                <c:pt idx="71">
                  <c:v>12760.000000000002</c:v>
                </c:pt>
                <c:pt idx="72">
                  <c:v>11799.999999999998</c:v>
                </c:pt>
                <c:pt idx="73">
                  <c:v>10840</c:v>
                </c:pt>
                <c:pt idx="74">
                  <c:v>9880</c:v>
                </c:pt>
                <c:pt idx="75">
                  <c:v>8920</c:v>
                </c:pt>
              </c:numCache>
            </c:numRef>
          </c:xVal>
          <c:yVal>
            <c:numRef>
              <c:f>Sheet1!$B$158:$BY$158</c:f>
              <c:numCache>
                <c:formatCode>General</c:formatCode>
                <c:ptCount val="76"/>
                <c:pt idx="0">
                  <c:v>7.7841179242585111E-12</c:v>
                </c:pt>
                <c:pt idx="1">
                  <c:v>3.7531383923001931E-12</c:v>
                </c:pt>
                <c:pt idx="2">
                  <c:v>1.5324769197707329E-11</c:v>
                </c:pt>
                <c:pt idx="3">
                  <c:v>1.5984914884942631E-11</c:v>
                </c:pt>
                <c:pt idx="4">
                  <c:v>3.220807570446389E-12</c:v>
                </c:pt>
                <c:pt idx="5">
                  <c:v>3.1044429708476314E-12</c:v>
                </c:pt>
                <c:pt idx="6">
                  <c:v>3.1265362186959236E-12</c:v>
                </c:pt>
                <c:pt idx="7">
                  <c:v>3.1865059959390849E-12</c:v>
                </c:pt>
                <c:pt idx="8">
                  <c:v>3.2989357791355691E-12</c:v>
                </c:pt>
                <c:pt idx="9">
                  <c:v>3.4444737193469672E-12</c:v>
                </c:pt>
                <c:pt idx="10">
                  <c:v>3.6901360691680544E-12</c:v>
                </c:pt>
                <c:pt idx="11">
                  <c:v>4.0081989136727276E-12</c:v>
                </c:pt>
                <c:pt idx="12">
                  <c:v>4.0151818386094396E-12</c:v>
                </c:pt>
                <c:pt idx="13">
                  <c:v>4.0362773649068629E-12</c:v>
                </c:pt>
                <c:pt idx="14">
                  <c:v>4.1025495669184041E-12</c:v>
                </c:pt>
                <c:pt idx="15">
                  <c:v>4.1849226017706902E-12</c:v>
                </c:pt>
                <c:pt idx="16">
                  <c:v>4.2218964634105764E-12</c:v>
                </c:pt>
                <c:pt idx="17">
                  <c:v>4.4045066668234007E-12</c:v>
                </c:pt>
                <c:pt idx="18">
                  <c:v>4.5133632954711259E-12</c:v>
                </c:pt>
                <c:pt idx="19">
                  <c:v>4.7136721182892566E-12</c:v>
                </c:pt>
                <c:pt idx="20">
                  <c:v>4.9460401041979907E-12</c:v>
                </c:pt>
                <c:pt idx="21">
                  <c:v>5.1803631389216974E-12</c:v>
                </c:pt>
                <c:pt idx="22">
                  <c:v>5.4963212555414175E-12</c:v>
                </c:pt>
                <c:pt idx="23">
                  <c:v>5.7896284223104486E-12</c:v>
                </c:pt>
                <c:pt idx="24">
                  <c:v>6.2314955887778342E-12</c:v>
                </c:pt>
                <c:pt idx="25">
                  <c:v>6.7668722112712352E-12</c:v>
                </c:pt>
                <c:pt idx="26">
                  <c:v>7.377066421673705E-12</c:v>
                </c:pt>
                <c:pt idx="27">
                  <c:v>8.0396381444256993E-12</c:v>
                </c:pt>
                <c:pt idx="28">
                  <c:v>1.5079452100886713E-11</c:v>
                </c:pt>
                <c:pt idx="29">
                  <c:v>2.6698808249959595E-11</c:v>
                </c:pt>
                <c:pt idx="30">
                  <c:v>4.3893127343879711E-11</c:v>
                </c:pt>
                <c:pt idx="31">
                  <c:v>8.1621452149536774E-12</c:v>
                </c:pt>
                <c:pt idx="32">
                  <c:v>1.0051277511449641E-11</c:v>
                </c:pt>
                <c:pt idx="33">
                  <c:v>1.2627289480664665E-11</c:v>
                </c:pt>
                <c:pt idx="34">
                  <c:v>8.1364050764653073E-12</c:v>
                </c:pt>
                <c:pt idx="35">
                  <c:v>8.410572483781763E-12</c:v>
                </c:pt>
                <c:pt idx="36">
                  <c:v>8.6208003612355022E-12</c:v>
                </c:pt>
                <c:pt idx="37">
                  <c:v>8.9368032713703613E-12</c:v>
                </c:pt>
                <c:pt idx="38">
                  <c:v>9.6108642682681507E-12</c:v>
                </c:pt>
                <c:pt idx="39">
                  <c:v>2.0902430116263186E-11</c:v>
                </c:pt>
                <c:pt idx="40">
                  <c:v>3.0616041544167193E-12</c:v>
                </c:pt>
                <c:pt idx="41">
                  <c:v>3.477982319417393E-12</c:v>
                </c:pt>
                <c:pt idx="42">
                  <c:v>4.3107386494187407E-12</c:v>
                </c:pt>
                <c:pt idx="43">
                  <c:v>2.8899947593378834E-12</c:v>
                </c:pt>
                <c:pt idx="44">
                  <c:v>3.01550435047227E-12</c:v>
                </c:pt>
                <c:pt idx="45">
                  <c:v>3.0264172672335641E-12</c:v>
                </c:pt>
                <c:pt idx="46">
                  <c:v>2.880492900743837E-12</c:v>
                </c:pt>
                <c:pt idx="47">
                  <c:v>2.7175497401605801E-12</c:v>
                </c:pt>
                <c:pt idx="48">
                  <c:v>2.8894659985871258E-12</c:v>
                </c:pt>
                <c:pt idx="49">
                  <c:v>2.8740248950046517E-12</c:v>
                </c:pt>
                <c:pt idx="50">
                  <c:v>2.9112181583517703E-12</c:v>
                </c:pt>
                <c:pt idx="51">
                  <c:v>2.8198171874482749E-12</c:v>
                </c:pt>
                <c:pt idx="52">
                  <c:v>2.8198171874482749E-12</c:v>
                </c:pt>
                <c:pt idx="53">
                  <c:v>2.917052262877526E-12</c:v>
                </c:pt>
                <c:pt idx="54">
                  <c:v>2.8892708127548826E-12</c:v>
                </c:pt>
                <c:pt idx="55">
                  <c:v>2.8892708127548826E-12</c:v>
                </c:pt>
                <c:pt idx="56">
                  <c:v>5.3223204973085039E-12</c:v>
                </c:pt>
                <c:pt idx="57">
                  <c:v>5.5545206701556976E-12</c:v>
                </c:pt>
                <c:pt idx="58">
                  <c:v>5.411032312355228E-12</c:v>
                </c:pt>
                <c:pt idx="59">
                  <c:v>5.3923128842079776E-12</c:v>
                </c:pt>
                <c:pt idx="60">
                  <c:v>5.4864390558553947E-12</c:v>
                </c:pt>
                <c:pt idx="61">
                  <c:v>5.7192862514542205E-12</c:v>
                </c:pt>
                <c:pt idx="62">
                  <c:v>5.7438668920151929E-12</c:v>
                </c:pt>
                <c:pt idx="63">
                  <c:v>5.9685740906807302E-12</c:v>
                </c:pt>
                <c:pt idx="64">
                  <c:v>6.0765275713887471E-12</c:v>
                </c:pt>
                <c:pt idx="65">
                  <c:v>6.4768768548329271E-12</c:v>
                </c:pt>
                <c:pt idx="66">
                  <c:v>2.8457654875018322E-12</c:v>
                </c:pt>
                <c:pt idx="67">
                  <c:v>2.9476244630333991E-12</c:v>
                </c:pt>
                <c:pt idx="68">
                  <c:v>2.8206899084579473E-12</c:v>
                </c:pt>
                <c:pt idx="69">
                  <c:v>2.801260015669024E-12</c:v>
                </c:pt>
                <c:pt idx="70">
                  <c:v>3.0636616924144901E-12</c:v>
                </c:pt>
                <c:pt idx="71">
                  <c:v>2.9576019152777086E-12</c:v>
                </c:pt>
                <c:pt idx="72">
                  <c:v>3.1541069916826017E-12</c:v>
                </c:pt>
                <c:pt idx="73">
                  <c:v>3.0732867134398632E-12</c:v>
                </c:pt>
                <c:pt idx="74">
                  <c:v>3.3060481328266216E-12</c:v>
                </c:pt>
                <c:pt idx="75">
                  <c:v>3.3554855810101361E-12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79536"/>
        <c:axId val="-629195856"/>
      </c:scatterChart>
      <c:valAx>
        <c:axId val="-6291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95856"/>
        <c:crosses val="autoZero"/>
        <c:crossBetween val="midCat"/>
      </c:valAx>
      <c:valAx>
        <c:axId val="-6291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resonance frequency</a:t>
            </a:r>
            <a:r>
              <a:rPr lang="fr-FR" baseline="0"/>
              <a:t> in function of the heigth of the membrane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resonnance_frequency in function of the heigth of the membrane (parasitic capacitance 2.3 fF)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Sheet1!$CW$9:$EK$9</c:f>
              <c:numCache>
                <c:formatCode>General</c:formatCode>
                <c:ptCount val="4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2.5999999999999999E-2</c:v>
                </c:pt>
                <c:pt idx="17">
                  <c:v>2.7E-2</c:v>
                </c:pt>
                <c:pt idx="18">
                  <c:v>2.8000000000000001E-2</c:v>
                </c:pt>
                <c:pt idx="19">
                  <c:v>2.9000000000000001E-2</c:v>
                </c:pt>
                <c:pt idx="20">
                  <c:v>0.03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3.3000000000000002E-2</c:v>
                </c:pt>
                <c:pt idx="24">
                  <c:v>3.4000000000000002E-2</c:v>
                </c:pt>
                <c:pt idx="25">
                  <c:v>3.5000000000000003E-2</c:v>
                </c:pt>
                <c:pt idx="26">
                  <c:v>3.5999999999999997E-2</c:v>
                </c:pt>
                <c:pt idx="27">
                  <c:v>3.6999999999999998E-2</c:v>
                </c:pt>
                <c:pt idx="28">
                  <c:v>3.7999999999999999E-2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4.1000000000000002E-2</c:v>
                </c:pt>
                <c:pt idx="32">
                  <c:v>4.2000000000000003E-2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4.8000000000000001E-2</c:v>
                </c:pt>
                <c:pt idx="39">
                  <c:v>4.9000000000000002E-2</c:v>
                </c:pt>
                <c:pt idx="40">
                  <c:v>0.05</c:v>
                </c:pt>
              </c:numCache>
            </c:numRef>
          </c:xVal>
          <c:yVal>
            <c:numRef>
              <c:f>Sheet1!$CW$8:$EK$8</c:f>
              <c:numCache>
                <c:formatCode>General</c:formatCode>
                <c:ptCount val="41"/>
                <c:pt idx="0">
                  <c:v>4.125</c:v>
                </c:pt>
                <c:pt idx="1">
                  <c:v>4.1520000000000001</c:v>
                </c:pt>
                <c:pt idx="2">
                  <c:v>4.1749999999999998</c:v>
                </c:pt>
                <c:pt idx="3">
                  <c:v>4.2</c:v>
                </c:pt>
                <c:pt idx="4">
                  <c:v>4.2190000000000003</c:v>
                </c:pt>
                <c:pt idx="5">
                  <c:v>4.2249999999999996</c:v>
                </c:pt>
                <c:pt idx="6">
                  <c:v>4.25</c:v>
                </c:pt>
                <c:pt idx="7">
                  <c:v>4.2750000000000004</c:v>
                </c:pt>
                <c:pt idx="8">
                  <c:v>4.3</c:v>
                </c:pt>
                <c:pt idx="9">
                  <c:v>4.3259999999999996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4.375</c:v>
                </c:pt>
                <c:pt idx="13">
                  <c:v>4.4000000000000004</c:v>
                </c:pt>
                <c:pt idx="14">
                  <c:v>4.4269999999999996</c:v>
                </c:pt>
                <c:pt idx="15">
                  <c:v>4.4459999999999997</c:v>
                </c:pt>
                <c:pt idx="16">
                  <c:v>4.45</c:v>
                </c:pt>
                <c:pt idx="17">
                  <c:v>4.4749999999999996</c:v>
                </c:pt>
                <c:pt idx="18">
                  <c:v>4.5030000000000001</c:v>
                </c:pt>
                <c:pt idx="19">
                  <c:v>4.5220000000000002</c:v>
                </c:pt>
                <c:pt idx="20">
                  <c:v>4.5250000000000004</c:v>
                </c:pt>
                <c:pt idx="21">
                  <c:v>4.55</c:v>
                </c:pt>
                <c:pt idx="22">
                  <c:v>4.577</c:v>
                </c:pt>
                <c:pt idx="23">
                  <c:v>4.5999999999999996</c:v>
                </c:pt>
                <c:pt idx="24">
                  <c:v>4.6120000000000001</c:v>
                </c:pt>
                <c:pt idx="25">
                  <c:v>4.63</c:v>
                </c:pt>
                <c:pt idx="26">
                  <c:v>4.6470000000000002</c:v>
                </c:pt>
                <c:pt idx="27">
                  <c:v>4.6500000000000004</c:v>
                </c:pt>
                <c:pt idx="28">
                  <c:v>4.68</c:v>
                </c:pt>
                <c:pt idx="29">
                  <c:v>4.6980000000000004</c:v>
                </c:pt>
                <c:pt idx="30">
                  <c:v>4.7</c:v>
                </c:pt>
                <c:pt idx="31">
                  <c:v>4.7309999999999999</c:v>
                </c:pt>
                <c:pt idx="32">
                  <c:v>4.7480000000000002</c:v>
                </c:pt>
                <c:pt idx="33">
                  <c:v>4.75</c:v>
                </c:pt>
                <c:pt idx="34">
                  <c:v>4.78</c:v>
                </c:pt>
                <c:pt idx="35">
                  <c:v>4.7960000000000003</c:v>
                </c:pt>
                <c:pt idx="36">
                  <c:v>4.8</c:v>
                </c:pt>
                <c:pt idx="37">
                  <c:v>4.827</c:v>
                </c:pt>
                <c:pt idx="38">
                  <c:v>4.843</c:v>
                </c:pt>
                <c:pt idx="39">
                  <c:v>4.8499999999999996</c:v>
                </c:pt>
                <c:pt idx="40">
                  <c:v>4.8730000000000002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92048"/>
        <c:axId val="-629194224"/>
      </c:scatterChart>
      <c:valAx>
        <c:axId val="-6291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heigth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94224"/>
        <c:crosses val="autoZero"/>
        <c:crossBetween val="midCat"/>
      </c:valAx>
      <c:valAx>
        <c:axId val="-629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resonance</a:t>
                </a:r>
                <a:r>
                  <a:rPr lang="fr-FR" baseline="0"/>
                  <a:t> frequency (GHz)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sensibility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sensibility ( parasitic capacitance 2.3fF)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Sheet1!$CX$9:$EK$9</c:f>
              <c:numCache>
                <c:formatCode>General</c:formatCode>
                <c:ptCount val="40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2.1000000000000001E-2</c:v>
                </c:pt>
                <c:pt idx="11">
                  <c:v>2.1999999999999999E-2</c:v>
                </c:pt>
                <c:pt idx="12">
                  <c:v>2.3E-2</c:v>
                </c:pt>
                <c:pt idx="13">
                  <c:v>2.4E-2</c:v>
                </c:pt>
                <c:pt idx="14">
                  <c:v>2.5000000000000001E-2</c:v>
                </c:pt>
                <c:pt idx="15">
                  <c:v>2.5999999999999999E-2</c:v>
                </c:pt>
                <c:pt idx="16">
                  <c:v>2.7E-2</c:v>
                </c:pt>
                <c:pt idx="17">
                  <c:v>2.8000000000000001E-2</c:v>
                </c:pt>
                <c:pt idx="18">
                  <c:v>2.9000000000000001E-2</c:v>
                </c:pt>
                <c:pt idx="19">
                  <c:v>0.03</c:v>
                </c:pt>
                <c:pt idx="20">
                  <c:v>3.1E-2</c:v>
                </c:pt>
                <c:pt idx="21">
                  <c:v>3.2000000000000001E-2</c:v>
                </c:pt>
                <c:pt idx="22">
                  <c:v>3.3000000000000002E-2</c:v>
                </c:pt>
                <c:pt idx="23">
                  <c:v>3.4000000000000002E-2</c:v>
                </c:pt>
                <c:pt idx="24">
                  <c:v>3.5000000000000003E-2</c:v>
                </c:pt>
                <c:pt idx="25">
                  <c:v>3.5999999999999997E-2</c:v>
                </c:pt>
                <c:pt idx="26">
                  <c:v>3.6999999999999998E-2</c:v>
                </c:pt>
                <c:pt idx="27">
                  <c:v>3.7999999999999999E-2</c:v>
                </c:pt>
                <c:pt idx="28">
                  <c:v>3.9E-2</c:v>
                </c:pt>
                <c:pt idx="29">
                  <c:v>0.04</c:v>
                </c:pt>
                <c:pt idx="30">
                  <c:v>4.1000000000000002E-2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4.4999999999999998E-2</c:v>
                </c:pt>
                <c:pt idx="35">
                  <c:v>4.5999999999999999E-2</c:v>
                </c:pt>
                <c:pt idx="36">
                  <c:v>4.7E-2</c:v>
                </c:pt>
                <c:pt idx="37">
                  <c:v>4.8000000000000001E-2</c:v>
                </c:pt>
                <c:pt idx="38">
                  <c:v>4.9000000000000002E-2</c:v>
                </c:pt>
                <c:pt idx="39">
                  <c:v>0.05</c:v>
                </c:pt>
              </c:numCache>
            </c:numRef>
          </c:xVal>
          <c:yVal>
            <c:numRef>
              <c:f>Sheet1!$CX$11:$EK$11</c:f>
              <c:numCache>
                <c:formatCode>General</c:formatCode>
                <c:ptCount val="40"/>
                <c:pt idx="0">
                  <c:v>5.5814389390349337</c:v>
                </c:pt>
                <c:pt idx="1">
                  <c:v>5.6444477186643986</c:v>
                </c:pt>
                <c:pt idx="2">
                  <c:v>4.7551386890537835</c:v>
                </c:pt>
                <c:pt idx="3">
                  <c:v>5.7637367675443478</c:v>
                </c:pt>
                <c:pt idx="4">
                  <c:v>4.8567552762166954</c:v>
                </c:pt>
                <c:pt idx="5">
                  <c:v>4.9043944485199589</c:v>
                </c:pt>
                <c:pt idx="6">
                  <c:v>4.9529774552867529</c:v>
                </c:pt>
                <c:pt idx="7">
                  <c:v>5.0025326264189696</c:v>
                </c:pt>
                <c:pt idx="8">
                  <c:v>5.0530894370747772</c:v>
                </c:pt>
                <c:pt idx="9">
                  <c:v>4.0816496876871602</c:v>
                </c:pt>
                <c:pt idx="10">
                  <c:v>5.1467145612602492</c:v>
                </c:pt>
                <c:pt idx="11">
                  <c:v>4.1580221675339466</c:v>
                </c:pt>
                <c:pt idx="12">
                  <c:v>5.2438746335989492</c:v>
                </c:pt>
                <c:pt idx="13">
                  <c:v>4.2373071958612121</c:v>
                </c:pt>
                <c:pt idx="14">
                  <c:v>4.273523827043987</c:v>
                </c:pt>
                <c:pt idx="15">
                  <c:v>4.3103648915664943</c:v>
                </c:pt>
                <c:pt idx="16">
                  <c:v>4.3478466792994643</c:v>
                </c:pt>
                <c:pt idx="17">
                  <c:v>4.385986051702476</c:v>
                </c:pt>
                <c:pt idx="18">
                  <c:v>3.3167587223569779</c:v>
                </c:pt>
                <c:pt idx="19">
                  <c:v>4.4543651287948114</c:v>
                </c:pt>
                <c:pt idx="20">
                  <c:v>3.3689034547955248</c:v>
                </c:pt>
                <c:pt idx="21">
                  <c:v>4.524910091900062</c:v>
                </c:pt>
                <c:pt idx="22">
                  <c:v>3.4227139775131286</c:v>
                </c:pt>
                <c:pt idx="23">
                  <c:v>4.5977255032042619</c:v>
                </c:pt>
                <c:pt idx="24">
                  <c:v>3.4782714082168429</c:v>
                </c:pt>
                <c:pt idx="25">
                  <c:v>3.5026377320445676</c:v>
                </c:pt>
                <c:pt idx="26">
                  <c:v>3.5273478519977224</c:v>
                </c:pt>
                <c:pt idx="27">
                  <c:v>3.5524090959727475</c:v>
                </c:pt>
                <c:pt idx="28">
                  <c:v>3.5778290016110765</c:v>
                </c:pt>
                <c:pt idx="29">
                  <c:v>3.6036153238592856</c:v>
                </c:pt>
                <c:pt idx="30">
                  <c:v>6.5601990076311312</c:v>
                </c:pt>
                <c:pt idx="31">
                  <c:v>3.5843747749530723</c:v>
                </c:pt>
                <c:pt idx="32">
                  <c:v>0.42013795447753371</c:v>
                </c:pt>
                <c:pt idx="33">
                  <c:v>6.2864893939048212</c:v>
                </c:pt>
                <c:pt idx="34">
                  <c:v>3.3402916484962679</c:v>
                </c:pt>
                <c:pt idx="35">
                  <c:v>0.83193549497481523</c:v>
                </c:pt>
                <c:pt idx="36">
                  <c:v>5.6014017322350158</c:v>
                </c:pt>
                <c:pt idx="37">
                  <c:v>3.3067200261095042</c:v>
                </c:pt>
                <c:pt idx="38">
                  <c:v>1.4429947563165255</c:v>
                </c:pt>
                <c:pt idx="39">
                  <c:v>4.7229976329360603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77904"/>
        <c:axId val="-629177360"/>
      </c:scatterChart>
      <c:valAx>
        <c:axId val="-6291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heigth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77360"/>
        <c:crosses val="autoZero"/>
        <c:crossBetween val="midCat"/>
      </c:valAx>
      <c:valAx>
        <c:axId val="-6291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sensibility (microns^-1)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7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sensibility ratio between the two designs</a:t>
            </a:r>
          </a:p>
        </c:rich>
      </c:tx>
      <c:layout>
        <c:manualLayout>
          <c:xMode val="edge"/>
          <c:yMode val="edge"/>
          <c:x val="0.1412567804024496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 of sensibility between the two inductors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Sheet1!$CX$9:$DH$9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2.1000000000000001E-2</c:v>
                </c:pt>
              </c:numCache>
            </c:numRef>
          </c:xVal>
          <c:yVal>
            <c:numRef>
              <c:f>Sheet1!$CX$12:$DH$12</c:f>
              <c:numCache>
                <c:formatCode>General</c:formatCode>
                <c:ptCount val="11"/>
                <c:pt idx="9">
                  <c:v>1.1489807557114962</c:v>
                </c:pt>
              </c:numCache>
            </c:numRef>
          </c:yVal>
          <c:smooth val="0"/>
        </c:ser>
        <c:ser>
          <c:idx val="1"/>
          <c:order val="1"/>
          <c:tx>
            <c:v>theoretical ratio of sensibility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Sheet1!$CX$9:$DH$9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2.1000000000000001E-2</c:v>
                </c:pt>
              </c:numCache>
            </c:numRef>
          </c:xVal>
          <c:yVal>
            <c:numRef>
              <c:f>Sheet1!$CX$13:$DH$13</c:f>
              <c:numCache>
                <c:formatCode>General</c:formatCode>
                <c:ptCount val="11"/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75728"/>
        <c:axId val="-629175184"/>
      </c:scatterChart>
      <c:valAx>
        <c:axId val="-629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heigth of the membrane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75184"/>
        <c:crosses val="autoZero"/>
        <c:crossBetween val="midCat"/>
      </c:valAx>
      <c:valAx>
        <c:axId val="-6291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sensibility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resonance</a:t>
            </a:r>
            <a:r>
              <a:rPr lang="fr-FR" baseline="0"/>
              <a:t> frequency in function of the altitude of the membrane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resonnance frequency in function of the thickness 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Sheet1!$CW$9:$EP$9</c:f>
              <c:numCache>
                <c:formatCode>General</c:formatCode>
                <c:ptCount val="46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2.5999999999999999E-2</c:v>
                </c:pt>
                <c:pt idx="17">
                  <c:v>2.7E-2</c:v>
                </c:pt>
                <c:pt idx="18">
                  <c:v>2.8000000000000001E-2</c:v>
                </c:pt>
                <c:pt idx="19">
                  <c:v>2.9000000000000001E-2</c:v>
                </c:pt>
                <c:pt idx="20">
                  <c:v>0.03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3.3000000000000002E-2</c:v>
                </c:pt>
                <c:pt idx="24">
                  <c:v>3.4000000000000002E-2</c:v>
                </c:pt>
                <c:pt idx="25">
                  <c:v>3.5000000000000003E-2</c:v>
                </c:pt>
                <c:pt idx="26">
                  <c:v>3.5999999999999997E-2</c:v>
                </c:pt>
                <c:pt idx="27">
                  <c:v>3.6999999999999998E-2</c:v>
                </c:pt>
                <c:pt idx="28">
                  <c:v>3.7999999999999999E-2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4.1000000000000002E-2</c:v>
                </c:pt>
                <c:pt idx="32">
                  <c:v>4.2000000000000003E-2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4.8000000000000001E-2</c:v>
                </c:pt>
                <c:pt idx="39">
                  <c:v>4.9000000000000002E-2</c:v>
                </c:pt>
                <c:pt idx="40">
                  <c:v>0.05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0.09</c:v>
                </c:pt>
                <c:pt idx="45">
                  <c:v>0.1</c:v>
                </c:pt>
              </c:numCache>
            </c:numRef>
          </c:xVal>
          <c:yVal>
            <c:numRef>
              <c:f>Sheet1!$CW$8:$EP$8</c:f>
              <c:numCache>
                <c:formatCode>General</c:formatCode>
                <c:ptCount val="46"/>
                <c:pt idx="0">
                  <c:v>4.125</c:v>
                </c:pt>
                <c:pt idx="1">
                  <c:v>4.1520000000000001</c:v>
                </c:pt>
                <c:pt idx="2">
                  <c:v>4.1749999999999998</c:v>
                </c:pt>
                <c:pt idx="3">
                  <c:v>4.2</c:v>
                </c:pt>
                <c:pt idx="4">
                  <c:v>4.2190000000000003</c:v>
                </c:pt>
                <c:pt idx="5">
                  <c:v>4.2249999999999996</c:v>
                </c:pt>
                <c:pt idx="6">
                  <c:v>4.25</c:v>
                </c:pt>
                <c:pt idx="7">
                  <c:v>4.2750000000000004</c:v>
                </c:pt>
                <c:pt idx="8">
                  <c:v>4.3</c:v>
                </c:pt>
                <c:pt idx="9">
                  <c:v>4.3259999999999996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4.375</c:v>
                </c:pt>
                <c:pt idx="13">
                  <c:v>4.4000000000000004</c:v>
                </c:pt>
                <c:pt idx="14">
                  <c:v>4.4269999999999996</c:v>
                </c:pt>
                <c:pt idx="15">
                  <c:v>4.4459999999999997</c:v>
                </c:pt>
                <c:pt idx="16">
                  <c:v>4.45</c:v>
                </c:pt>
                <c:pt idx="17">
                  <c:v>4.4749999999999996</c:v>
                </c:pt>
                <c:pt idx="18">
                  <c:v>4.5030000000000001</c:v>
                </c:pt>
                <c:pt idx="19">
                  <c:v>4.5220000000000002</c:v>
                </c:pt>
                <c:pt idx="20">
                  <c:v>4.5250000000000004</c:v>
                </c:pt>
                <c:pt idx="21">
                  <c:v>4.55</c:v>
                </c:pt>
                <c:pt idx="22">
                  <c:v>4.577</c:v>
                </c:pt>
                <c:pt idx="23">
                  <c:v>4.5999999999999996</c:v>
                </c:pt>
                <c:pt idx="24">
                  <c:v>4.6120000000000001</c:v>
                </c:pt>
                <c:pt idx="25">
                  <c:v>4.63</c:v>
                </c:pt>
                <c:pt idx="26">
                  <c:v>4.6470000000000002</c:v>
                </c:pt>
                <c:pt idx="27">
                  <c:v>4.6500000000000004</c:v>
                </c:pt>
                <c:pt idx="28">
                  <c:v>4.68</c:v>
                </c:pt>
                <c:pt idx="29">
                  <c:v>4.6980000000000004</c:v>
                </c:pt>
                <c:pt idx="30">
                  <c:v>4.7</c:v>
                </c:pt>
                <c:pt idx="31">
                  <c:v>4.7309999999999999</c:v>
                </c:pt>
                <c:pt idx="32">
                  <c:v>4.7480000000000002</c:v>
                </c:pt>
                <c:pt idx="33">
                  <c:v>4.75</c:v>
                </c:pt>
                <c:pt idx="34">
                  <c:v>4.78</c:v>
                </c:pt>
                <c:pt idx="35">
                  <c:v>4.7960000000000003</c:v>
                </c:pt>
                <c:pt idx="36">
                  <c:v>4.8</c:v>
                </c:pt>
                <c:pt idx="37">
                  <c:v>4.827</c:v>
                </c:pt>
                <c:pt idx="38">
                  <c:v>4.843</c:v>
                </c:pt>
                <c:pt idx="39">
                  <c:v>4.8499999999999996</c:v>
                </c:pt>
                <c:pt idx="40">
                  <c:v>4.8730000000000002</c:v>
                </c:pt>
                <c:pt idx="41">
                  <c:v>5</c:v>
                </c:pt>
                <c:pt idx="42">
                  <c:v>5.15</c:v>
                </c:pt>
                <c:pt idx="43">
                  <c:v>5.2750000000000004</c:v>
                </c:pt>
                <c:pt idx="44">
                  <c:v>5.4</c:v>
                </c:pt>
                <c:pt idx="45">
                  <c:v>5.5</c:v>
                </c:pt>
              </c:numCache>
            </c:numRef>
          </c:yVal>
          <c:smooth val="0"/>
        </c:ser>
        <c:ser>
          <c:idx val="1"/>
          <c:order val="1"/>
          <c:tx>
            <c:v>theoretical resonance frequency in function of the thickness</c:v>
          </c:tx>
          <c:spPr>
            <a:ln w="95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Sheet1!$CW$9:$EP$9</c:f>
              <c:numCache>
                <c:formatCode>General</c:formatCode>
                <c:ptCount val="46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2.5999999999999999E-2</c:v>
                </c:pt>
                <c:pt idx="17">
                  <c:v>2.7E-2</c:v>
                </c:pt>
                <c:pt idx="18">
                  <c:v>2.8000000000000001E-2</c:v>
                </c:pt>
                <c:pt idx="19">
                  <c:v>2.9000000000000001E-2</c:v>
                </c:pt>
                <c:pt idx="20">
                  <c:v>0.03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3.3000000000000002E-2</c:v>
                </c:pt>
                <c:pt idx="24">
                  <c:v>3.4000000000000002E-2</c:v>
                </c:pt>
                <c:pt idx="25">
                  <c:v>3.5000000000000003E-2</c:v>
                </c:pt>
                <c:pt idx="26">
                  <c:v>3.5999999999999997E-2</c:v>
                </c:pt>
                <c:pt idx="27">
                  <c:v>3.6999999999999998E-2</c:v>
                </c:pt>
                <c:pt idx="28">
                  <c:v>3.7999999999999999E-2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4.1000000000000002E-2</c:v>
                </c:pt>
                <c:pt idx="32">
                  <c:v>4.2000000000000003E-2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4.8000000000000001E-2</c:v>
                </c:pt>
                <c:pt idx="39">
                  <c:v>4.9000000000000002E-2</c:v>
                </c:pt>
                <c:pt idx="40">
                  <c:v>0.05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0.09</c:v>
                </c:pt>
                <c:pt idx="45">
                  <c:v>0.1</c:v>
                </c:pt>
              </c:numCache>
            </c:numRef>
          </c:xVal>
          <c:yVal>
            <c:numRef>
              <c:f>Sheet1!$CW$7:$EP$7</c:f>
              <c:numCache>
                <c:formatCode>General</c:formatCode>
                <c:ptCount val="46"/>
                <c:pt idx="0">
                  <c:v>4.126398890447585</c:v>
                </c:pt>
                <c:pt idx="1">
                  <c:v>4.1495594028786504</c:v>
                </c:pt>
                <c:pt idx="2">
                  <c:v>4.1731143285300476</c:v>
                </c:pt>
                <c:pt idx="3">
                  <c:v>4.1930528764882853</c:v>
                </c:pt>
                <c:pt idx="4">
                  <c:v>4.2173606330308795</c:v>
                </c:pt>
                <c:pt idx="5">
                  <c:v>4.2379432864476412</c:v>
                </c:pt>
                <c:pt idx="6">
                  <c:v>4.2588302699809244</c:v>
                </c:pt>
                <c:pt idx="7">
                  <c:v>4.2800291579080127</c:v>
                </c:pt>
                <c:pt idx="8">
                  <c:v>4.3015477910769757</c:v>
                </c:pt>
                <c:pt idx="9">
                  <c:v>4.3233942890914934</c:v>
                </c:pt>
                <c:pt idx="10">
                  <c:v>4.3411131923974571</c:v>
                </c:pt>
                <c:pt idx="11">
                  <c:v>4.3635712480790421</c:v>
                </c:pt>
                <c:pt idx="12">
                  <c:v>4.3817908314898739</c:v>
                </c:pt>
                <c:pt idx="13">
                  <c:v>4.4048895199071207</c:v>
                </c:pt>
                <c:pt idx="14">
                  <c:v>4.4236338153045658</c:v>
                </c:pt>
                <c:pt idx="15">
                  <c:v>4.4426194554017142</c:v>
                </c:pt>
                <c:pt idx="16">
                  <c:v>4.4618516641663142</c:v>
                </c:pt>
                <c:pt idx="17">
                  <c:v>4.481335825252966</c:v>
                </c:pt>
                <c:pt idx="18">
                  <c:v>4.5010774883344329</c:v>
                </c:pt>
                <c:pt idx="19">
                  <c:v>4.5160561569837627</c:v>
                </c:pt>
                <c:pt idx="20">
                  <c:v>4.5362623257024373</c:v>
                </c:pt>
                <c:pt idx="21">
                  <c:v>4.5515962139123207</c:v>
                </c:pt>
                <c:pt idx="22">
                  <c:v>4.5722853942357453</c:v>
                </c:pt>
                <c:pt idx="23">
                  <c:v>4.5879887675190059</c:v>
                </c:pt>
                <c:pt idx="24">
                  <c:v>4.6091805143185605</c:v>
                </c:pt>
                <c:pt idx="25">
                  <c:v>4.6252684533351234</c:v>
                </c:pt>
                <c:pt idx="26">
                  <c:v>4.6415260375685783</c:v>
                </c:pt>
                <c:pt idx="27">
                  <c:v>4.6579562696108896</c:v>
                </c:pt>
                <c:pt idx="28">
                  <c:v>4.6745622269857243</c:v>
                </c:pt>
                <c:pt idx="29">
                  <c:v>4.6913470645699658</c:v>
                </c:pt>
                <c:pt idx="30">
                  <c:v>4.7083140171115705</c:v>
                </c:pt>
                <c:pt idx="31">
                  <c:v>4.7254664018483297</c:v>
                </c:pt>
                <c:pt idx="32">
                  <c:v>4.742807621232326</c:v>
                </c:pt>
                <c:pt idx="33">
                  <c:v>4.7603411657652055</c:v>
                </c:pt>
                <c:pt idx="34">
                  <c:v>4.7721388075651987</c:v>
                </c:pt>
                <c:pt idx="35">
                  <c:v>4.7900008992337177</c:v>
                </c:pt>
                <c:pt idx="36">
                  <c:v>4.8080650773539189</c:v>
                </c:pt>
                <c:pt idx="37">
                  <c:v>4.8202220248942647</c:v>
                </c:pt>
                <c:pt idx="38">
                  <c:v>4.8386315967683169</c:v>
                </c:pt>
                <c:pt idx="39">
                  <c:v>4.8510224790201484</c:v>
                </c:pt>
                <c:pt idx="40">
                  <c:v>4.8697885935002176</c:v>
                </c:pt>
                <c:pt idx="41">
                  <c:v>5.0116567584306724</c:v>
                </c:pt>
                <c:pt idx="42">
                  <c:v>5.1428144230381863</c:v>
                </c:pt>
                <c:pt idx="43">
                  <c:v>5.2656452096499198</c:v>
                </c:pt>
                <c:pt idx="44">
                  <c:v>5.3806650714905251</c:v>
                </c:pt>
                <c:pt idx="45">
                  <c:v>5.4854930725263147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74096"/>
        <c:axId val="-629173552"/>
      </c:scatterChart>
      <c:valAx>
        <c:axId val="-6291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altitude of the membrane</a:t>
                </a:r>
                <a:r>
                  <a:rPr lang="fr-FR" baseline="0"/>
                  <a:t> in microns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73552"/>
        <c:crosses val="autoZero"/>
        <c:crossBetween val="midCat"/>
      </c:valAx>
      <c:valAx>
        <c:axId val="-62917355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resonance frequency in Ghz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7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capacitance in function of area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(Sheet1!$F$29:$BA$29,Sheet1!$AS$29:$BA$29)</c:f>
              <c:numCache>
                <c:formatCode>General</c:formatCode>
                <c:ptCount val="57"/>
                <c:pt idx="0">
                  <c:v>28900</c:v>
                </c:pt>
                <c:pt idx="1">
                  <c:v>25600</c:v>
                </c:pt>
                <c:pt idx="2">
                  <c:v>22500</c:v>
                </c:pt>
                <c:pt idx="3">
                  <c:v>19600</c:v>
                </c:pt>
                <c:pt idx="4">
                  <c:v>16900</c:v>
                </c:pt>
                <c:pt idx="5">
                  <c:v>14400</c:v>
                </c:pt>
                <c:pt idx="6">
                  <c:v>12100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8100</c:v>
                </c:pt>
                <c:pt idx="31">
                  <c:v>6400</c:v>
                </c:pt>
                <c:pt idx="32">
                  <c:v>4900</c:v>
                </c:pt>
                <c:pt idx="33">
                  <c:v>3600</c:v>
                </c:pt>
                <c:pt idx="34">
                  <c:v>2500</c:v>
                </c:pt>
                <c:pt idx="35">
                  <c:v>10000</c:v>
                </c:pt>
                <c:pt idx="36">
                  <c:v>7225</c:v>
                </c:pt>
                <c:pt idx="37">
                  <c:v>1806.25</c:v>
                </c:pt>
                <c:pt idx="38">
                  <c:v>451.5625</c:v>
                </c:pt>
                <c:pt idx="39">
                  <c:v>32400</c:v>
                </c:pt>
                <c:pt idx="40">
                  <c:v>36100</c:v>
                </c:pt>
                <c:pt idx="41">
                  <c:v>40000</c:v>
                </c:pt>
                <c:pt idx="42">
                  <c:v>44100</c:v>
                </c:pt>
                <c:pt idx="43">
                  <c:v>48400</c:v>
                </c:pt>
                <c:pt idx="44">
                  <c:v>52900</c:v>
                </c:pt>
                <c:pt idx="45">
                  <c:v>57600</c:v>
                </c:pt>
                <c:pt idx="46">
                  <c:v>62500</c:v>
                </c:pt>
                <c:pt idx="47">
                  <c:v>67600</c:v>
                </c:pt>
                <c:pt idx="48">
                  <c:v>32400</c:v>
                </c:pt>
                <c:pt idx="49">
                  <c:v>36100</c:v>
                </c:pt>
                <c:pt idx="50">
                  <c:v>40000</c:v>
                </c:pt>
                <c:pt idx="51">
                  <c:v>44100</c:v>
                </c:pt>
                <c:pt idx="52">
                  <c:v>48400</c:v>
                </c:pt>
                <c:pt idx="53">
                  <c:v>52900</c:v>
                </c:pt>
                <c:pt idx="54">
                  <c:v>57600</c:v>
                </c:pt>
                <c:pt idx="55">
                  <c:v>62500</c:v>
                </c:pt>
                <c:pt idx="56">
                  <c:v>67600</c:v>
                </c:pt>
              </c:numCache>
            </c:numRef>
          </c:xVal>
          <c:yVal>
            <c:numRef>
              <c:f>(Sheet1!$F$21:$BA$21,Sheet1!$AS$21:$BA$21)</c:f>
              <c:numCache>
                <c:formatCode>General</c:formatCode>
                <c:ptCount val="57"/>
                <c:pt idx="0">
                  <c:v>26.3</c:v>
                </c:pt>
                <c:pt idx="1">
                  <c:v>23.2</c:v>
                </c:pt>
                <c:pt idx="2">
                  <c:v>21.2</c:v>
                </c:pt>
                <c:pt idx="3">
                  <c:v>19.399999999999999</c:v>
                </c:pt>
                <c:pt idx="4">
                  <c:v>17.8</c:v>
                </c:pt>
                <c:pt idx="5">
                  <c:v>16.2</c:v>
                </c:pt>
                <c:pt idx="6">
                  <c:v>14.8</c:v>
                </c:pt>
                <c:pt idx="7">
                  <c:v>13.3</c:v>
                </c:pt>
                <c:pt idx="8">
                  <c:v>13.3</c:v>
                </c:pt>
                <c:pt idx="9">
                  <c:v>13.3</c:v>
                </c:pt>
                <c:pt idx="10">
                  <c:v>13.4</c:v>
                </c:pt>
                <c:pt idx="11">
                  <c:v>13.5</c:v>
                </c:pt>
                <c:pt idx="12">
                  <c:v>13.4</c:v>
                </c:pt>
                <c:pt idx="13">
                  <c:v>13.7</c:v>
                </c:pt>
                <c:pt idx="14">
                  <c:v>13.7</c:v>
                </c:pt>
                <c:pt idx="15">
                  <c:v>13.9</c:v>
                </c:pt>
                <c:pt idx="16">
                  <c:v>14.1</c:v>
                </c:pt>
                <c:pt idx="17">
                  <c:v>14.2</c:v>
                </c:pt>
                <c:pt idx="18">
                  <c:v>14.4</c:v>
                </c:pt>
                <c:pt idx="19">
                  <c:v>14.4</c:v>
                </c:pt>
                <c:pt idx="20">
                  <c:v>14.6</c:v>
                </c:pt>
                <c:pt idx="21">
                  <c:v>14.8</c:v>
                </c:pt>
                <c:pt idx="22">
                  <c:v>14.9</c:v>
                </c:pt>
                <c:pt idx="23">
                  <c:v>14.8</c:v>
                </c:pt>
                <c:pt idx="24">
                  <c:v>12.7</c:v>
                </c:pt>
                <c:pt idx="25">
                  <c:v>11</c:v>
                </c:pt>
                <c:pt idx="26">
                  <c:v>9.6999999999999993</c:v>
                </c:pt>
                <c:pt idx="27">
                  <c:v>14.2</c:v>
                </c:pt>
                <c:pt idx="28">
                  <c:v>13.4</c:v>
                </c:pt>
                <c:pt idx="29">
                  <c:v>12.8</c:v>
                </c:pt>
                <c:pt idx="30">
                  <c:v>13.1</c:v>
                </c:pt>
                <c:pt idx="31">
                  <c:v>11.6</c:v>
                </c:pt>
                <c:pt idx="32">
                  <c:v>9.9</c:v>
                </c:pt>
                <c:pt idx="33">
                  <c:v>8.1999999999999993</c:v>
                </c:pt>
                <c:pt idx="34">
                  <c:v>6.6</c:v>
                </c:pt>
                <c:pt idx="35">
                  <c:v>12.4</c:v>
                </c:pt>
                <c:pt idx="36">
                  <c:v>12.5</c:v>
                </c:pt>
                <c:pt idx="37">
                  <c:v>7.1</c:v>
                </c:pt>
                <c:pt idx="38">
                  <c:v>4.4000000000000004</c:v>
                </c:pt>
                <c:pt idx="39">
                  <c:v>25.6</c:v>
                </c:pt>
                <c:pt idx="40">
                  <c:v>28.8</c:v>
                </c:pt>
                <c:pt idx="41">
                  <c:v>31</c:v>
                </c:pt>
                <c:pt idx="42">
                  <c:v>31.5</c:v>
                </c:pt>
                <c:pt idx="43">
                  <c:v>31.6</c:v>
                </c:pt>
                <c:pt idx="44">
                  <c:v>35.6</c:v>
                </c:pt>
                <c:pt idx="45">
                  <c:v>37.4</c:v>
                </c:pt>
                <c:pt idx="46">
                  <c:v>39.9</c:v>
                </c:pt>
                <c:pt idx="47">
                  <c:v>40.6</c:v>
                </c:pt>
                <c:pt idx="48">
                  <c:v>25.6</c:v>
                </c:pt>
                <c:pt idx="49">
                  <c:v>28.8</c:v>
                </c:pt>
                <c:pt idx="50">
                  <c:v>31</c:v>
                </c:pt>
                <c:pt idx="51">
                  <c:v>31.5</c:v>
                </c:pt>
                <c:pt idx="52">
                  <c:v>31.6</c:v>
                </c:pt>
                <c:pt idx="53">
                  <c:v>35.6</c:v>
                </c:pt>
                <c:pt idx="54">
                  <c:v>37.4</c:v>
                </c:pt>
                <c:pt idx="55">
                  <c:v>39.9</c:v>
                </c:pt>
                <c:pt idx="56">
                  <c:v>40.6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71920"/>
        <c:axId val="-629188240"/>
      </c:scatterChart>
      <c:valAx>
        <c:axId val="-6291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88240"/>
        <c:crosses val="autoZero"/>
        <c:crossBetween val="midCat"/>
      </c:valAx>
      <c:valAx>
        <c:axId val="-6291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7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parasitic capacitance (fF) N constant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Sheet1!$F$31:$M$31</c:f>
              <c:numCache>
                <c:formatCode>General</c:formatCode>
                <c:ptCount val="8"/>
                <c:pt idx="0">
                  <c:v>11320</c:v>
                </c:pt>
                <c:pt idx="1">
                  <c:v>10360</c:v>
                </c:pt>
                <c:pt idx="2">
                  <c:v>9400</c:v>
                </c:pt>
                <c:pt idx="3">
                  <c:v>8440</c:v>
                </c:pt>
                <c:pt idx="4">
                  <c:v>7480</c:v>
                </c:pt>
                <c:pt idx="5">
                  <c:v>6520</c:v>
                </c:pt>
                <c:pt idx="6">
                  <c:v>5560</c:v>
                </c:pt>
                <c:pt idx="7">
                  <c:v>4600</c:v>
                </c:pt>
              </c:numCache>
            </c:numRef>
          </c:xVal>
          <c:yVal>
            <c:numRef>
              <c:f>Sheet1!$F$21:$M$21</c:f>
              <c:numCache>
                <c:formatCode>General</c:formatCode>
                <c:ptCount val="8"/>
                <c:pt idx="0">
                  <c:v>26.3</c:v>
                </c:pt>
                <c:pt idx="1">
                  <c:v>23.2</c:v>
                </c:pt>
                <c:pt idx="2">
                  <c:v>21.2</c:v>
                </c:pt>
                <c:pt idx="3">
                  <c:v>19.399999999999999</c:v>
                </c:pt>
                <c:pt idx="4">
                  <c:v>17.8</c:v>
                </c:pt>
                <c:pt idx="5">
                  <c:v>16.2</c:v>
                </c:pt>
                <c:pt idx="6">
                  <c:v>14.8</c:v>
                </c:pt>
                <c:pt idx="7">
                  <c:v>13.3</c:v>
                </c:pt>
              </c:numCache>
            </c:numRef>
          </c:yVal>
          <c:smooth val="0"/>
        </c:ser>
        <c:ser>
          <c:idx val="0"/>
          <c:order val="1"/>
          <c:tx>
            <c:v>parasitic capacitance Do constant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Sheet1!$M$31:$AC$31</c:f>
              <c:numCache>
                <c:formatCode>General</c:formatCode>
                <c:ptCount val="17"/>
                <c:pt idx="0">
                  <c:v>4600</c:v>
                </c:pt>
                <c:pt idx="1">
                  <c:v>4592</c:v>
                </c:pt>
                <c:pt idx="2">
                  <c:v>4568</c:v>
                </c:pt>
                <c:pt idx="3">
                  <c:v>4528</c:v>
                </c:pt>
                <c:pt idx="4">
                  <c:v>4472</c:v>
                </c:pt>
                <c:pt idx="5">
                  <c:v>4400</c:v>
                </c:pt>
                <c:pt idx="6">
                  <c:v>4312</c:v>
                </c:pt>
                <c:pt idx="7">
                  <c:v>4208</c:v>
                </c:pt>
                <c:pt idx="8">
                  <c:v>4088</c:v>
                </c:pt>
                <c:pt idx="9">
                  <c:v>3952</c:v>
                </c:pt>
                <c:pt idx="10">
                  <c:v>3800</c:v>
                </c:pt>
                <c:pt idx="11">
                  <c:v>3632</c:v>
                </c:pt>
                <c:pt idx="12">
                  <c:v>3448</c:v>
                </c:pt>
                <c:pt idx="13">
                  <c:v>3248</c:v>
                </c:pt>
                <c:pt idx="14">
                  <c:v>3032</c:v>
                </c:pt>
                <c:pt idx="15">
                  <c:v>2800</c:v>
                </c:pt>
                <c:pt idx="16">
                  <c:v>2552</c:v>
                </c:pt>
              </c:numCache>
            </c:numRef>
          </c:xVal>
          <c:yVal>
            <c:numRef>
              <c:f>Sheet1!$M$21:$AC$21</c:f>
              <c:numCache>
                <c:formatCode>General</c:formatCode>
                <c:ptCount val="17"/>
                <c:pt idx="0">
                  <c:v>13.3</c:v>
                </c:pt>
                <c:pt idx="1">
                  <c:v>13.3</c:v>
                </c:pt>
                <c:pt idx="2">
                  <c:v>13.3</c:v>
                </c:pt>
                <c:pt idx="3">
                  <c:v>13.4</c:v>
                </c:pt>
                <c:pt idx="4">
                  <c:v>13.5</c:v>
                </c:pt>
                <c:pt idx="5">
                  <c:v>13.4</c:v>
                </c:pt>
                <c:pt idx="6">
                  <c:v>13.7</c:v>
                </c:pt>
                <c:pt idx="7">
                  <c:v>13.7</c:v>
                </c:pt>
                <c:pt idx="8">
                  <c:v>13.9</c:v>
                </c:pt>
                <c:pt idx="9">
                  <c:v>14.1</c:v>
                </c:pt>
                <c:pt idx="10">
                  <c:v>14.2</c:v>
                </c:pt>
                <c:pt idx="11">
                  <c:v>14.4</c:v>
                </c:pt>
                <c:pt idx="12">
                  <c:v>14.4</c:v>
                </c:pt>
                <c:pt idx="13">
                  <c:v>14.6</c:v>
                </c:pt>
                <c:pt idx="14">
                  <c:v>14.8</c:v>
                </c:pt>
                <c:pt idx="15">
                  <c:v>14.9</c:v>
                </c:pt>
                <c:pt idx="16">
                  <c:v>14.8</c:v>
                </c:pt>
              </c:numCache>
            </c:numRef>
          </c:yVal>
          <c:smooth val="0"/>
        </c:ser>
        <c:ser>
          <c:idx val="2"/>
          <c:order val="2"/>
          <c:tx>
            <c:v>parasitic capacitance s=2 w=1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(Sheet1!$BF$31:$BO$31,Sheet1!$CB$31:$CU$31)</c:f>
              <c:numCache>
                <c:formatCode>General</c:formatCode>
                <c:ptCount val="30"/>
                <c:pt idx="0">
                  <c:v>17360</c:v>
                </c:pt>
                <c:pt idx="1">
                  <c:v>16400</c:v>
                </c:pt>
                <c:pt idx="2">
                  <c:v>15440</c:v>
                </c:pt>
                <c:pt idx="3">
                  <c:v>14480</c:v>
                </c:pt>
                <c:pt idx="4">
                  <c:v>13520</c:v>
                </c:pt>
                <c:pt idx="5">
                  <c:v>12560</c:v>
                </c:pt>
                <c:pt idx="6">
                  <c:v>11600</c:v>
                </c:pt>
                <c:pt idx="7">
                  <c:v>10640</c:v>
                </c:pt>
                <c:pt idx="8">
                  <c:v>9680</c:v>
                </c:pt>
                <c:pt idx="9">
                  <c:v>8720</c:v>
                </c:pt>
                <c:pt idx="10">
                  <c:v>7760</c:v>
                </c:pt>
                <c:pt idx="11">
                  <c:v>6800</c:v>
                </c:pt>
                <c:pt idx="12">
                  <c:v>6792</c:v>
                </c:pt>
                <c:pt idx="13">
                  <c:v>6760</c:v>
                </c:pt>
                <c:pt idx="14">
                  <c:v>6704</c:v>
                </c:pt>
                <c:pt idx="15">
                  <c:v>6624</c:v>
                </c:pt>
                <c:pt idx="16">
                  <c:v>6520</c:v>
                </c:pt>
                <c:pt idx="17">
                  <c:v>6392</c:v>
                </c:pt>
                <c:pt idx="18">
                  <c:v>6240</c:v>
                </c:pt>
                <c:pt idx="19">
                  <c:v>6064</c:v>
                </c:pt>
                <c:pt idx="20">
                  <c:v>5864</c:v>
                </c:pt>
                <c:pt idx="21">
                  <c:v>5640</c:v>
                </c:pt>
                <c:pt idx="22">
                  <c:v>5392</c:v>
                </c:pt>
                <c:pt idx="23">
                  <c:v>4872</c:v>
                </c:pt>
                <c:pt idx="24">
                  <c:v>4352</c:v>
                </c:pt>
                <c:pt idx="25">
                  <c:v>3832</c:v>
                </c:pt>
                <c:pt idx="26">
                  <c:v>3312</c:v>
                </c:pt>
                <c:pt idx="27">
                  <c:v>2792</c:v>
                </c:pt>
                <c:pt idx="28">
                  <c:v>2272</c:v>
                </c:pt>
                <c:pt idx="29">
                  <c:v>2240</c:v>
                </c:pt>
              </c:numCache>
            </c:numRef>
          </c:xVal>
          <c:yVal>
            <c:numRef>
              <c:f>(Sheet1!$BF$21:$BO$21,Sheet1!$CB$21:$CU$21)</c:f>
              <c:numCache>
                <c:formatCode>General</c:formatCode>
                <c:ptCount val="30"/>
                <c:pt idx="0">
                  <c:v>35.5</c:v>
                </c:pt>
                <c:pt idx="1">
                  <c:v>35</c:v>
                </c:pt>
                <c:pt idx="2">
                  <c:v>32.1</c:v>
                </c:pt>
                <c:pt idx="3">
                  <c:v>30</c:v>
                </c:pt>
                <c:pt idx="4">
                  <c:v>28.5</c:v>
                </c:pt>
                <c:pt idx="5">
                  <c:v>27.6</c:v>
                </c:pt>
                <c:pt idx="6">
                  <c:v>25.6</c:v>
                </c:pt>
                <c:pt idx="7">
                  <c:v>24.4</c:v>
                </c:pt>
                <c:pt idx="8">
                  <c:v>22.6</c:v>
                </c:pt>
                <c:pt idx="9">
                  <c:v>21.7</c:v>
                </c:pt>
                <c:pt idx="10">
                  <c:v>19.8</c:v>
                </c:pt>
                <c:pt idx="11">
                  <c:v>18.899999999999999</c:v>
                </c:pt>
                <c:pt idx="12">
                  <c:v>19</c:v>
                </c:pt>
                <c:pt idx="13">
                  <c:v>19</c:v>
                </c:pt>
                <c:pt idx="14">
                  <c:v>19.100000000000001</c:v>
                </c:pt>
                <c:pt idx="15">
                  <c:v>19.3</c:v>
                </c:pt>
                <c:pt idx="16">
                  <c:v>19</c:v>
                </c:pt>
                <c:pt idx="17">
                  <c:v>19.399999999999999</c:v>
                </c:pt>
                <c:pt idx="18">
                  <c:v>19.899999999999999</c:v>
                </c:pt>
                <c:pt idx="19">
                  <c:v>19.899999999999999</c:v>
                </c:pt>
                <c:pt idx="20">
                  <c:v>20</c:v>
                </c:pt>
                <c:pt idx="21">
                  <c:v>20.399999999999999</c:v>
                </c:pt>
                <c:pt idx="22">
                  <c:v>20.2</c:v>
                </c:pt>
                <c:pt idx="23">
                  <c:v>18.7</c:v>
                </c:pt>
                <c:pt idx="24">
                  <c:v>17.5</c:v>
                </c:pt>
                <c:pt idx="25">
                  <c:v>15.8</c:v>
                </c:pt>
                <c:pt idx="26">
                  <c:v>14</c:v>
                </c:pt>
                <c:pt idx="27">
                  <c:v>12.7</c:v>
                </c:pt>
                <c:pt idx="28">
                  <c:v>11.1</c:v>
                </c:pt>
                <c:pt idx="29">
                  <c:v>11.2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1913120"/>
        <c:axId val="-631915840"/>
      </c:scatterChart>
      <c:valAx>
        <c:axId val="-6319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15840"/>
        <c:crosses val="autoZero"/>
        <c:crossBetween val="midCat"/>
      </c:valAx>
      <c:valAx>
        <c:axId val="-6319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(L/C) at N constant (blue)</a:t>
            </a:r>
            <a:r>
              <a:rPr lang="en-US" baseline="0"/>
              <a:t> and at Do constant (orange)</a:t>
            </a:r>
            <a:r>
              <a:rPr lang="en-US"/>
              <a:t> in function of rho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(L/C)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12554680664917E-3"/>
                  <c:y val="0.27014144065325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(Sheet1!$F$34:$M$34,Sheet1!$AS$34:$AX$34)</c:f>
              <c:numCache>
                <c:formatCode>General</c:formatCode>
                <c:ptCount val="14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0.37404580152671757</c:v>
                </c:pt>
                <c:pt idx="9">
                  <c:v>0.3475177304964539</c:v>
                </c:pt>
                <c:pt idx="10">
                  <c:v>0.32450331125827814</c:v>
                </c:pt>
                <c:pt idx="11">
                  <c:v>0.30434782608695654</c:v>
                </c:pt>
                <c:pt idx="12">
                  <c:v>0.28654970760233917</c:v>
                </c:pt>
                <c:pt idx="13">
                  <c:v>0.27071823204419887</c:v>
                </c:pt>
              </c:numCache>
            </c:numRef>
          </c:xVal>
          <c:yVal>
            <c:numRef>
              <c:f>(Sheet1!$F$32:$M$32,Sheet1!$AS$32:$AX$32)</c:f>
              <c:numCache>
                <c:formatCode>General</c:formatCode>
                <c:ptCount val="14"/>
                <c:pt idx="0">
                  <c:v>3.5703422053231941</c:v>
                </c:pt>
                <c:pt idx="1">
                  <c:v>3.6293103448275863</c:v>
                </c:pt>
                <c:pt idx="2">
                  <c:v>3.5188679245283017</c:v>
                </c:pt>
                <c:pt idx="3">
                  <c:v>3.329896907216495</c:v>
                </c:pt>
                <c:pt idx="4">
                  <c:v>3.0730337078651684</c:v>
                </c:pt>
                <c:pt idx="5">
                  <c:v>2.783950617283951</c:v>
                </c:pt>
                <c:pt idx="6">
                  <c:v>2.4324324324324325</c:v>
                </c:pt>
                <c:pt idx="7">
                  <c:v>2.0827067669172932</c:v>
                </c:pt>
                <c:pt idx="8">
                  <c:v>4.3007812499999991</c:v>
                </c:pt>
                <c:pt idx="9">
                  <c:v>4.1944444444444446</c:v>
                </c:pt>
                <c:pt idx="10">
                  <c:v>4.2193548387096778</c:v>
                </c:pt>
                <c:pt idx="11">
                  <c:v>4.431746031746032</c:v>
                </c:pt>
                <c:pt idx="12">
                  <c:v>4.8006329113924044</c:v>
                </c:pt>
                <c:pt idx="13">
                  <c:v>4.5224719101123592</c:v>
                </c:pt>
              </c:numCache>
            </c:numRef>
          </c:yVal>
          <c:smooth val="0"/>
        </c:ser>
        <c:ser>
          <c:idx val="1"/>
          <c:order val="1"/>
          <c:tx>
            <c:v>L/C at Do constant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Sheet1!$M$33:$AC$33</c:f>
              <c:numCache>
                <c:formatCode>General</c:formatCode>
                <c:ptCount val="17"/>
                <c:pt idx="0">
                  <c:v>0.96078431372549022</c:v>
                </c:pt>
                <c:pt idx="1">
                  <c:v>0.8867924528301887</c:v>
                </c:pt>
                <c:pt idx="2">
                  <c:v>0.81818181818181823</c:v>
                </c:pt>
                <c:pt idx="3">
                  <c:v>0.75438596491228072</c:v>
                </c:pt>
                <c:pt idx="4">
                  <c:v>0.69491525423728817</c:v>
                </c:pt>
                <c:pt idx="5">
                  <c:v>0.63934426229508201</c:v>
                </c:pt>
                <c:pt idx="6">
                  <c:v>0.58730158730158732</c:v>
                </c:pt>
                <c:pt idx="7">
                  <c:v>0.53846153846153844</c:v>
                </c:pt>
                <c:pt idx="8">
                  <c:v>0.4925373134328358</c:v>
                </c:pt>
                <c:pt idx="9">
                  <c:v>0.44927536231884058</c:v>
                </c:pt>
                <c:pt idx="10">
                  <c:v>0.40845070422535212</c:v>
                </c:pt>
                <c:pt idx="11">
                  <c:v>0.36986301369863012</c:v>
                </c:pt>
                <c:pt idx="12">
                  <c:v>0.33333333333333331</c:v>
                </c:pt>
                <c:pt idx="13">
                  <c:v>0.29870129870129869</c:v>
                </c:pt>
                <c:pt idx="14">
                  <c:v>0.26582278481012656</c:v>
                </c:pt>
                <c:pt idx="15">
                  <c:v>0.23456790123456789</c:v>
                </c:pt>
                <c:pt idx="16">
                  <c:v>0.20481927710843373</c:v>
                </c:pt>
              </c:numCache>
            </c:numRef>
          </c:xVal>
          <c:yVal>
            <c:numRef>
              <c:f>Sheet1!$M$32:$AC$32</c:f>
              <c:numCache>
                <c:formatCode>General</c:formatCode>
                <c:ptCount val="17"/>
                <c:pt idx="0">
                  <c:v>2.0827067669172932</c:v>
                </c:pt>
                <c:pt idx="1">
                  <c:v>2.0827067669172932</c:v>
                </c:pt>
                <c:pt idx="2">
                  <c:v>2.0751879699248121</c:v>
                </c:pt>
                <c:pt idx="3">
                  <c:v>2.0522388059701493</c:v>
                </c:pt>
                <c:pt idx="4">
                  <c:v>2.0148148148148146</c:v>
                </c:pt>
                <c:pt idx="5">
                  <c:v>2</c:v>
                </c:pt>
                <c:pt idx="6">
                  <c:v>1.9124087591240877</c:v>
                </c:pt>
                <c:pt idx="7">
                  <c:v>1.8613138686131387</c:v>
                </c:pt>
                <c:pt idx="8">
                  <c:v>1.7769784172661869</c:v>
                </c:pt>
                <c:pt idx="9">
                  <c:v>1.6808510638297873</c:v>
                </c:pt>
                <c:pt idx="10">
                  <c:v>1.591549295774648</c:v>
                </c:pt>
                <c:pt idx="11">
                  <c:v>1.4791666666666667</c:v>
                </c:pt>
                <c:pt idx="12">
                  <c:v>1.3819444444444444</c:v>
                </c:pt>
                <c:pt idx="13">
                  <c:v>1.2602739726027397</c:v>
                </c:pt>
                <c:pt idx="14">
                  <c:v>1.1351351351351351</c:v>
                </c:pt>
                <c:pt idx="15">
                  <c:v>1.0134228187919463</c:v>
                </c:pt>
                <c:pt idx="16">
                  <c:v>0.90540540540540537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1921280"/>
        <c:axId val="-631920736"/>
      </c:scatterChart>
      <c:valAx>
        <c:axId val="-6319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20736"/>
        <c:crosses val="autoZero"/>
        <c:crossBetween val="midCat"/>
      </c:valAx>
      <c:valAx>
        <c:axId val="-6319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inductance (nH) </a:t>
            </a:r>
          </a:p>
          <a:p>
            <a:pPr>
              <a:defRPr/>
            </a:pPr>
            <a:r>
              <a:rPr lang="en-US"/>
              <a:t>in function of the perimeter</a:t>
            </a:r>
          </a:p>
        </c:rich>
      </c:tx>
      <c:layout>
        <c:manualLayout>
          <c:xMode val="edge"/>
          <c:yMode val="edge"/>
          <c:x val="0.274562335958005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Inductance simulée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482283464566935E-2"/>
                  <c:y val="1.4572397200349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(Sheet1!$F$31:$AC$31,Sheet1!$AJ$31:$AN$31,Sheet1!$AS$31:$BA$31)</c:f>
              <c:numCache>
                <c:formatCode>General</c:formatCode>
                <c:ptCount val="38"/>
                <c:pt idx="0">
                  <c:v>11320</c:v>
                </c:pt>
                <c:pt idx="1">
                  <c:v>10360</c:v>
                </c:pt>
                <c:pt idx="2">
                  <c:v>9400</c:v>
                </c:pt>
                <c:pt idx="3">
                  <c:v>8440</c:v>
                </c:pt>
                <c:pt idx="4">
                  <c:v>7480</c:v>
                </c:pt>
                <c:pt idx="5">
                  <c:v>6520</c:v>
                </c:pt>
                <c:pt idx="6">
                  <c:v>5560</c:v>
                </c:pt>
                <c:pt idx="7">
                  <c:v>4600</c:v>
                </c:pt>
                <c:pt idx="8">
                  <c:v>4592</c:v>
                </c:pt>
                <c:pt idx="9">
                  <c:v>4568</c:v>
                </c:pt>
                <c:pt idx="10">
                  <c:v>4528</c:v>
                </c:pt>
                <c:pt idx="11">
                  <c:v>4472</c:v>
                </c:pt>
                <c:pt idx="12">
                  <c:v>4400</c:v>
                </c:pt>
                <c:pt idx="13">
                  <c:v>4312</c:v>
                </c:pt>
                <c:pt idx="14">
                  <c:v>4208</c:v>
                </c:pt>
                <c:pt idx="15">
                  <c:v>4088</c:v>
                </c:pt>
                <c:pt idx="16">
                  <c:v>3952</c:v>
                </c:pt>
                <c:pt idx="17">
                  <c:v>3800</c:v>
                </c:pt>
                <c:pt idx="18">
                  <c:v>3632</c:v>
                </c:pt>
                <c:pt idx="19">
                  <c:v>3448</c:v>
                </c:pt>
                <c:pt idx="20">
                  <c:v>3248</c:v>
                </c:pt>
                <c:pt idx="21">
                  <c:v>3032</c:v>
                </c:pt>
                <c:pt idx="22">
                  <c:v>2800</c:v>
                </c:pt>
                <c:pt idx="23">
                  <c:v>2552</c:v>
                </c:pt>
                <c:pt idx="24">
                  <c:v>2232</c:v>
                </c:pt>
                <c:pt idx="25">
                  <c:v>1912</c:v>
                </c:pt>
                <c:pt idx="26">
                  <c:v>1592</c:v>
                </c:pt>
                <c:pt idx="27">
                  <c:v>1272</c:v>
                </c:pt>
                <c:pt idx="28">
                  <c:v>952</c:v>
                </c:pt>
                <c:pt idx="29">
                  <c:v>12280</c:v>
                </c:pt>
                <c:pt idx="30">
                  <c:v>13240</c:v>
                </c:pt>
                <c:pt idx="31">
                  <c:v>14200</c:v>
                </c:pt>
                <c:pt idx="32">
                  <c:v>15160</c:v>
                </c:pt>
                <c:pt idx="33">
                  <c:v>16120</c:v>
                </c:pt>
                <c:pt idx="34">
                  <c:v>17080</c:v>
                </c:pt>
                <c:pt idx="35">
                  <c:v>18040</c:v>
                </c:pt>
                <c:pt idx="36">
                  <c:v>19000</c:v>
                </c:pt>
                <c:pt idx="37">
                  <c:v>19960</c:v>
                </c:pt>
              </c:numCache>
            </c:numRef>
          </c:xVal>
          <c:yVal>
            <c:numRef>
              <c:f>(Sheet1!$F$20:$AC$20,Sheet1!$AJ$20:$AN$20,Sheet1!$AS$20:$BA$20)</c:f>
              <c:numCache>
                <c:formatCode>General</c:formatCode>
                <c:ptCount val="38"/>
                <c:pt idx="0">
                  <c:v>93.9</c:v>
                </c:pt>
                <c:pt idx="1">
                  <c:v>84.2</c:v>
                </c:pt>
                <c:pt idx="2">
                  <c:v>74.599999999999994</c:v>
                </c:pt>
                <c:pt idx="3">
                  <c:v>64.599999999999994</c:v>
                </c:pt>
                <c:pt idx="4">
                  <c:v>54.7</c:v>
                </c:pt>
                <c:pt idx="5">
                  <c:v>45.1</c:v>
                </c:pt>
                <c:pt idx="6">
                  <c:v>36</c:v>
                </c:pt>
                <c:pt idx="7">
                  <c:v>27.7</c:v>
                </c:pt>
                <c:pt idx="8">
                  <c:v>27.7</c:v>
                </c:pt>
                <c:pt idx="9">
                  <c:v>27.6</c:v>
                </c:pt>
                <c:pt idx="10">
                  <c:v>27.5</c:v>
                </c:pt>
                <c:pt idx="11">
                  <c:v>27.2</c:v>
                </c:pt>
                <c:pt idx="12">
                  <c:v>26.8</c:v>
                </c:pt>
                <c:pt idx="13">
                  <c:v>26.2</c:v>
                </c:pt>
                <c:pt idx="14">
                  <c:v>25.5</c:v>
                </c:pt>
                <c:pt idx="15">
                  <c:v>24.7</c:v>
                </c:pt>
                <c:pt idx="16">
                  <c:v>23.7</c:v>
                </c:pt>
                <c:pt idx="17">
                  <c:v>22.6</c:v>
                </c:pt>
                <c:pt idx="18">
                  <c:v>21.3</c:v>
                </c:pt>
                <c:pt idx="19">
                  <c:v>19.899999999999999</c:v>
                </c:pt>
                <c:pt idx="20">
                  <c:v>18.399999999999999</c:v>
                </c:pt>
                <c:pt idx="21">
                  <c:v>16.8</c:v>
                </c:pt>
                <c:pt idx="22">
                  <c:v>15.1</c:v>
                </c:pt>
                <c:pt idx="23">
                  <c:v>13.4</c:v>
                </c:pt>
                <c:pt idx="24">
                  <c:v>11.5</c:v>
                </c:pt>
                <c:pt idx="25">
                  <c:v>9.5</c:v>
                </c:pt>
                <c:pt idx="26">
                  <c:v>7.6</c:v>
                </c:pt>
                <c:pt idx="27">
                  <c:v>5.8</c:v>
                </c:pt>
                <c:pt idx="28">
                  <c:v>4.2</c:v>
                </c:pt>
                <c:pt idx="29">
                  <c:v>110.1</c:v>
                </c:pt>
                <c:pt idx="30">
                  <c:v>120.8</c:v>
                </c:pt>
                <c:pt idx="31">
                  <c:v>130.80000000000001</c:v>
                </c:pt>
                <c:pt idx="32">
                  <c:v>139.6</c:v>
                </c:pt>
                <c:pt idx="33">
                  <c:v>151.69999999999999</c:v>
                </c:pt>
                <c:pt idx="34">
                  <c:v>161</c:v>
                </c:pt>
                <c:pt idx="35">
                  <c:v>169.4</c:v>
                </c:pt>
                <c:pt idx="36">
                  <c:v>175.8</c:v>
                </c:pt>
                <c:pt idx="37">
                  <c:v>192.4</c:v>
                </c:pt>
              </c:numCache>
            </c:numRef>
          </c:yVal>
          <c:smooth val="0"/>
        </c:ser>
        <c:ser>
          <c:idx val="1"/>
          <c:order val="1"/>
          <c:tx>
            <c:v>modèle d'inductance linéaire avec le périmètre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Sheet1!$F$31:$BA$31</c:f>
              <c:numCache>
                <c:formatCode>General</c:formatCode>
                <c:ptCount val="48"/>
                <c:pt idx="0">
                  <c:v>11320</c:v>
                </c:pt>
                <c:pt idx="1">
                  <c:v>10360</c:v>
                </c:pt>
                <c:pt idx="2">
                  <c:v>9400</c:v>
                </c:pt>
                <c:pt idx="3">
                  <c:v>8440</c:v>
                </c:pt>
                <c:pt idx="4">
                  <c:v>7480</c:v>
                </c:pt>
                <c:pt idx="5">
                  <c:v>6520</c:v>
                </c:pt>
                <c:pt idx="6">
                  <c:v>5560</c:v>
                </c:pt>
                <c:pt idx="7">
                  <c:v>4600</c:v>
                </c:pt>
                <c:pt idx="8">
                  <c:v>4592</c:v>
                </c:pt>
                <c:pt idx="9">
                  <c:v>4568</c:v>
                </c:pt>
                <c:pt idx="10">
                  <c:v>4528</c:v>
                </c:pt>
                <c:pt idx="11">
                  <c:v>4472</c:v>
                </c:pt>
                <c:pt idx="12">
                  <c:v>4400</c:v>
                </c:pt>
                <c:pt idx="13">
                  <c:v>4312</c:v>
                </c:pt>
                <c:pt idx="14">
                  <c:v>4208</c:v>
                </c:pt>
                <c:pt idx="15">
                  <c:v>4088</c:v>
                </c:pt>
                <c:pt idx="16">
                  <c:v>3952</c:v>
                </c:pt>
                <c:pt idx="17">
                  <c:v>3800</c:v>
                </c:pt>
                <c:pt idx="18">
                  <c:v>3632</c:v>
                </c:pt>
                <c:pt idx="19">
                  <c:v>3448</c:v>
                </c:pt>
                <c:pt idx="20">
                  <c:v>3248</c:v>
                </c:pt>
                <c:pt idx="21">
                  <c:v>3032</c:v>
                </c:pt>
                <c:pt idx="22">
                  <c:v>2800</c:v>
                </c:pt>
                <c:pt idx="23">
                  <c:v>2552</c:v>
                </c:pt>
                <c:pt idx="24">
                  <c:v>2192</c:v>
                </c:pt>
                <c:pt idx="25">
                  <c:v>1832</c:v>
                </c:pt>
                <c:pt idx="26">
                  <c:v>1472</c:v>
                </c:pt>
                <c:pt idx="27">
                  <c:v>2264</c:v>
                </c:pt>
                <c:pt idx="28">
                  <c:v>1976</c:v>
                </c:pt>
                <c:pt idx="29">
                  <c:v>1688</c:v>
                </c:pt>
                <c:pt idx="30">
                  <c:v>2232</c:v>
                </c:pt>
                <c:pt idx="31">
                  <c:v>1912</c:v>
                </c:pt>
                <c:pt idx="32">
                  <c:v>1592</c:v>
                </c:pt>
                <c:pt idx="33">
                  <c:v>1272</c:v>
                </c:pt>
                <c:pt idx="34">
                  <c:v>952</c:v>
                </c:pt>
                <c:pt idx="35">
                  <c:v>1544</c:v>
                </c:pt>
                <c:pt idx="36">
                  <c:v>5660</c:v>
                </c:pt>
                <c:pt idx="37">
                  <c:v>2830</c:v>
                </c:pt>
                <c:pt idx="38">
                  <c:v>1415</c:v>
                </c:pt>
                <c:pt idx="39">
                  <c:v>12280</c:v>
                </c:pt>
                <c:pt idx="40">
                  <c:v>13240</c:v>
                </c:pt>
                <c:pt idx="41">
                  <c:v>14200</c:v>
                </c:pt>
                <c:pt idx="42">
                  <c:v>15160</c:v>
                </c:pt>
                <c:pt idx="43">
                  <c:v>16120</c:v>
                </c:pt>
                <c:pt idx="44">
                  <c:v>17080</c:v>
                </c:pt>
                <c:pt idx="45">
                  <c:v>18040</c:v>
                </c:pt>
                <c:pt idx="46">
                  <c:v>19000</c:v>
                </c:pt>
                <c:pt idx="47">
                  <c:v>19960</c:v>
                </c:pt>
              </c:numCache>
            </c:numRef>
          </c:xVal>
          <c:yVal>
            <c:numRef>
              <c:f>Sheet1!$F$105:$BA$105</c:f>
              <c:numCache>
                <c:formatCode>General</c:formatCode>
                <c:ptCount val="48"/>
                <c:pt idx="0">
                  <c:v>99.345000000000027</c:v>
                </c:pt>
                <c:pt idx="1">
                  <c:v>89.841000000000008</c:v>
                </c:pt>
                <c:pt idx="2">
                  <c:v>80.337000000000003</c:v>
                </c:pt>
                <c:pt idx="3">
                  <c:v>70.832999999999998</c:v>
                </c:pt>
                <c:pt idx="4">
                  <c:v>61.329000000000008</c:v>
                </c:pt>
                <c:pt idx="5">
                  <c:v>51.825000000000017</c:v>
                </c:pt>
                <c:pt idx="6">
                  <c:v>42.321000000000005</c:v>
                </c:pt>
                <c:pt idx="7">
                  <c:v>32.817</c:v>
                </c:pt>
                <c:pt idx="8">
                  <c:v>32.737800000000007</c:v>
                </c:pt>
                <c:pt idx="9">
                  <c:v>32.500200000000007</c:v>
                </c:pt>
                <c:pt idx="10">
                  <c:v>32.104200000000006</c:v>
                </c:pt>
                <c:pt idx="11">
                  <c:v>31.549800000000005</c:v>
                </c:pt>
                <c:pt idx="12">
                  <c:v>30.837000000000003</c:v>
                </c:pt>
                <c:pt idx="13">
                  <c:v>29.965800000000002</c:v>
                </c:pt>
                <c:pt idx="14">
                  <c:v>28.936200000000014</c:v>
                </c:pt>
                <c:pt idx="15">
                  <c:v>27.748200000000004</c:v>
                </c:pt>
                <c:pt idx="16">
                  <c:v>26.401800000000001</c:v>
                </c:pt>
                <c:pt idx="17">
                  <c:v>24.896999999999998</c:v>
                </c:pt>
                <c:pt idx="18">
                  <c:v>23.233800000000002</c:v>
                </c:pt>
                <c:pt idx="19">
                  <c:v>21.412200000000006</c:v>
                </c:pt>
                <c:pt idx="20">
                  <c:v>19.432200000000002</c:v>
                </c:pt>
                <c:pt idx="21">
                  <c:v>17.293799999999997</c:v>
                </c:pt>
                <c:pt idx="22">
                  <c:v>14.996999999999998</c:v>
                </c:pt>
                <c:pt idx="23">
                  <c:v>12.5418</c:v>
                </c:pt>
                <c:pt idx="24">
                  <c:v>8.9778000000000002</c:v>
                </c:pt>
                <c:pt idx="25">
                  <c:v>5.4138000000000002</c:v>
                </c:pt>
                <c:pt idx="26">
                  <c:v>1.8497999999999966</c:v>
                </c:pt>
                <c:pt idx="27">
                  <c:v>9.6906000000000017</c:v>
                </c:pt>
                <c:pt idx="28">
                  <c:v>6.8393999999999995</c:v>
                </c:pt>
                <c:pt idx="29">
                  <c:v>3.9882000000000044</c:v>
                </c:pt>
                <c:pt idx="30">
                  <c:v>9.3737999999999975</c:v>
                </c:pt>
                <c:pt idx="31">
                  <c:v>6.2057999999999982</c:v>
                </c:pt>
                <c:pt idx="32">
                  <c:v>3.0378000000000007</c:v>
                </c:pt>
                <c:pt idx="33">
                  <c:v>-0.13019999999999676</c:v>
                </c:pt>
                <c:pt idx="34">
                  <c:v>-3.2981999999999996</c:v>
                </c:pt>
                <c:pt idx="35">
                  <c:v>2.5625999999999998</c:v>
                </c:pt>
                <c:pt idx="36">
                  <c:v>43.311000000000014</c:v>
                </c:pt>
                <c:pt idx="37">
                  <c:v>15.294000000000006</c:v>
                </c:pt>
                <c:pt idx="38">
                  <c:v>1.2855000000000025</c:v>
                </c:pt>
                <c:pt idx="39">
                  <c:v>108.849</c:v>
                </c:pt>
                <c:pt idx="40">
                  <c:v>118.35299999999999</c:v>
                </c:pt>
                <c:pt idx="41">
                  <c:v>127.85700000000001</c:v>
                </c:pt>
                <c:pt idx="42">
                  <c:v>137.36099999999999</c:v>
                </c:pt>
                <c:pt idx="43">
                  <c:v>146.86500000000001</c:v>
                </c:pt>
                <c:pt idx="44">
                  <c:v>156.369</c:v>
                </c:pt>
                <c:pt idx="45">
                  <c:v>165.87299999999999</c:v>
                </c:pt>
                <c:pt idx="46">
                  <c:v>175.37699999999998</c:v>
                </c:pt>
                <c:pt idx="47">
                  <c:v>184.881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1919104"/>
        <c:axId val="-631914208"/>
      </c:scatterChart>
      <c:valAx>
        <c:axId val="-6319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perimetre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14208"/>
        <c:crosses val="autoZero"/>
        <c:crossBetween val="midCat"/>
      </c:valAx>
      <c:valAx>
        <c:axId val="-6319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Inuctance (nH)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L*rho at</a:t>
            </a:r>
            <a:r>
              <a:rPr lang="en-US" baseline="0"/>
              <a:t> N constant (blue) and Do constant </a:t>
            </a:r>
          </a:p>
          <a:p>
            <a:pPr>
              <a:defRPr/>
            </a:pPr>
            <a:r>
              <a:rPr lang="en-US" baseline="0"/>
              <a:t>(orange) in function of rho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L*rho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379265091863518E-2"/>
                  <c:y val="3.0893846602508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(Sheet1!$F$33:$M$33,Sheet1!$AS$33:$BA$33)</c:f>
              <c:numCache>
                <c:formatCode>General</c:formatCode>
                <c:ptCount val="17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0.37404580152671757</c:v>
                </c:pt>
                <c:pt idx="9">
                  <c:v>0.3475177304964539</c:v>
                </c:pt>
                <c:pt idx="10">
                  <c:v>0.32450331125827814</c:v>
                </c:pt>
                <c:pt idx="11">
                  <c:v>0.30434782608695654</c:v>
                </c:pt>
                <c:pt idx="12">
                  <c:v>0.28654970760233917</c:v>
                </c:pt>
                <c:pt idx="13">
                  <c:v>0.27071823204419887</c:v>
                </c:pt>
                <c:pt idx="14">
                  <c:v>0.25654450261780104</c:v>
                </c:pt>
                <c:pt idx="15">
                  <c:v>0.24378109452736318</c:v>
                </c:pt>
                <c:pt idx="16">
                  <c:v>0.23222748815165878</c:v>
                </c:pt>
              </c:numCache>
            </c:numRef>
          </c:xVal>
          <c:yVal>
            <c:numRef>
              <c:f>(Sheet1!$F$55:$M$55,Sheet1!$AS$55:$BA$55)</c:f>
              <c:numCache>
                <c:formatCode>General</c:formatCode>
                <c:ptCount val="17"/>
                <c:pt idx="0">
                  <c:v>38.025619834710746</c:v>
                </c:pt>
                <c:pt idx="1">
                  <c:v>37.16936936936937</c:v>
                </c:pt>
                <c:pt idx="2">
                  <c:v>36.192079207920791</c:v>
                </c:pt>
                <c:pt idx="3">
                  <c:v>34.784615384615378</c:v>
                </c:pt>
                <c:pt idx="4">
                  <c:v>33.090123456790124</c:v>
                </c:pt>
                <c:pt idx="5">
                  <c:v>31.125352112676055</c:v>
                </c:pt>
                <c:pt idx="6">
                  <c:v>28.918032786885245</c:v>
                </c:pt>
                <c:pt idx="7">
                  <c:v>26.613725490196078</c:v>
                </c:pt>
                <c:pt idx="8">
                  <c:v>41.182442748091603</c:v>
                </c:pt>
                <c:pt idx="9">
                  <c:v>41.98014184397163</c:v>
                </c:pt>
                <c:pt idx="10">
                  <c:v>42.445033112582784</c:v>
                </c:pt>
                <c:pt idx="11">
                  <c:v>42.486956521739131</c:v>
                </c:pt>
                <c:pt idx="12">
                  <c:v>43.469590643274849</c:v>
                </c:pt>
                <c:pt idx="13">
                  <c:v>43.585635359116019</c:v>
                </c:pt>
                <c:pt idx="14">
                  <c:v>43.458638743455495</c:v>
                </c:pt>
                <c:pt idx="15">
                  <c:v>42.856716417910448</c:v>
                </c:pt>
                <c:pt idx="16">
                  <c:v>44.680568720379149</c:v>
                </c:pt>
              </c:numCache>
            </c:numRef>
          </c:yVal>
          <c:smooth val="0"/>
        </c:ser>
        <c:ser>
          <c:idx val="1"/>
          <c:order val="1"/>
          <c:tx>
            <c:v>L*rho at Do constant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Sheet1!$M$33:$AC$33</c:f>
              <c:numCache>
                <c:formatCode>General</c:formatCode>
                <c:ptCount val="17"/>
                <c:pt idx="0">
                  <c:v>0.96078431372549022</c:v>
                </c:pt>
                <c:pt idx="1">
                  <c:v>0.8867924528301887</c:v>
                </c:pt>
                <c:pt idx="2">
                  <c:v>0.81818181818181823</c:v>
                </c:pt>
                <c:pt idx="3">
                  <c:v>0.75438596491228072</c:v>
                </c:pt>
                <c:pt idx="4">
                  <c:v>0.69491525423728817</c:v>
                </c:pt>
                <c:pt idx="5">
                  <c:v>0.63934426229508201</c:v>
                </c:pt>
                <c:pt idx="6">
                  <c:v>0.58730158730158732</c:v>
                </c:pt>
                <c:pt idx="7">
                  <c:v>0.53846153846153844</c:v>
                </c:pt>
                <c:pt idx="8">
                  <c:v>0.4925373134328358</c:v>
                </c:pt>
                <c:pt idx="9">
                  <c:v>0.44927536231884058</c:v>
                </c:pt>
                <c:pt idx="10">
                  <c:v>0.40845070422535212</c:v>
                </c:pt>
                <c:pt idx="11">
                  <c:v>0.36986301369863012</c:v>
                </c:pt>
                <c:pt idx="12">
                  <c:v>0.33333333333333331</c:v>
                </c:pt>
                <c:pt idx="13">
                  <c:v>0.29870129870129869</c:v>
                </c:pt>
                <c:pt idx="14">
                  <c:v>0.26582278481012656</c:v>
                </c:pt>
                <c:pt idx="15">
                  <c:v>0.23456790123456789</c:v>
                </c:pt>
                <c:pt idx="16">
                  <c:v>0.20481927710843373</c:v>
                </c:pt>
              </c:numCache>
            </c:numRef>
          </c:xVal>
          <c:yVal>
            <c:numRef>
              <c:f>Sheet1!$M$55:$AC$55</c:f>
              <c:numCache>
                <c:formatCode>General</c:formatCode>
                <c:ptCount val="17"/>
                <c:pt idx="0">
                  <c:v>26.613725490196078</c:v>
                </c:pt>
                <c:pt idx="1">
                  <c:v>24.564150943396225</c:v>
                </c:pt>
                <c:pt idx="2">
                  <c:v>22.581818181818186</c:v>
                </c:pt>
                <c:pt idx="3">
                  <c:v>20.745614035087719</c:v>
                </c:pt>
                <c:pt idx="4">
                  <c:v>18.90169491525424</c:v>
                </c:pt>
                <c:pt idx="5">
                  <c:v>17.134426229508197</c:v>
                </c:pt>
                <c:pt idx="6">
                  <c:v>15.387301587301588</c:v>
                </c:pt>
                <c:pt idx="7">
                  <c:v>13.73076923076923</c:v>
                </c:pt>
                <c:pt idx="8">
                  <c:v>12.165671641791043</c:v>
                </c:pt>
                <c:pt idx="9">
                  <c:v>10.647826086956522</c:v>
                </c:pt>
                <c:pt idx="10">
                  <c:v>9.2309859154929583</c:v>
                </c:pt>
                <c:pt idx="11">
                  <c:v>7.8780821917808215</c:v>
                </c:pt>
                <c:pt idx="12">
                  <c:v>6.6333333333333329</c:v>
                </c:pt>
                <c:pt idx="13">
                  <c:v>5.4961038961038957</c:v>
                </c:pt>
                <c:pt idx="14">
                  <c:v>4.4658227848101264</c:v>
                </c:pt>
                <c:pt idx="15">
                  <c:v>3.541975308641975</c:v>
                </c:pt>
                <c:pt idx="16">
                  <c:v>2.7445783132530122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1916384"/>
        <c:axId val="-631915296"/>
      </c:scatterChart>
      <c:valAx>
        <c:axId val="-6319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15296"/>
        <c:crosses val="autoZero"/>
        <c:crossBetween val="midCat"/>
      </c:valAx>
      <c:valAx>
        <c:axId val="-6319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C*rho at N constant (blue) and Do constant (orange) in function of rho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C*rho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(Sheet1!$F$33:$M$33,Sheet1!$AS$33:$BA$33)</c:f>
              <c:numCache>
                <c:formatCode>General</c:formatCode>
                <c:ptCount val="17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0.37404580152671757</c:v>
                </c:pt>
                <c:pt idx="9">
                  <c:v>0.3475177304964539</c:v>
                </c:pt>
                <c:pt idx="10">
                  <c:v>0.32450331125827814</c:v>
                </c:pt>
                <c:pt idx="11">
                  <c:v>0.30434782608695654</c:v>
                </c:pt>
                <c:pt idx="12">
                  <c:v>0.28654970760233917</c:v>
                </c:pt>
                <c:pt idx="13">
                  <c:v>0.27071823204419887</c:v>
                </c:pt>
                <c:pt idx="14">
                  <c:v>0.25654450261780104</c:v>
                </c:pt>
                <c:pt idx="15">
                  <c:v>0.24378109452736318</c:v>
                </c:pt>
                <c:pt idx="16">
                  <c:v>0.23222748815165878</c:v>
                </c:pt>
              </c:numCache>
            </c:numRef>
          </c:xVal>
          <c:yVal>
            <c:numRef>
              <c:f>(Sheet1!$F$54:$M$54,Sheet1!$AS$54:$BA$54)</c:f>
              <c:numCache>
                <c:formatCode>General</c:formatCode>
                <c:ptCount val="17"/>
                <c:pt idx="0">
                  <c:v>10.650413223140495</c:v>
                </c:pt>
                <c:pt idx="1">
                  <c:v>10.241441441441442</c:v>
                </c:pt>
                <c:pt idx="2">
                  <c:v>10.285148514851485</c:v>
                </c:pt>
                <c:pt idx="3">
                  <c:v>10.446153846153845</c:v>
                </c:pt>
                <c:pt idx="4">
                  <c:v>10.767901234567901</c:v>
                </c:pt>
                <c:pt idx="5">
                  <c:v>11.180281690140845</c:v>
                </c:pt>
                <c:pt idx="6">
                  <c:v>11.888524590163936</c:v>
                </c:pt>
                <c:pt idx="7">
                  <c:v>12.77843137254902</c:v>
                </c:pt>
                <c:pt idx="8">
                  <c:v>9.5755725190839698</c:v>
                </c:pt>
                <c:pt idx="9">
                  <c:v>10.008510638297873</c:v>
                </c:pt>
                <c:pt idx="10">
                  <c:v>10.059602649006623</c:v>
                </c:pt>
                <c:pt idx="11">
                  <c:v>9.5869565217391308</c:v>
                </c:pt>
                <c:pt idx="12">
                  <c:v>9.0549707602339176</c:v>
                </c:pt>
                <c:pt idx="13">
                  <c:v>9.6375690607734796</c:v>
                </c:pt>
                <c:pt idx="14">
                  <c:v>9.5947643979057577</c:v>
                </c:pt>
                <c:pt idx="15">
                  <c:v>9.7268656716417912</c:v>
                </c:pt>
                <c:pt idx="16">
                  <c:v>9.4284360189573473</c:v>
                </c:pt>
              </c:numCache>
            </c:numRef>
          </c:yVal>
          <c:smooth val="0"/>
        </c:ser>
        <c:ser>
          <c:idx val="1"/>
          <c:order val="1"/>
          <c:tx>
            <c:v>C*rho at do constant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Sheet1!$M$33:$AC$33</c:f>
              <c:numCache>
                <c:formatCode>General</c:formatCode>
                <c:ptCount val="17"/>
                <c:pt idx="0">
                  <c:v>0.96078431372549022</c:v>
                </c:pt>
                <c:pt idx="1">
                  <c:v>0.8867924528301887</c:v>
                </c:pt>
                <c:pt idx="2">
                  <c:v>0.81818181818181823</c:v>
                </c:pt>
                <c:pt idx="3">
                  <c:v>0.75438596491228072</c:v>
                </c:pt>
                <c:pt idx="4">
                  <c:v>0.69491525423728817</c:v>
                </c:pt>
                <c:pt idx="5">
                  <c:v>0.63934426229508201</c:v>
                </c:pt>
                <c:pt idx="6">
                  <c:v>0.58730158730158732</c:v>
                </c:pt>
                <c:pt idx="7">
                  <c:v>0.53846153846153844</c:v>
                </c:pt>
                <c:pt idx="8">
                  <c:v>0.4925373134328358</c:v>
                </c:pt>
                <c:pt idx="9">
                  <c:v>0.44927536231884058</c:v>
                </c:pt>
                <c:pt idx="10">
                  <c:v>0.40845070422535212</c:v>
                </c:pt>
                <c:pt idx="11">
                  <c:v>0.36986301369863012</c:v>
                </c:pt>
                <c:pt idx="12">
                  <c:v>0.33333333333333331</c:v>
                </c:pt>
                <c:pt idx="13">
                  <c:v>0.29870129870129869</c:v>
                </c:pt>
                <c:pt idx="14">
                  <c:v>0.26582278481012656</c:v>
                </c:pt>
                <c:pt idx="15">
                  <c:v>0.23456790123456789</c:v>
                </c:pt>
                <c:pt idx="16">
                  <c:v>0.20481927710843373</c:v>
                </c:pt>
              </c:numCache>
            </c:numRef>
          </c:xVal>
          <c:yVal>
            <c:numRef>
              <c:f>Sheet1!$M$54:$AC$54</c:f>
              <c:numCache>
                <c:formatCode>General</c:formatCode>
                <c:ptCount val="17"/>
                <c:pt idx="0">
                  <c:v>12.77843137254902</c:v>
                </c:pt>
                <c:pt idx="1">
                  <c:v>11.794339622641511</c:v>
                </c:pt>
                <c:pt idx="2">
                  <c:v>10.881818181818183</c:v>
                </c:pt>
                <c:pt idx="3">
                  <c:v>10.108771929824561</c:v>
                </c:pt>
                <c:pt idx="4">
                  <c:v>9.381355932203391</c:v>
                </c:pt>
                <c:pt idx="5">
                  <c:v>8.5672131147540984</c:v>
                </c:pt>
                <c:pt idx="6">
                  <c:v>8.0460317460317459</c:v>
                </c:pt>
                <c:pt idx="7">
                  <c:v>7.3769230769230765</c:v>
                </c:pt>
                <c:pt idx="8">
                  <c:v>6.8462686567164175</c:v>
                </c:pt>
                <c:pt idx="9">
                  <c:v>6.3347826086956518</c:v>
                </c:pt>
                <c:pt idx="10">
                  <c:v>5.8</c:v>
                </c:pt>
                <c:pt idx="11">
                  <c:v>5.3260273972602734</c:v>
                </c:pt>
                <c:pt idx="12">
                  <c:v>4.8</c:v>
                </c:pt>
                <c:pt idx="13">
                  <c:v>4.361038961038961</c:v>
                </c:pt>
                <c:pt idx="14">
                  <c:v>3.9341772151898731</c:v>
                </c:pt>
                <c:pt idx="15">
                  <c:v>3.4950617283950618</c:v>
                </c:pt>
                <c:pt idx="16">
                  <c:v>3.0313253012048191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1912032"/>
        <c:axId val="-632879296"/>
      </c:scatterChart>
      <c:valAx>
        <c:axId val="-6319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2879296"/>
        <c:crosses val="autoZero"/>
        <c:crossBetween val="midCat"/>
      </c:valAx>
      <c:valAx>
        <c:axId val="-6328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191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parasitic capacitance (fF) at</a:t>
            </a:r>
            <a:r>
              <a:rPr lang="en-US" baseline="0"/>
              <a:t> Do constant (blue) and N constant (orange) in fucntion of rho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parasitic capacitance (fF)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Sheet1!$M$33:$AC$33</c:f>
              <c:numCache>
                <c:formatCode>General</c:formatCode>
                <c:ptCount val="17"/>
                <c:pt idx="0">
                  <c:v>0.96078431372549022</c:v>
                </c:pt>
                <c:pt idx="1">
                  <c:v>0.8867924528301887</c:v>
                </c:pt>
                <c:pt idx="2">
                  <c:v>0.81818181818181823</c:v>
                </c:pt>
                <c:pt idx="3">
                  <c:v>0.75438596491228072</c:v>
                </c:pt>
                <c:pt idx="4">
                  <c:v>0.69491525423728817</c:v>
                </c:pt>
                <c:pt idx="5">
                  <c:v>0.63934426229508201</c:v>
                </c:pt>
                <c:pt idx="6">
                  <c:v>0.58730158730158732</c:v>
                </c:pt>
                <c:pt idx="7">
                  <c:v>0.53846153846153844</c:v>
                </c:pt>
                <c:pt idx="8">
                  <c:v>0.4925373134328358</c:v>
                </c:pt>
                <c:pt idx="9">
                  <c:v>0.44927536231884058</c:v>
                </c:pt>
                <c:pt idx="10">
                  <c:v>0.40845070422535212</c:v>
                </c:pt>
                <c:pt idx="11">
                  <c:v>0.36986301369863012</c:v>
                </c:pt>
                <c:pt idx="12">
                  <c:v>0.33333333333333331</c:v>
                </c:pt>
                <c:pt idx="13">
                  <c:v>0.29870129870129869</c:v>
                </c:pt>
                <c:pt idx="14">
                  <c:v>0.26582278481012656</c:v>
                </c:pt>
                <c:pt idx="15">
                  <c:v>0.23456790123456789</c:v>
                </c:pt>
                <c:pt idx="16">
                  <c:v>0.20481927710843373</c:v>
                </c:pt>
              </c:numCache>
            </c:numRef>
          </c:xVal>
          <c:yVal>
            <c:numRef>
              <c:f>Sheet1!$M$21:$AC$21</c:f>
              <c:numCache>
                <c:formatCode>General</c:formatCode>
                <c:ptCount val="17"/>
                <c:pt idx="0">
                  <c:v>13.3</c:v>
                </c:pt>
                <c:pt idx="1">
                  <c:v>13.3</c:v>
                </c:pt>
                <c:pt idx="2">
                  <c:v>13.3</c:v>
                </c:pt>
                <c:pt idx="3">
                  <c:v>13.4</c:v>
                </c:pt>
                <c:pt idx="4">
                  <c:v>13.5</c:v>
                </c:pt>
                <c:pt idx="5">
                  <c:v>13.4</c:v>
                </c:pt>
                <c:pt idx="6">
                  <c:v>13.7</c:v>
                </c:pt>
                <c:pt idx="7">
                  <c:v>13.7</c:v>
                </c:pt>
                <c:pt idx="8">
                  <c:v>13.9</c:v>
                </c:pt>
                <c:pt idx="9">
                  <c:v>14.1</c:v>
                </c:pt>
                <c:pt idx="10">
                  <c:v>14.2</c:v>
                </c:pt>
                <c:pt idx="11">
                  <c:v>14.4</c:v>
                </c:pt>
                <c:pt idx="12">
                  <c:v>14.4</c:v>
                </c:pt>
                <c:pt idx="13">
                  <c:v>14.6</c:v>
                </c:pt>
                <c:pt idx="14">
                  <c:v>14.8</c:v>
                </c:pt>
                <c:pt idx="15">
                  <c:v>14.9</c:v>
                </c:pt>
                <c:pt idx="16">
                  <c:v>14.8</c:v>
                </c:pt>
              </c:numCache>
            </c:numRef>
          </c:yVal>
          <c:smooth val="0"/>
        </c:ser>
        <c:ser>
          <c:idx val="1"/>
          <c:order val="1"/>
          <c:tx>
            <c:v>parasitic capacitance (fF) agt N constant in function of rho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(Sheet1!$AS$33:$BA$33,Sheet1!$F$33:$M$33)</c:f>
              <c:numCache>
                <c:formatCode>General</c:formatCode>
                <c:ptCount val="17"/>
                <c:pt idx="0">
                  <c:v>0.37404580152671757</c:v>
                </c:pt>
                <c:pt idx="1">
                  <c:v>0.3475177304964539</c:v>
                </c:pt>
                <c:pt idx="2">
                  <c:v>0.32450331125827814</c:v>
                </c:pt>
                <c:pt idx="3">
                  <c:v>0.30434782608695654</c:v>
                </c:pt>
                <c:pt idx="4">
                  <c:v>0.28654970760233917</c:v>
                </c:pt>
                <c:pt idx="5">
                  <c:v>0.27071823204419887</c:v>
                </c:pt>
                <c:pt idx="6">
                  <c:v>0.25654450261780104</c:v>
                </c:pt>
                <c:pt idx="7">
                  <c:v>0.24378109452736318</c:v>
                </c:pt>
                <c:pt idx="8">
                  <c:v>0.23222748815165878</c:v>
                </c:pt>
                <c:pt idx="9">
                  <c:v>0.4049586776859504</c:v>
                </c:pt>
                <c:pt idx="10">
                  <c:v>0.44144144144144143</c:v>
                </c:pt>
                <c:pt idx="11">
                  <c:v>0.48514851485148514</c:v>
                </c:pt>
                <c:pt idx="12">
                  <c:v>0.53846153846153844</c:v>
                </c:pt>
                <c:pt idx="13">
                  <c:v>0.60493827160493829</c:v>
                </c:pt>
                <c:pt idx="14">
                  <c:v>0.6901408450704225</c:v>
                </c:pt>
                <c:pt idx="15">
                  <c:v>0.80327868852459017</c:v>
                </c:pt>
                <c:pt idx="16">
                  <c:v>0.96078431372549022</c:v>
                </c:pt>
              </c:numCache>
            </c:numRef>
          </c:xVal>
          <c:yVal>
            <c:numRef>
              <c:f>(Sheet1!$AS$21:$BA$21,Sheet1!$F$21:$M$21)</c:f>
              <c:numCache>
                <c:formatCode>General</c:formatCode>
                <c:ptCount val="17"/>
                <c:pt idx="0">
                  <c:v>25.6</c:v>
                </c:pt>
                <c:pt idx="1">
                  <c:v>28.8</c:v>
                </c:pt>
                <c:pt idx="2">
                  <c:v>31</c:v>
                </c:pt>
                <c:pt idx="3">
                  <c:v>31.5</c:v>
                </c:pt>
                <c:pt idx="4">
                  <c:v>31.6</c:v>
                </c:pt>
                <c:pt idx="5">
                  <c:v>35.6</c:v>
                </c:pt>
                <c:pt idx="6">
                  <c:v>37.4</c:v>
                </c:pt>
                <c:pt idx="7">
                  <c:v>39.9</c:v>
                </c:pt>
                <c:pt idx="8">
                  <c:v>40.6</c:v>
                </c:pt>
                <c:pt idx="9">
                  <c:v>26.3</c:v>
                </c:pt>
                <c:pt idx="10">
                  <c:v>23.2</c:v>
                </c:pt>
                <c:pt idx="11">
                  <c:v>21.2</c:v>
                </c:pt>
                <c:pt idx="12">
                  <c:v>19.399999999999999</c:v>
                </c:pt>
                <c:pt idx="13">
                  <c:v>17.8</c:v>
                </c:pt>
                <c:pt idx="14">
                  <c:v>16.2</c:v>
                </c:pt>
                <c:pt idx="15">
                  <c:v>14.8</c:v>
                </c:pt>
                <c:pt idx="16">
                  <c:v>13.3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86608"/>
        <c:axId val="-629189872"/>
      </c:scatterChart>
      <c:valAx>
        <c:axId val="-6291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89872"/>
        <c:crosses val="autoZero"/>
        <c:crossBetween val="midCat"/>
      </c:valAx>
      <c:valAx>
        <c:axId val="-6291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(C/N)*(rho^0,8)/(s+w) in function of rho, at s=w=1 microns</a:t>
            </a:r>
          </a:p>
        </c:rich>
      </c:tx>
      <c:layout>
        <c:manualLayout>
          <c:xMode val="edge"/>
          <c:yMode val="edge"/>
          <c:x val="6.1789151356080258E-4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C/N in function of rho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(Sheet1!$F$33:$AC$33,Sheet1!$AS$33:$BE$33,Sheet1!$AJ$33:$AN$33)</c:f>
              <c:numCache>
                <c:formatCode>General</c:formatCode>
                <c:ptCount val="42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0.8867924528301887</c:v>
                </c:pt>
                <c:pt idx="9">
                  <c:v>0.81818181818181823</c:v>
                </c:pt>
                <c:pt idx="10">
                  <c:v>0.75438596491228072</c:v>
                </c:pt>
                <c:pt idx="11">
                  <c:v>0.69491525423728817</c:v>
                </c:pt>
                <c:pt idx="12">
                  <c:v>0.63934426229508201</c:v>
                </c:pt>
                <c:pt idx="13">
                  <c:v>0.58730158730158732</c:v>
                </c:pt>
                <c:pt idx="14">
                  <c:v>0.53846153846153844</c:v>
                </c:pt>
                <c:pt idx="15">
                  <c:v>0.4925373134328358</c:v>
                </c:pt>
                <c:pt idx="16">
                  <c:v>0.44927536231884058</c:v>
                </c:pt>
                <c:pt idx="17">
                  <c:v>0.40845070422535212</c:v>
                </c:pt>
                <c:pt idx="18">
                  <c:v>0.36986301369863012</c:v>
                </c:pt>
                <c:pt idx="19">
                  <c:v>0.33333333333333331</c:v>
                </c:pt>
                <c:pt idx="20">
                  <c:v>0.29870129870129869</c:v>
                </c:pt>
                <c:pt idx="21">
                  <c:v>0.26582278481012656</c:v>
                </c:pt>
                <c:pt idx="22">
                  <c:v>0.23456790123456789</c:v>
                </c:pt>
                <c:pt idx="23">
                  <c:v>0.20481927710843373</c:v>
                </c:pt>
                <c:pt idx="24">
                  <c:v>0.37404580152671757</c:v>
                </c:pt>
                <c:pt idx="25">
                  <c:v>0.3475177304964539</c:v>
                </c:pt>
                <c:pt idx="26">
                  <c:v>0.32450331125827814</c:v>
                </c:pt>
                <c:pt idx="27">
                  <c:v>0.30434782608695654</c:v>
                </c:pt>
                <c:pt idx="28">
                  <c:v>0.28654970760233917</c:v>
                </c:pt>
                <c:pt idx="29">
                  <c:v>0.27071823204419887</c:v>
                </c:pt>
                <c:pt idx="30">
                  <c:v>0.25654450261780104</c:v>
                </c:pt>
                <c:pt idx="31">
                  <c:v>0.24378109452736318</c:v>
                </c:pt>
                <c:pt idx="32">
                  <c:v>0.23222748815165878</c:v>
                </c:pt>
                <c:pt idx="33">
                  <c:v>0.23222748815165878</c:v>
                </c:pt>
                <c:pt idx="34">
                  <c:v>0.23222748815165878</c:v>
                </c:pt>
                <c:pt idx="35">
                  <c:v>0.23222748815165878</c:v>
                </c:pt>
                <c:pt idx="36">
                  <c:v>0.23222748815165878</c:v>
                </c:pt>
                <c:pt idx="37">
                  <c:v>0.23287671232876711</c:v>
                </c:pt>
                <c:pt idx="38">
                  <c:v>0.26984126984126983</c:v>
                </c:pt>
                <c:pt idx="39">
                  <c:v>0.32075471698113206</c:v>
                </c:pt>
                <c:pt idx="40">
                  <c:v>0.39534883720930231</c:v>
                </c:pt>
                <c:pt idx="41">
                  <c:v>0.51515151515151514</c:v>
                </c:pt>
              </c:numCache>
            </c:numRef>
          </c:xVal>
          <c:yVal>
            <c:numRef>
              <c:f>(Sheet1!$F$37:$AC$37,Sheet1!$AS$37:$BE$37,Sheet1!$AJ$37:$AN$37)</c:f>
              <c:numCache>
                <c:formatCode>General</c:formatCode>
                <c:ptCount val="42"/>
                <c:pt idx="0">
                  <c:v>0.25521976939428359</c:v>
                </c:pt>
                <c:pt idx="1">
                  <c:v>0.2412217487330908</c:v>
                </c:pt>
                <c:pt idx="2">
                  <c:v>0.23771994526473655</c:v>
                </c:pt>
                <c:pt idx="3">
                  <c:v>0.23645879700413849</c:v>
                </c:pt>
                <c:pt idx="4">
                  <c:v>0.23813259624236804</c:v>
                </c:pt>
                <c:pt idx="5">
                  <c:v>0.24082146567922008</c:v>
                </c:pt>
                <c:pt idx="6">
                  <c:v>0.24841894157353564</c:v>
                </c:pt>
                <c:pt idx="7">
                  <c:v>0.25762165138112803</c:v>
                </c:pt>
                <c:pt idx="8">
                  <c:v>0.25169117849421668</c:v>
                </c:pt>
                <c:pt idx="9">
                  <c:v>0.24624854252415032</c:v>
                </c:pt>
                <c:pt idx="10">
                  <c:v>0.2430675602230746</c:v>
                </c:pt>
                <c:pt idx="11">
                  <c:v>0.24023150062898904</c:v>
                </c:pt>
                <c:pt idx="12">
                  <c:v>0.23422466401686493</c:v>
                </c:pt>
                <c:pt idx="13">
                  <c:v>0.23551897915289519</c:v>
                </c:pt>
                <c:pt idx="14">
                  <c:v>0.23192193005130995</c:v>
                </c:pt>
                <c:pt idx="15">
                  <c:v>0.23199957694762549</c:v>
                </c:pt>
                <c:pt idx="16">
                  <c:v>0.23231605102112715</c:v>
                </c:pt>
                <c:pt idx="17">
                  <c:v>0.23124843858001642</c:v>
                </c:pt>
                <c:pt idx="18">
                  <c:v>0.23207971580904449</c:v>
                </c:pt>
                <c:pt idx="19">
                  <c:v>0.22998109654440319</c:v>
                </c:pt>
                <c:pt idx="20">
                  <c:v>0.23138292281249737</c:v>
                </c:pt>
                <c:pt idx="21">
                  <c:v>0.23308417970358589</c:v>
                </c:pt>
                <c:pt idx="22">
                  <c:v>0.23354530359649273</c:v>
                </c:pt>
                <c:pt idx="23">
                  <c:v>0.23125220023193235</c:v>
                </c:pt>
                <c:pt idx="24">
                  <c:v>0.23313624029237071</c:v>
                </c:pt>
                <c:pt idx="25">
                  <c:v>0.24728857805904306</c:v>
                </c:pt>
                <c:pt idx="26">
                  <c:v>0.2519805361619048</c:v>
                </c:pt>
                <c:pt idx="27">
                  <c:v>0.2432409621704632</c:v>
                </c:pt>
                <c:pt idx="28">
                  <c:v>0.23252896256313893</c:v>
                </c:pt>
                <c:pt idx="29">
                  <c:v>0.2503191052395653</c:v>
                </c:pt>
                <c:pt idx="30">
                  <c:v>0.25190208842770229</c:v>
                </c:pt>
                <c:pt idx="31">
                  <c:v>0.25799002193186776</c:v>
                </c:pt>
                <c:pt idx="32">
                  <c:v>0.25251485328321688</c:v>
                </c:pt>
                <c:pt idx="33">
                  <c:v>0.25251485328321688</c:v>
                </c:pt>
                <c:pt idx="34">
                  <c:v>0.2612222620171209</c:v>
                </c:pt>
                <c:pt idx="35">
                  <c:v>0.25873443095029119</c:v>
                </c:pt>
                <c:pt idx="36">
                  <c:v>0.25873443095029119</c:v>
                </c:pt>
                <c:pt idx="37">
                  <c:v>0.22682955436592134</c:v>
                </c:pt>
                <c:pt idx="38">
                  <c:v>0.22598113296462902</c:v>
                </c:pt>
                <c:pt idx="39">
                  <c:v>0.22146297563623873</c:v>
                </c:pt>
                <c:pt idx="40">
                  <c:v>0.21683317043992281</c:v>
                </c:pt>
                <c:pt idx="41">
                  <c:v>0.21568473821083514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80624"/>
        <c:axId val="-629190960"/>
      </c:scatterChart>
      <c:valAx>
        <c:axId val="-6291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90960"/>
        <c:crosses val="autoZero"/>
        <c:crossBetween val="midCat"/>
      </c:valAx>
      <c:valAx>
        <c:axId val="-629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8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between the empirical model and the simulation</a:t>
            </a:r>
            <a:endParaRPr lang="fr-FR"/>
          </a:p>
        </c:rich>
      </c:tx>
      <c:layout>
        <c:manualLayout>
          <c:xMode val="edge"/>
          <c:yMode val="edge"/>
          <c:x val="0.1169096675415573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C_simulation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(Sheet1!$F$33:$AC$33,Sheet1!$AS$33:$BE$33,Sheet1!$AJ$33:$AN$33)</c:f>
              <c:numCache>
                <c:formatCode>General</c:formatCode>
                <c:ptCount val="42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0.8867924528301887</c:v>
                </c:pt>
                <c:pt idx="9">
                  <c:v>0.81818181818181823</c:v>
                </c:pt>
                <c:pt idx="10">
                  <c:v>0.75438596491228072</c:v>
                </c:pt>
                <c:pt idx="11">
                  <c:v>0.69491525423728817</c:v>
                </c:pt>
                <c:pt idx="12">
                  <c:v>0.63934426229508201</c:v>
                </c:pt>
                <c:pt idx="13">
                  <c:v>0.58730158730158732</c:v>
                </c:pt>
                <c:pt idx="14">
                  <c:v>0.53846153846153844</c:v>
                </c:pt>
                <c:pt idx="15">
                  <c:v>0.4925373134328358</c:v>
                </c:pt>
                <c:pt idx="16">
                  <c:v>0.44927536231884058</c:v>
                </c:pt>
                <c:pt idx="17">
                  <c:v>0.40845070422535212</c:v>
                </c:pt>
                <c:pt idx="18">
                  <c:v>0.36986301369863012</c:v>
                </c:pt>
                <c:pt idx="19">
                  <c:v>0.33333333333333331</c:v>
                </c:pt>
                <c:pt idx="20">
                  <c:v>0.29870129870129869</c:v>
                </c:pt>
                <c:pt idx="21">
                  <c:v>0.26582278481012656</c:v>
                </c:pt>
                <c:pt idx="22">
                  <c:v>0.23456790123456789</c:v>
                </c:pt>
                <c:pt idx="23">
                  <c:v>0.20481927710843373</c:v>
                </c:pt>
                <c:pt idx="24">
                  <c:v>0.37404580152671757</c:v>
                </c:pt>
                <c:pt idx="25">
                  <c:v>0.3475177304964539</c:v>
                </c:pt>
                <c:pt idx="26">
                  <c:v>0.32450331125827814</c:v>
                </c:pt>
                <c:pt idx="27">
                  <c:v>0.30434782608695654</c:v>
                </c:pt>
                <c:pt idx="28">
                  <c:v>0.28654970760233917</c:v>
                </c:pt>
                <c:pt idx="29">
                  <c:v>0.27071823204419887</c:v>
                </c:pt>
                <c:pt idx="30">
                  <c:v>0.25654450261780104</c:v>
                </c:pt>
                <c:pt idx="31">
                  <c:v>0.24378109452736318</c:v>
                </c:pt>
                <c:pt idx="32">
                  <c:v>0.23222748815165878</c:v>
                </c:pt>
                <c:pt idx="33">
                  <c:v>0.23222748815165878</c:v>
                </c:pt>
                <c:pt idx="34">
                  <c:v>0.23222748815165878</c:v>
                </c:pt>
                <c:pt idx="35">
                  <c:v>0.23222748815165878</c:v>
                </c:pt>
                <c:pt idx="36">
                  <c:v>0.23222748815165878</c:v>
                </c:pt>
                <c:pt idx="37">
                  <c:v>0.23287671232876711</c:v>
                </c:pt>
                <c:pt idx="38">
                  <c:v>0.26984126984126983</c:v>
                </c:pt>
                <c:pt idx="39">
                  <c:v>0.32075471698113206</c:v>
                </c:pt>
                <c:pt idx="40">
                  <c:v>0.39534883720930231</c:v>
                </c:pt>
                <c:pt idx="41">
                  <c:v>0.51515151515151514</c:v>
                </c:pt>
              </c:numCache>
            </c:numRef>
          </c:xVal>
          <c:yVal>
            <c:numRef>
              <c:f>(Sheet1!$F$21:$AC$21,Sheet1!$AS$21:$BE$21,Sheet1!$AJ$21:$AN$21)</c:f>
              <c:numCache>
                <c:formatCode>General</c:formatCode>
                <c:ptCount val="42"/>
                <c:pt idx="0">
                  <c:v>26.3</c:v>
                </c:pt>
                <c:pt idx="1">
                  <c:v>23.2</c:v>
                </c:pt>
                <c:pt idx="2">
                  <c:v>21.2</c:v>
                </c:pt>
                <c:pt idx="3">
                  <c:v>19.399999999999999</c:v>
                </c:pt>
                <c:pt idx="4">
                  <c:v>17.8</c:v>
                </c:pt>
                <c:pt idx="5">
                  <c:v>16.2</c:v>
                </c:pt>
                <c:pt idx="6">
                  <c:v>14.8</c:v>
                </c:pt>
                <c:pt idx="7">
                  <c:v>13.3</c:v>
                </c:pt>
                <c:pt idx="8">
                  <c:v>13.3</c:v>
                </c:pt>
                <c:pt idx="9">
                  <c:v>13.3</c:v>
                </c:pt>
                <c:pt idx="10">
                  <c:v>13.4</c:v>
                </c:pt>
                <c:pt idx="11">
                  <c:v>13.5</c:v>
                </c:pt>
                <c:pt idx="12">
                  <c:v>13.4</c:v>
                </c:pt>
                <c:pt idx="13">
                  <c:v>13.7</c:v>
                </c:pt>
                <c:pt idx="14">
                  <c:v>13.7</c:v>
                </c:pt>
                <c:pt idx="15">
                  <c:v>13.9</c:v>
                </c:pt>
                <c:pt idx="16">
                  <c:v>14.1</c:v>
                </c:pt>
                <c:pt idx="17">
                  <c:v>14.2</c:v>
                </c:pt>
                <c:pt idx="18">
                  <c:v>14.4</c:v>
                </c:pt>
                <c:pt idx="19">
                  <c:v>14.4</c:v>
                </c:pt>
                <c:pt idx="20">
                  <c:v>14.6</c:v>
                </c:pt>
                <c:pt idx="21">
                  <c:v>14.8</c:v>
                </c:pt>
                <c:pt idx="22">
                  <c:v>14.9</c:v>
                </c:pt>
                <c:pt idx="23">
                  <c:v>14.8</c:v>
                </c:pt>
                <c:pt idx="24">
                  <c:v>25.6</c:v>
                </c:pt>
                <c:pt idx="25">
                  <c:v>28.8</c:v>
                </c:pt>
                <c:pt idx="26">
                  <c:v>31</c:v>
                </c:pt>
                <c:pt idx="27">
                  <c:v>31.5</c:v>
                </c:pt>
                <c:pt idx="28">
                  <c:v>31.6</c:v>
                </c:pt>
                <c:pt idx="29">
                  <c:v>35.6</c:v>
                </c:pt>
                <c:pt idx="30">
                  <c:v>37.4</c:v>
                </c:pt>
                <c:pt idx="31">
                  <c:v>39.9</c:v>
                </c:pt>
                <c:pt idx="32">
                  <c:v>40.6</c:v>
                </c:pt>
                <c:pt idx="33">
                  <c:v>20.3</c:v>
                </c:pt>
                <c:pt idx="34">
                  <c:v>10.5</c:v>
                </c:pt>
                <c:pt idx="35">
                  <c:v>5.2</c:v>
                </c:pt>
                <c:pt idx="36">
                  <c:v>2.6</c:v>
                </c:pt>
                <c:pt idx="37">
                  <c:v>13.1</c:v>
                </c:pt>
                <c:pt idx="38">
                  <c:v>11.6</c:v>
                </c:pt>
                <c:pt idx="39">
                  <c:v>9.9</c:v>
                </c:pt>
                <c:pt idx="40">
                  <c:v>8.1999999999999993</c:v>
                </c:pt>
                <c:pt idx="41">
                  <c:v>6.6</c:v>
                </c:pt>
              </c:numCache>
            </c:numRef>
          </c:yVal>
          <c:smooth val="0"/>
        </c:ser>
        <c:ser>
          <c:idx val="1"/>
          <c:order val="1"/>
          <c:tx>
            <c:v>C_model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(Sheet1!$F$33:$AC$33,Sheet1!$AS$33:$BE$33,Sheet1!$AJ$33:$AN$33)</c:f>
              <c:numCache>
                <c:formatCode>General</c:formatCode>
                <c:ptCount val="42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0.8867924528301887</c:v>
                </c:pt>
                <c:pt idx="9">
                  <c:v>0.81818181818181823</c:v>
                </c:pt>
                <c:pt idx="10">
                  <c:v>0.75438596491228072</c:v>
                </c:pt>
                <c:pt idx="11">
                  <c:v>0.69491525423728817</c:v>
                </c:pt>
                <c:pt idx="12">
                  <c:v>0.63934426229508201</c:v>
                </c:pt>
                <c:pt idx="13">
                  <c:v>0.58730158730158732</c:v>
                </c:pt>
                <c:pt idx="14">
                  <c:v>0.53846153846153844</c:v>
                </c:pt>
                <c:pt idx="15">
                  <c:v>0.4925373134328358</c:v>
                </c:pt>
                <c:pt idx="16">
                  <c:v>0.44927536231884058</c:v>
                </c:pt>
                <c:pt idx="17">
                  <c:v>0.40845070422535212</c:v>
                </c:pt>
                <c:pt idx="18">
                  <c:v>0.36986301369863012</c:v>
                </c:pt>
                <c:pt idx="19">
                  <c:v>0.33333333333333331</c:v>
                </c:pt>
                <c:pt idx="20">
                  <c:v>0.29870129870129869</c:v>
                </c:pt>
                <c:pt idx="21">
                  <c:v>0.26582278481012656</c:v>
                </c:pt>
                <c:pt idx="22">
                  <c:v>0.23456790123456789</c:v>
                </c:pt>
                <c:pt idx="23">
                  <c:v>0.20481927710843373</c:v>
                </c:pt>
                <c:pt idx="24">
                  <c:v>0.37404580152671757</c:v>
                </c:pt>
                <c:pt idx="25">
                  <c:v>0.3475177304964539</c:v>
                </c:pt>
                <c:pt idx="26">
                  <c:v>0.32450331125827814</c:v>
                </c:pt>
                <c:pt idx="27">
                  <c:v>0.30434782608695654</c:v>
                </c:pt>
                <c:pt idx="28">
                  <c:v>0.28654970760233917</c:v>
                </c:pt>
                <c:pt idx="29">
                  <c:v>0.27071823204419887</c:v>
                </c:pt>
                <c:pt idx="30">
                  <c:v>0.25654450261780104</c:v>
                </c:pt>
                <c:pt idx="31">
                  <c:v>0.24378109452736318</c:v>
                </c:pt>
                <c:pt idx="32">
                  <c:v>0.23222748815165878</c:v>
                </c:pt>
                <c:pt idx="33">
                  <c:v>0.23222748815165878</c:v>
                </c:pt>
                <c:pt idx="34">
                  <c:v>0.23222748815165878</c:v>
                </c:pt>
                <c:pt idx="35">
                  <c:v>0.23222748815165878</c:v>
                </c:pt>
                <c:pt idx="36">
                  <c:v>0.23222748815165878</c:v>
                </c:pt>
                <c:pt idx="37">
                  <c:v>0.23287671232876711</c:v>
                </c:pt>
                <c:pt idx="38">
                  <c:v>0.26984126984126983</c:v>
                </c:pt>
                <c:pt idx="39">
                  <c:v>0.32075471698113206</c:v>
                </c:pt>
                <c:pt idx="40">
                  <c:v>0.39534883720930231</c:v>
                </c:pt>
                <c:pt idx="41">
                  <c:v>0.51515151515151514</c:v>
                </c:pt>
              </c:numCache>
            </c:numRef>
          </c:xVal>
          <c:yVal>
            <c:numRef>
              <c:f>(Sheet1!$F$95:$AC$95,Sheet1!$AS$95:$BE$95,Sheet1!$AJ$95:$AN$95)</c:f>
              <c:numCache>
                <c:formatCode>General</c:formatCode>
                <c:ptCount val="42"/>
                <c:pt idx="0">
                  <c:v>24.742195426293215</c:v>
                </c:pt>
                <c:pt idx="1">
                  <c:v>23.092360015125902</c:v>
                </c:pt>
                <c:pt idx="2">
                  <c:v>21.412483219453037</c:v>
                </c:pt>
                <c:pt idx="3">
                  <c:v>19.698948756589775</c:v>
                </c:pt>
                <c:pt idx="4">
                  <c:v>17.947251622074042</c:v>
                </c:pt>
                <c:pt idx="5">
                  <c:v>16.151639606374694</c:v>
                </c:pt>
                <c:pt idx="6">
                  <c:v>14.304536973720207</c:v>
                </c:pt>
                <c:pt idx="7">
                  <c:v>12.395557876665245</c:v>
                </c:pt>
                <c:pt idx="8">
                  <c:v>12.687628184196473</c:v>
                </c:pt>
                <c:pt idx="9">
                  <c:v>12.968052753707836</c:v>
                </c:pt>
                <c:pt idx="10">
                  <c:v>13.236543549207996</c:v>
                </c:pt>
                <c:pt idx="11">
                  <c:v>13.492754256295635</c:v>
                </c:pt>
                <c:pt idx="12">
                  <c:v>13.73627478471184</c:v>
                </c:pt>
                <c:pt idx="13">
                  <c:v>13.966624375965385</c:v>
                </c:pt>
                <c:pt idx="14">
                  <c:v>14.183243104744637</c:v>
                </c:pt>
                <c:pt idx="15">
                  <c:v>14.385481524494216</c:v>
                </c:pt>
                <c:pt idx="16">
                  <c:v>14.5725881858843</c:v>
                </c:pt>
                <c:pt idx="17">
                  <c:v>14.743694780181833</c:v>
                </c:pt>
                <c:pt idx="18">
                  <c:v>14.89779879036665</c:v>
                </c:pt>
                <c:pt idx="19">
                  <c:v>15.033743909387232</c:v>
                </c:pt>
                <c:pt idx="20">
                  <c:v>15.150199416058683</c:v>
                </c:pt>
                <c:pt idx="21">
                  <c:v>15.245641893113907</c:v>
                </c:pt>
                <c:pt idx="22">
                  <c:v>15.318347814896589</c:v>
                </c:pt>
                <c:pt idx="23">
                  <c:v>15.366417837958343</c:v>
                </c:pt>
                <c:pt idx="24">
                  <c:v>26.364951279514521</c:v>
                </c:pt>
                <c:pt idx="25">
                  <c:v>27.963094264896501</c:v>
                </c:pt>
                <c:pt idx="26">
                  <c:v>29.538707914560181</c:v>
                </c:pt>
                <c:pt idx="27">
                  <c:v>31.093573516283588</c:v>
                </c:pt>
                <c:pt idx="28">
                  <c:v>32.629229976778888</c:v>
                </c:pt>
                <c:pt idx="29">
                  <c:v>34.147019022693634</c:v>
                </c:pt>
                <c:pt idx="30">
                  <c:v>35.648119942512665</c:v>
                </c:pt>
                <c:pt idx="31">
                  <c:v>37.133576710422311</c:v>
                </c:pt>
                <c:pt idx="32">
                  <c:v>38.604319458414032</c:v>
                </c:pt>
                <c:pt idx="33">
                  <c:v>19.302159729207016</c:v>
                </c:pt>
                <c:pt idx="34">
                  <c:v>9.6510798646035081</c:v>
                </c:pt>
                <c:pt idx="35">
                  <c:v>4.825539932301754</c:v>
                </c:pt>
                <c:pt idx="36">
                  <c:v>2.412769966150877</c:v>
                </c:pt>
                <c:pt idx="37">
                  <c:v>13.866550971005969</c:v>
                </c:pt>
                <c:pt idx="38">
                  <c:v>12.32487728542953</c:v>
                </c:pt>
                <c:pt idx="39">
                  <c:v>10.733240481471098</c:v>
                </c:pt>
                <c:pt idx="40">
                  <c:v>9.0799807699438784</c:v>
                </c:pt>
                <c:pt idx="41">
                  <c:v>7.3471907654475324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196944"/>
        <c:axId val="-629192592"/>
      </c:scatterChart>
      <c:valAx>
        <c:axId val="-6291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fill</a:t>
                </a:r>
                <a:r>
                  <a:rPr lang="fr-FR" baseline="0"/>
                  <a:t> factor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92592"/>
        <c:crosses val="autoZero"/>
        <c:crossBetween val="midCat"/>
      </c:valAx>
      <c:valAx>
        <c:axId val="-6291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Parasitic capacitance in 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919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1504950</xdr:colOff>
      <xdr:row>45</xdr:row>
      <xdr:rowOff>157162</xdr:rowOff>
    </xdr:from>
    <xdr:to>
      <xdr:col>30</xdr:col>
      <xdr:colOff>933450</xdr:colOff>
      <xdr:row>60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1581150</xdr:colOff>
      <xdr:row>62</xdr:row>
      <xdr:rowOff>100012</xdr:rowOff>
    </xdr:from>
    <xdr:to>
      <xdr:col>5</xdr:col>
      <xdr:colOff>1009650</xdr:colOff>
      <xdr:row>76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78</xdr:row>
      <xdr:rowOff>128587</xdr:rowOff>
    </xdr:from>
    <xdr:to>
      <xdr:col>2</xdr:col>
      <xdr:colOff>1504950</xdr:colOff>
      <xdr:row>93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195262</xdr:colOff>
      <xdr:row>54</xdr:row>
      <xdr:rowOff>61912</xdr:rowOff>
    </xdr:from>
    <xdr:to>
      <xdr:col>2</xdr:col>
      <xdr:colOff>1338262</xdr:colOff>
      <xdr:row>68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1557337</xdr:colOff>
      <xdr:row>10</xdr:row>
      <xdr:rowOff>33337</xdr:rowOff>
    </xdr:from>
    <xdr:to>
      <xdr:col>10</xdr:col>
      <xdr:colOff>985837</xdr:colOff>
      <xdr:row>24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642937</xdr:colOff>
      <xdr:row>27</xdr:row>
      <xdr:rowOff>185737</xdr:rowOff>
    </xdr:from>
    <xdr:to>
      <xdr:col>7</xdr:col>
      <xdr:colOff>71437</xdr:colOff>
      <xdr:row>42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1547812</xdr:colOff>
      <xdr:row>45</xdr:row>
      <xdr:rowOff>23812</xdr:rowOff>
    </xdr:from>
    <xdr:to>
      <xdr:col>5</xdr:col>
      <xdr:colOff>976312</xdr:colOff>
      <xdr:row>59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1547812</xdr:colOff>
      <xdr:row>10</xdr:row>
      <xdr:rowOff>109537</xdr:rowOff>
    </xdr:from>
    <xdr:to>
      <xdr:col>3</xdr:col>
      <xdr:colOff>976312</xdr:colOff>
      <xdr:row>24</xdr:row>
      <xdr:rowOff>185737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790575</xdr:colOff>
      <xdr:row>10</xdr:row>
      <xdr:rowOff>80962</xdr:rowOff>
    </xdr:from>
    <xdr:to>
      <xdr:col>6</xdr:col>
      <xdr:colOff>219075</xdr:colOff>
      <xdr:row>24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685800</xdr:colOff>
      <xdr:row>83</xdr:row>
      <xdr:rowOff>4762</xdr:rowOff>
    </xdr:from>
    <xdr:to>
      <xdr:col>5</xdr:col>
      <xdr:colOff>114300</xdr:colOff>
      <xdr:row>97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123825</xdr:colOff>
      <xdr:row>27</xdr:row>
      <xdr:rowOff>128587</xdr:rowOff>
    </xdr:from>
    <xdr:to>
      <xdr:col>3</xdr:col>
      <xdr:colOff>1266825</xdr:colOff>
      <xdr:row>42</xdr:row>
      <xdr:rowOff>14287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685800</xdr:colOff>
      <xdr:row>137</xdr:row>
      <xdr:rowOff>4762</xdr:rowOff>
    </xdr:from>
    <xdr:to>
      <xdr:col>5</xdr:col>
      <xdr:colOff>114300</xdr:colOff>
      <xdr:row>151</xdr:row>
      <xdr:rowOff>80962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323850</xdr:colOff>
      <xdr:row>128</xdr:row>
      <xdr:rowOff>33337</xdr:rowOff>
    </xdr:from>
    <xdr:to>
      <xdr:col>2</xdr:col>
      <xdr:colOff>1466850</xdr:colOff>
      <xdr:row>142</xdr:row>
      <xdr:rowOff>109537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89</xdr:col>
      <xdr:colOff>885825</xdr:colOff>
      <xdr:row>1</xdr:row>
      <xdr:rowOff>109536</xdr:rowOff>
    </xdr:from>
    <xdr:to>
      <xdr:col>92</xdr:col>
      <xdr:colOff>314325</xdr:colOff>
      <xdr:row>18</xdr:row>
      <xdr:rowOff>19049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1066800</xdr:colOff>
      <xdr:row>3</xdr:row>
      <xdr:rowOff>119062</xdr:rowOff>
    </xdr:from>
    <xdr:to>
      <xdr:col>95</xdr:col>
      <xdr:colOff>495300</xdr:colOff>
      <xdr:row>18</xdr:row>
      <xdr:rowOff>4762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95</xdr:col>
      <xdr:colOff>1038225</xdr:colOff>
      <xdr:row>3</xdr:row>
      <xdr:rowOff>71437</xdr:rowOff>
    </xdr:from>
    <xdr:to>
      <xdr:col>98</xdr:col>
      <xdr:colOff>466725</xdr:colOff>
      <xdr:row>17</xdr:row>
      <xdr:rowOff>147637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150</xdr:col>
      <xdr:colOff>361950</xdr:colOff>
      <xdr:row>16</xdr:row>
      <xdr:rowOff>38100</xdr:rowOff>
    </xdr:from>
    <xdr:to>
      <xdr:col>158</xdr:col>
      <xdr:colOff>57150</xdr:colOff>
      <xdr:row>35</xdr:row>
      <xdr:rowOff>14287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1647825</xdr:colOff>
      <xdr:row>15</xdr:row>
      <xdr:rowOff>100012</xdr:rowOff>
    </xdr:from>
    <xdr:to>
      <xdr:col>27</xdr:col>
      <xdr:colOff>1076325</xdr:colOff>
      <xdr:row>29</xdr:row>
      <xdr:rowOff>176212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162"/>
  <sheetViews>
    <sheetView tabSelected="1" topLeftCell="F1" zoomScaleNormal="100" workbookViewId="0">
      <selection activeCell="J4" sqref="J4"/>
    </sheetView>
  </sheetViews>
  <sheetFormatPr defaultRowHeight="15" x14ac:dyDescent="0.25"/>
  <cols>
    <col min="1" max="116" width="25.7109375" customWidth="1"/>
  </cols>
  <sheetData>
    <row r="1" spans="1:194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15</v>
      </c>
      <c r="G1" t="s">
        <v>81</v>
      </c>
      <c r="J1" t="s">
        <v>215</v>
      </c>
      <c r="K1" t="s">
        <v>216</v>
      </c>
    </row>
    <row r="2" spans="1:194" x14ac:dyDescent="0.25">
      <c r="A2" t="s">
        <v>10</v>
      </c>
      <c r="B2">
        <v>37</v>
      </c>
      <c r="C2">
        <v>10</v>
      </c>
      <c r="D2">
        <v>10</v>
      </c>
      <c r="E2">
        <v>12</v>
      </c>
      <c r="F2">
        <v>35</v>
      </c>
      <c r="G2">
        <v>8.8000000000000007</v>
      </c>
      <c r="H2">
        <v>10</v>
      </c>
      <c r="I2">
        <f>8.8</f>
        <v>8.8000000000000007</v>
      </c>
      <c r="J2">
        <v>171</v>
      </c>
      <c r="CW2" t="s">
        <v>191</v>
      </c>
    </row>
    <row r="3" spans="1:194" x14ac:dyDescent="0.25">
      <c r="A3" t="s">
        <v>11</v>
      </c>
      <c r="B3">
        <v>50</v>
      </c>
      <c r="C3">
        <v>27.33</v>
      </c>
      <c r="D3">
        <v>280</v>
      </c>
      <c r="E3">
        <v>317</v>
      </c>
      <c r="F3">
        <v>30</v>
      </c>
      <c r="G3">
        <v>23.3</v>
      </c>
      <c r="H3">
        <v>14.7</v>
      </c>
      <c r="I3">
        <f>12.3</f>
        <v>12.3</v>
      </c>
      <c r="J3">
        <v>16.3</v>
      </c>
      <c r="CV3" t="s">
        <v>185</v>
      </c>
      <c r="CW3" t="s">
        <v>192</v>
      </c>
      <c r="CX3" t="s">
        <v>193</v>
      </c>
      <c r="CY3" t="s">
        <v>194</v>
      </c>
      <c r="CZ3" t="s">
        <v>195</v>
      </c>
      <c r="FB3" t="s">
        <v>165</v>
      </c>
    </row>
    <row r="4" spans="1:194" x14ac:dyDescent="0.25">
      <c r="A4" t="s">
        <v>13</v>
      </c>
      <c r="B4">
        <v>2.5</v>
      </c>
      <c r="C4">
        <v>9.86</v>
      </c>
      <c r="D4">
        <v>14.5</v>
      </c>
      <c r="E4">
        <v>15.06</v>
      </c>
      <c r="F4">
        <v>11.5</v>
      </c>
      <c r="G4">
        <v>9.5</v>
      </c>
      <c r="H4">
        <v>13.5</v>
      </c>
      <c r="I4">
        <v>21</v>
      </c>
      <c r="J4">
        <v>2.5499999999999998</v>
      </c>
      <c r="CV4" t="s">
        <v>186</v>
      </c>
      <c r="CW4">
        <v>27.6</v>
      </c>
      <c r="CX4">
        <v>27.6</v>
      </c>
      <c r="CY4">
        <v>27.6</v>
      </c>
      <c r="CZ4">
        <v>27.6</v>
      </c>
      <c r="DA4">
        <v>27.6</v>
      </c>
      <c r="DB4">
        <v>27.6</v>
      </c>
      <c r="DC4">
        <v>27.6</v>
      </c>
      <c r="DD4">
        <v>27.6</v>
      </c>
      <c r="DE4">
        <v>27.6</v>
      </c>
      <c r="DF4">
        <v>27.6</v>
      </c>
      <c r="DG4">
        <v>27.6</v>
      </c>
      <c r="DH4">
        <v>27.6</v>
      </c>
      <c r="DI4">
        <v>27.6</v>
      </c>
      <c r="DJ4">
        <v>27.6</v>
      </c>
      <c r="DK4">
        <v>27.6</v>
      </c>
      <c r="DL4">
        <v>27.6</v>
      </c>
      <c r="DM4">
        <v>27.6</v>
      </c>
      <c r="DN4">
        <v>27.6</v>
      </c>
      <c r="DO4">
        <v>27.6</v>
      </c>
      <c r="DP4">
        <v>27.6</v>
      </c>
      <c r="DQ4">
        <v>27.6</v>
      </c>
      <c r="DR4">
        <v>27.6</v>
      </c>
      <c r="DS4">
        <v>27.6</v>
      </c>
      <c r="DT4">
        <v>27.6</v>
      </c>
      <c r="DU4">
        <v>27.6</v>
      </c>
      <c r="DV4">
        <v>27.6</v>
      </c>
      <c r="DW4">
        <v>27.6</v>
      </c>
      <c r="DX4">
        <v>27.6</v>
      </c>
      <c r="DY4">
        <v>27.6</v>
      </c>
      <c r="DZ4">
        <v>27.6</v>
      </c>
      <c r="EA4">
        <v>27.6</v>
      </c>
      <c r="EB4">
        <v>27.6</v>
      </c>
      <c r="EC4">
        <v>27.6</v>
      </c>
      <c r="ED4">
        <v>27.6</v>
      </c>
      <c r="EE4">
        <v>27.6</v>
      </c>
      <c r="EF4">
        <v>27.6</v>
      </c>
      <c r="EG4">
        <v>27.6</v>
      </c>
      <c r="EH4">
        <v>27.6</v>
      </c>
      <c r="EI4">
        <v>27.6</v>
      </c>
      <c r="EJ4">
        <v>27.6</v>
      </c>
      <c r="EK4">
        <v>27.6</v>
      </c>
      <c r="EL4">
        <v>27.6</v>
      </c>
      <c r="EM4">
        <v>27.6</v>
      </c>
      <c r="EN4">
        <v>27.6</v>
      </c>
      <c r="EO4">
        <v>27.6</v>
      </c>
      <c r="EP4">
        <v>27.6</v>
      </c>
      <c r="EQ4">
        <v>27.6</v>
      </c>
      <c r="ER4">
        <v>27.6</v>
      </c>
      <c r="ES4">
        <v>27.6</v>
      </c>
      <c r="ET4">
        <v>27.6</v>
      </c>
      <c r="EU4">
        <v>27.6</v>
      </c>
      <c r="EV4">
        <v>27.6</v>
      </c>
      <c r="EW4">
        <v>27.6</v>
      </c>
      <c r="EX4">
        <v>27.6</v>
      </c>
      <c r="EY4">
        <v>27.6</v>
      </c>
      <c r="EZ4">
        <v>27.6</v>
      </c>
      <c r="FB4">
        <v>29.9</v>
      </c>
      <c r="FC4">
        <v>29.9</v>
      </c>
      <c r="FD4">
        <v>29.9</v>
      </c>
      <c r="FE4">
        <v>29.9</v>
      </c>
      <c r="FF4">
        <v>29.9</v>
      </c>
      <c r="FG4">
        <v>29.9</v>
      </c>
      <c r="FH4">
        <v>29.9</v>
      </c>
      <c r="FI4">
        <v>29.9</v>
      </c>
      <c r="FJ4">
        <v>29.9</v>
      </c>
      <c r="FK4">
        <v>29.9</v>
      </c>
      <c r="FL4">
        <v>29.9</v>
      </c>
      <c r="FM4">
        <v>29.9</v>
      </c>
      <c r="FN4">
        <v>29.9</v>
      </c>
      <c r="FO4">
        <v>29.9</v>
      </c>
      <c r="FP4">
        <v>29.9</v>
      </c>
      <c r="FQ4">
        <v>29.9</v>
      </c>
      <c r="FR4">
        <v>29.9</v>
      </c>
      <c r="FS4">
        <v>29.9</v>
      </c>
      <c r="FT4">
        <v>29.9</v>
      </c>
      <c r="FU4">
        <v>29.9</v>
      </c>
      <c r="FV4">
        <v>29.9</v>
      </c>
      <c r="FW4">
        <v>29.9</v>
      </c>
      <c r="FX4">
        <v>29.9</v>
      </c>
      <c r="FY4">
        <v>29.9</v>
      </c>
      <c r="FZ4">
        <v>29.9</v>
      </c>
      <c r="GA4">
        <v>29.9</v>
      </c>
      <c r="GB4">
        <v>29.9</v>
      </c>
      <c r="GC4">
        <v>29.9</v>
      </c>
      <c r="GD4">
        <v>29.9</v>
      </c>
      <c r="GE4">
        <v>29.9</v>
      </c>
      <c r="GF4">
        <v>29.9</v>
      </c>
      <c r="GG4">
        <v>29.9</v>
      </c>
      <c r="GH4">
        <v>29.9</v>
      </c>
      <c r="GI4">
        <v>29.9</v>
      </c>
      <c r="GJ4">
        <v>29.9</v>
      </c>
    </row>
    <row r="5" spans="1:194" x14ac:dyDescent="0.25">
      <c r="A5" t="s">
        <v>12</v>
      </c>
      <c r="B5">
        <f t="shared" ref="B5:G5" si="0">10^(-9)/(2*PI()*SQRT(B4*(B3+B2)*10^(-24)))</f>
        <v>10.791715833146124</v>
      </c>
      <c r="C5">
        <f t="shared" si="0"/>
        <v>8.2956931438945976</v>
      </c>
      <c r="D5">
        <f t="shared" si="0"/>
        <v>2.454353597990266</v>
      </c>
      <c r="E5">
        <f t="shared" si="0"/>
        <v>2.261047555453799</v>
      </c>
      <c r="F5">
        <f t="shared" si="0"/>
        <v>5.8212269748241789</v>
      </c>
      <c r="G5">
        <f t="shared" si="0"/>
        <v>9.1139326054990164</v>
      </c>
      <c r="H5">
        <f>10^(-9)/(2*PI()*SQRT(H4*(H3+H2)*10^(-24)))</f>
        <v>8.7157501241530557</v>
      </c>
      <c r="I5">
        <f>500/(PI()*SQRT(I4*(I2+I3)))</f>
        <v>7.5608262267319892</v>
      </c>
      <c r="J5">
        <f>10^(-9)/(2*PI()*SQRT(J4*(J3+J2)*10^(-24)))</f>
        <v>7.2825110578375964</v>
      </c>
      <c r="CV5" t="s">
        <v>187</v>
      </c>
      <c r="CW5">
        <v>2.2999999999999998</v>
      </c>
      <c r="CX5">
        <v>2.2999999999999998</v>
      </c>
      <c r="CY5">
        <v>2.2999999999999998</v>
      </c>
      <c r="CZ5">
        <v>2.2999999999999998</v>
      </c>
      <c r="DA5">
        <v>2.2999999999999998</v>
      </c>
      <c r="DB5">
        <v>2.2999999999999998</v>
      </c>
      <c r="DC5">
        <v>2.2999999999999998</v>
      </c>
      <c r="DD5">
        <v>2.2999999999999998</v>
      </c>
      <c r="DE5">
        <v>2.2999999999999998</v>
      </c>
      <c r="DF5">
        <v>2.2999999999999998</v>
      </c>
      <c r="DG5">
        <v>2.2999999999999998</v>
      </c>
      <c r="DH5">
        <v>2.2999999999999998</v>
      </c>
      <c r="DI5">
        <v>2.2999999999999998</v>
      </c>
      <c r="DJ5">
        <v>2.2999999999999998</v>
      </c>
      <c r="DK5">
        <v>2.2999999999999998</v>
      </c>
      <c r="DL5">
        <v>2.2999999999999998</v>
      </c>
      <c r="DM5">
        <v>2.2999999999999998</v>
      </c>
      <c r="DN5">
        <v>2.2999999999999998</v>
      </c>
      <c r="DO5">
        <v>2.2999999999999998</v>
      </c>
      <c r="DP5">
        <v>2.2999999999999998</v>
      </c>
      <c r="DQ5">
        <v>2.2999999999999998</v>
      </c>
      <c r="DR5">
        <v>2.2999999999999998</v>
      </c>
      <c r="DS5">
        <v>2.2999999999999998</v>
      </c>
      <c r="DT5">
        <v>2.2999999999999998</v>
      </c>
      <c r="DU5">
        <v>2.2999999999999998</v>
      </c>
      <c r="DV5">
        <v>2.2999999999999998</v>
      </c>
      <c r="DW5">
        <v>2.2999999999999998</v>
      </c>
      <c r="DX5">
        <v>2.2999999999999998</v>
      </c>
      <c r="DY5">
        <v>2.2999999999999998</v>
      </c>
      <c r="DZ5">
        <v>2.2999999999999998</v>
      </c>
      <c r="EA5">
        <v>2.2999999999999998</v>
      </c>
      <c r="EB5">
        <v>2.2999999999999998</v>
      </c>
      <c r="EC5">
        <v>2.2999999999999998</v>
      </c>
      <c r="ED5">
        <v>2.2999999999999998</v>
      </c>
      <c r="EE5">
        <v>2.2999999999999998</v>
      </c>
      <c r="EF5">
        <v>2.2999999999999998</v>
      </c>
      <c r="EG5">
        <v>2.2999999999999998</v>
      </c>
      <c r="EH5">
        <v>2.2999999999999998</v>
      </c>
      <c r="EI5">
        <v>2.2999999999999998</v>
      </c>
      <c r="EJ5">
        <v>2.2999999999999998</v>
      </c>
      <c r="EK5">
        <v>2.2999999999999998</v>
      </c>
      <c r="EL5">
        <v>2.2999999999999998</v>
      </c>
      <c r="EM5">
        <v>2.2999999999999998</v>
      </c>
      <c r="EN5">
        <v>2.2999999999999998</v>
      </c>
      <c r="EO5">
        <v>2.2999999999999998</v>
      </c>
      <c r="EP5">
        <v>2.2999999999999998</v>
      </c>
      <c r="EQ5">
        <v>2.2999999999999998</v>
      </c>
      <c r="ER5">
        <v>2.2999999999999998</v>
      </c>
      <c r="ES5">
        <v>2.2999999999999998</v>
      </c>
      <c r="ET5">
        <v>2.2999999999999998</v>
      </c>
      <c r="EU5">
        <v>2.2999999999999998</v>
      </c>
      <c r="EV5">
        <v>2.2999999999999998</v>
      </c>
      <c r="EW5">
        <v>2.2999999999999998</v>
      </c>
      <c r="EX5">
        <v>2.2999999999999998</v>
      </c>
      <c r="EY5">
        <v>2.2999999999999998</v>
      </c>
      <c r="EZ5">
        <v>2.2999999999999998</v>
      </c>
      <c r="FB5">
        <v>7</v>
      </c>
      <c r="FC5">
        <v>7</v>
      </c>
      <c r="FD5">
        <v>7</v>
      </c>
      <c r="FE5">
        <v>7</v>
      </c>
      <c r="FF5">
        <v>7</v>
      </c>
      <c r="FG5">
        <v>7</v>
      </c>
      <c r="FH5">
        <v>7</v>
      </c>
      <c r="FI5">
        <v>7</v>
      </c>
      <c r="FJ5">
        <v>7</v>
      </c>
      <c r="FK5">
        <v>7</v>
      </c>
      <c r="FL5">
        <v>7</v>
      </c>
      <c r="FM5">
        <v>7</v>
      </c>
      <c r="FN5">
        <v>7</v>
      </c>
      <c r="FO5">
        <v>7</v>
      </c>
      <c r="FP5">
        <v>7</v>
      </c>
      <c r="FQ5">
        <v>7</v>
      </c>
      <c r="FR5">
        <v>7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7</v>
      </c>
      <c r="GC5">
        <v>7</v>
      </c>
      <c r="GD5">
        <v>7</v>
      </c>
      <c r="GE5">
        <v>7</v>
      </c>
      <c r="GF5">
        <v>7</v>
      </c>
      <c r="GG5">
        <v>7</v>
      </c>
      <c r="GH5">
        <v>7</v>
      </c>
      <c r="GI5">
        <v>7</v>
      </c>
      <c r="GJ5">
        <v>7</v>
      </c>
    </row>
    <row r="6" spans="1:194" x14ac:dyDescent="0.25">
      <c r="A6" t="s">
        <v>14</v>
      </c>
      <c r="B6">
        <v>8.16</v>
      </c>
      <c r="C6">
        <v>8.31</v>
      </c>
      <c r="D6">
        <v>9.86</v>
      </c>
      <c r="E6">
        <v>9.84</v>
      </c>
      <c r="F6">
        <v>6.57</v>
      </c>
      <c r="G6">
        <v>9.48</v>
      </c>
      <c r="CV6" t="s">
        <v>188</v>
      </c>
      <c r="CW6">
        <v>51.6</v>
      </c>
      <c r="CX6">
        <v>51</v>
      </c>
      <c r="CY6">
        <v>50.4</v>
      </c>
      <c r="CZ6">
        <v>49.9</v>
      </c>
      <c r="DA6">
        <v>49.3</v>
      </c>
      <c r="DB6">
        <v>48.8</v>
      </c>
      <c r="DC6">
        <v>48.3</v>
      </c>
      <c r="DD6">
        <v>47.8</v>
      </c>
      <c r="DE6">
        <v>47.3</v>
      </c>
      <c r="DF6">
        <v>46.8</v>
      </c>
      <c r="DG6">
        <v>46.4</v>
      </c>
      <c r="DH6">
        <v>45.9</v>
      </c>
      <c r="DI6">
        <v>45.5</v>
      </c>
      <c r="DJ6">
        <v>45</v>
      </c>
      <c r="DK6">
        <v>44.6</v>
      </c>
      <c r="DL6">
        <v>44.2</v>
      </c>
      <c r="DM6">
        <v>43.8</v>
      </c>
      <c r="DN6">
        <v>43.4</v>
      </c>
      <c r="DO6">
        <v>43</v>
      </c>
      <c r="DP6">
        <v>42.7</v>
      </c>
      <c r="DQ6">
        <v>42.3</v>
      </c>
      <c r="DR6">
        <v>42</v>
      </c>
      <c r="DS6">
        <v>41.6</v>
      </c>
      <c r="DT6">
        <v>41.3</v>
      </c>
      <c r="DU6">
        <v>40.9</v>
      </c>
      <c r="DV6">
        <v>40.6</v>
      </c>
      <c r="DW6">
        <v>40.299999999999997</v>
      </c>
      <c r="DX6">
        <v>40</v>
      </c>
      <c r="DY6">
        <v>39.700000000000003</v>
      </c>
      <c r="DZ6">
        <v>39.4</v>
      </c>
      <c r="EA6">
        <v>39.1</v>
      </c>
      <c r="EB6">
        <v>38.799999999999997</v>
      </c>
      <c r="EC6">
        <v>38.5</v>
      </c>
      <c r="ED6">
        <v>38.200000000000003</v>
      </c>
      <c r="EE6">
        <v>38</v>
      </c>
      <c r="EF6">
        <v>37.700000000000003</v>
      </c>
      <c r="EG6">
        <v>37.4</v>
      </c>
      <c r="EH6">
        <v>37.200000000000003</v>
      </c>
      <c r="EI6">
        <v>36.9</v>
      </c>
      <c r="EJ6">
        <v>36.700000000000003</v>
      </c>
      <c r="EK6">
        <v>36.4</v>
      </c>
      <c r="EL6">
        <v>34.24</v>
      </c>
      <c r="EM6">
        <v>32.4</v>
      </c>
      <c r="EN6">
        <v>30.8</v>
      </c>
      <c r="EO6">
        <v>29.4</v>
      </c>
      <c r="EP6">
        <v>28.2</v>
      </c>
      <c r="EQ6">
        <v>27.1</v>
      </c>
      <c r="ER6">
        <v>26.1</v>
      </c>
      <c r="ES6">
        <v>25.3</v>
      </c>
      <c r="ET6">
        <v>19.239999999999998</v>
      </c>
      <c r="EU6">
        <v>15</v>
      </c>
      <c r="EV6">
        <v>11.4</v>
      </c>
      <c r="EW6">
        <v>11.22</v>
      </c>
      <c r="EX6">
        <v>11.16</v>
      </c>
      <c r="EY6">
        <v>11.13</v>
      </c>
      <c r="EZ6">
        <v>11.1</v>
      </c>
      <c r="FB6">
        <v>51.6</v>
      </c>
      <c r="FC6">
        <v>51</v>
      </c>
      <c r="FD6">
        <v>50.4</v>
      </c>
      <c r="FE6">
        <v>49.9</v>
      </c>
      <c r="FF6">
        <v>49.3</v>
      </c>
      <c r="FG6">
        <v>48.8</v>
      </c>
      <c r="FH6">
        <v>48.3</v>
      </c>
      <c r="FI6">
        <v>47.8</v>
      </c>
      <c r="FJ6">
        <v>47.3</v>
      </c>
      <c r="FK6">
        <v>46.8</v>
      </c>
      <c r="FL6">
        <v>46.4</v>
      </c>
      <c r="FM6">
        <v>42.3</v>
      </c>
      <c r="FN6">
        <v>39.1</v>
      </c>
      <c r="FO6">
        <v>36.4</v>
      </c>
      <c r="FP6">
        <v>34.200000000000003</v>
      </c>
      <c r="FQ6">
        <v>32.4</v>
      </c>
      <c r="FR6">
        <v>30.8</v>
      </c>
      <c r="FS6">
        <v>29.4</v>
      </c>
      <c r="FT6">
        <v>28.2</v>
      </c>
      <c r="FU6">
        <v>27.1</v>
      </c>
      <c r="FV6">
        <v>26.1</v>
      </c>
      <c r="FW6">
        <v>25.3</v>
      </c>
      <c r="FX6">
        <v>21.1</v>
      </c>
      <c r="FY6">
        <v>18</v>
      </c>
      <c r="FZ6">
        <v>16.100000000000001</v>
      </c>
      <c r="GA6">
        <v>15</v>
      </c>
      <c r="GB6">
        <v>14.2</v>
      </c>
      <c r="GC6">
        <v>13.7</v>
      </c>
      <c r="GD6">
        <v>13.3</v>
      </c>
      <c r="GE6">
        <v>13</v>
      </c>
      <c r="GF6">
        <v>12.7</v>
      </c>
      <c r="GG6">
        <v>11.4</v>
      </c>
      <c r="GH6">
        <v>11.2</v>
      </c>
      <c r="GI6">
        <v>11.2</v>
      </c>
      <c r="GJ6">
        <v>11.1</v>
      </c>
    </row>
    <row r="7" spans="1:194" x14ac:dyDescent="0.25">
      <c r="A7" t="s">
        <v>16</v>
      </c>
      <c r="B7">
        <f t="shared" ref="B7:H7" si="1">B5*SQRT((B3+B2)/B2)</f>
        <v>16.548143003708397</v>
      </c>
      <c r="C7">
        <f t="shared" si="1"/>
        <v>16.028086375038168</v>
      </c>
      <c r="D7">
        <f t="shared" si="1"/>
        <v>13.217098620161126</v>
      </c>
      <c r="E7">
        <f t="shared" si="1"/>
        <v>11.839054578666619</v>
      </c>
      <c r="F7">
        <f t="shared" si="1"/>
        <v>7.9329951594722274</v>
      </c>
      <c r="G7">
        <f t="shared" si="1"/>
        <v>17.4067219838286</v>
      </c>
      <c r="H7">
        <f t="shared" si="1"/>
        <v>13.697876534699995</v>
      </c>
      <c r="CV7" t="s">
        <v>189</v>
      </c>
      <c r="CW7">
        <f t="shared" ref="CW7:EB7" si="2">(10^(-9)/(2*PI()))/SQRT(CW4*10^(-24)*(CW5+CW6))</f>
        <v>4.126398890447585</v>
      </c>
      <c r="CX7">
        <f t="shared" si="2"/>
        <v>4.1495594028786504</v>
      </c>
      <c r="CY7">
        <f t="shared" si="2"/>
        <v>4.1731143285300476</v>
      </c>
      <c r="CZ7">
        <f t="shared" si="2"/>
        <v>4.1930528764882853</v>
      </c>
      <c r="DA7">
        <f t="shared" si="2"/>
        <v>4.2173606330308795</v>
      </c>
      <c r="DB7">
        <f t="shared" si="2"/>
        <v>4.2379432864476412</v>
      </c>
      <c r="DC7">
        <f t="shared" si="2"/>
        <v>4.2588302699809244</v>
      </c>
      <c r="DD7">
        <f t="shared" si="2"/>
        <v>4.2800291579080127</v>
      </c>
      <c r="DE7">
        <f t="shared" si="2"/>
        <v>4.3015477910769757</v>
      </c>
      <c r="DF7">
        <f t="shared" si="2"/>
        <v>4.3233942890914934</v>
      </c>
      <c r="DG7">
        <f t="shared" si="2"/>
        <v>4.3411131923974571</v>
      </c>
      <c r="DH7">
        <f t="shared" si="2"/>
        <v>4.3635712480790421</v>
      </c>
      <c r="DI7">
        <f t="shared" si="2"/>
        <v>4.3817908314898739</v>
      </c>
      <c r="DJ7">
        <f t="shared" si="2"/>
        <v>4.4048895199071207</v>
      </c>
      <c r="DK7">
        <f t="shared" si="2"/>
        <v>4.4236338153045658</v>
      </c>
      <c r="DL7">
        <f t="shared" si="2"/>
        <v>4.4426194554017142</v>
      </c>
      <c r="DM7">
        <f t="shared" si="2"/>
        <v>4.4618516641663142</v>
      </c>
      <c r="DN7">
        <f t="shared" si="2"/>
        <v>4.481335825252966</v>
      </c>
      <c r="DO7">
        <f t="shared" si="2"/>
        <v>4.5010774883344329</v>
      </c>
      <c r="DP7">
        <f t="shared" si="2"/>
        <v>4.5160561569837627</v>
      </c>
      <c r="DQ7">
        <f t="shared" si="2"/>
        <v>4.5362623257024373</v>
      </c>
      <c r="DR7">
        <f t="shared" si="2"/>
        <v>4.5515962139123207</v>
      </c>
      <c r="DS7">
        <f t="shared" si="2"/>
        <v>4.5722853942357453</v>
      </c>
      <c r="DT7">
        <f t="shared" si="2"/>
        <v>4.5879887675190059</v>
      </c>
      <c r="DU7">
        <f t="shared" si="2"/>
        <v>4.6091805143185605</v>
      </c>
      <c r="DV7">
        <f t="shared" si="2"/>
        <v>4.6252684533351234</v>
      </c>
      <c r="DW7">
        <f t="shared" si="2"/>
        <v>4.6415260375685783</v>
      </c>
      <c r="DX7">
        <f t="shared" si="2"/>
        <v>4.6579562696108896</v>
      </c>
      <c r="DY7">
        <f t="shared" si="2"/>
        <v>4.6745622269857243</v>
      </c>
      <c r="DZ7">
        <f t="shared" si="2"/>
        <v>4.6913470645699658</v>
      </c>
      <c r="EA7">
        <f t="shared" si="2"/>
        <v>4.7083140171115705</v>
      </c>
      <c r="EB7">
        <f t="shared" si="2"/>
        <v>4.7254664018483297</v>
      </c>
      <c r="EC7">
        <f t="shared" ref="EC7:EZ7" si="3">(10^(-9)/(2*PI()))/SQRT(EC4*10^(-24)*(EC5+EC6))</f>
        <v>4.742807621232326</v>
      </c>
      <c r="ED7">
        <f t="shared" si="3"/>
        <v>4.7603411657652055</v>
      </c>
      <c r="EE7">
        <f t="shared" si="3"/>
        <v>4.7721388075651987</v>
      </c>
      <c r="EF7">
        <f t="shared" si="3"/>
        <v>4.7900008992337177</v>
      </c>
      <c r="EG7">
        <f t="shared" si="3"/>
        <v>4.8080650773539189</v>
      </c>
      <c r="EH7">
        <f t="shared" si="3"/>
        <v>4.8202220248942647</v>
      </c>
      <c r="EI7">
        <f t="shared" si="3"/>
        <v>4.8386315967683169</v>
      </c>
      <c r="EJ7">
        <f t="shared" si="3"/>
        <v>4.8510224790201484</v>
      </c>
      <c r="EK7">
        <f t="shared" si="3"/>
        <v>4.8697885935002176</v>
      </c>
      <c r="EL7">
        <f t="shared" si="3"/>
        <v>5.0116567584306724</v>
      </c>
      <c r="EM7">
        <f t="shared" si="3"/>
        <v>5.1428144230381863</v>
      </c>
      <c r="EN7">
        <f t="shared" si="3"/>
        <v>5.2656452096499198</v>
      </c>
      <c r="EO7">
        <f t="shared" si="3"/>
        <v>5.3806650714905251</v>
      </c>
      <c r="EP7">
        <f t="shared" si="3"/>
        <v>5.4854930725263147</v>
      </c>
      <c r="EQ7">
        <f t="shared" si="3"/>
        <v>5.5871705098072333</v>
      </c>
      <c r="ER7">
        <f t="shared" si="3"/>
        <v>5.6846852099426393</v>
      </c>
      <c r="ES7">
        <f t="shared" si="3"/>
        <v>5.7664834453585261</v>
      </c>
      <c r="ET7">
        <f t="shared" si="3"/>
        <v>6.5274377851010952</v>
      </c>
      <c r="EU7">
        <f t="shared" si="3"/>
        <v>7.2835404931132492</v>
      </c>
      <c r="EV7">
        <f t="shared" si="3"/>
        <v>8.1847478974609942</v>
      </c>
      <c r="EW7">
        <f t="shared" si="3"/>
        <v>8.2390520176705468</v>
      </c>
      <c r="EX7">
        <f t="shared" si="3"/>
        <v>8.2573950133272245</v>
      </c>
      <c r="EY7">
        <f t="shared" si="3"/>
        <v>8.2666125734212557</v>
      </c>
      <c r="EZ7">
        <f t="shared" si="3"/>
        <v>8.2758610707086611</v>
      </c>
      <c r="FB7">
        <f t="shared" ref="FB7:GJ7" si="4">(10^(-9)/(2*PI()))/SQRT(FB4*10^(-24)*(FB5+FB6))</f>
        <v>3.802206758445398</v>
      </c>
      <c r="FC7">
        <f t="shared" si="4"/>
        <v>3.821822744654785</v>
      </c>
      <c r="FD7">
        <f t="shared" si="4"/>
        <v>3.8417455003852421</v>
      </c>
      <c r="FE7">
        <f t="shared" si="4"/>
        <v>3.8585879550963598</v>
      </c>
      <c r="FF7">
        <f t="shared" si="4"/>
        <v>3.8790943242444791</v>
      </c>
      <c r="FG7">
        <f t="shared" si="4"/>
        <v>3.896435020089501</v>
      </c>
      <c r="FH7">
        <f t="shared" si="4"/>
        <v>3.9140103687337695</v>
      </c>
      <c r="FI7">
        <f t="shared" si="4"/>
        <v>3.9318257105414935</v>
      </c>
      <c r="FJ7">
        <f t="shared" si="4"/>
        <v>3.9498865575954505</v>
      </c>
      <c r="FK7">
        <f t="shared" si="4"/>
        <v>3.9681986008620096</v>
      </c>
      <c r="FL7">
        <f t="shared" si="4"/>
        <v>3.9830330398863318</v>
      </c>
      <c r="FM7">
        <f t="shared" si="4"/>
        <v>4.1453487884985778</v>
      </c>
      <c r="FN7">
        <f t="shared" si="4"/>
        <v>4.2868084172106453</v>
      </c>
      <c r="FO7">
        <f t="shared" si="4"/>
        <v>4.4181420269484777</v>
      </c>
      <c r="FP7">
        <f t="shared" si="4"/>
        <v>4.5345681100221675</v>
      </c>
      <c r="FQ7">
        <f t="shared" si="4"/>
        <v>4.6369928535223313</v>
      </c>
      <c r="FR7">
        <f t="shared" si="4"/>
        <v>4.7341131911507386</v>
      </c>
      <c r="FS7">
        <f t="shared" si="4"/>
        <v>4.8242948790428688</v>
      </c>
      <c r="FT7">
        <f t="shared" si="4"/>
        <v>4.9058380322422206</v>
      </c>
      <c r="FU7">
        <f t="shared" si="4"/>
        <v>4.9843364250970126</v>
      </c>
      <c r="FV7">
        <f t="shared" si="4"/>
        <v>5.0590682760830568</v>
      </c>
      <c r="FW7">
        <f t="shared" si="4"/>
        <v>5.1213360755244342</v>
      </c>
      <c r="FX7">
        <f t="shared" si="4"/>
        <v>5.4907462991912537</v>
      </c>
      <c r="FY7">
        <f t="shared" si="4"/>
        <v>5.8212269748241789</v>
      </c>
      <c r="FZ7">
        <f t="shared" si="4"/>
        <v>6.0558979419712937</v>
      </c>
      <c r="GA7">
        <f t="shared" si="4"/>
        <v>6.2054488055055907</v>
      </c>
      <c r="GB7">
        <f t="shared" si="4"/>
        <v>6.3214485417181407</v>
      </c>
      <c r="GC7">
        <f t="shared" si="4"/>
        <v>6.3973389973398209</v>
      </c>
      <c r="GD7">
        <f t="shared" si="4"/>
        <v>6.4600595069264166</v>
      </c>
      <c r="GE7">
        <f t="shared" si="4"/>
        <v>6.5083296140811608</v>
      </c>
      <c r="GF7">
        <f t="shared" si="4"/>
        <v>6.5576981820783997</v>
      </c>
      <c r="GG7">
        <f t="shared" si="4"/>
        <v>6.7854026798522042</v>
      </c>
      <c r="GH7">
        <f t="shared" si="4"/>
        <v>6.8225832468294954</v>
      </c>
      <c r="GI7">
        <f t="shared" si="4"/>
        <v>6.8225832468294954</v>
      </c>
      <c r="GJ7">
        <f t="shared" si="4"/>
        <v>6.8414042018886514</v>
      </c>
    </row>
    <row r="8" spans="1:194" x14ac:dyDescent="0.25">
      <c r="CV8" t="s">
        <v>190</v>
      </c>
      <c r="CW8">
        <v>4.125</v>
      </c>
      <c r="CX8">
        <v>4.1520000000000001</v>
      </c>
      <c r="CY8">
        <v>4.1749999999999998</v>
      </c>
      <c r="CZ8">
        <v>4.2</v>
      </c>
      <c r="DA8">
        <v>4.2190000000000003</v>
      </c>
      <c r="DB8">
        <v>4.2249999999999996</v>
      </c>
      <c r="DC8">
        <v>4.25</v>
      </c>
      <c r="DD8">
        <v>4.2750000000000004</v>
      </c>
      <c r="DE8">
        <v>4.3</v>
      </c>
      <c r="DF8">
        <v>4.3259999999999996</v>
      </c>
      <c r="DG8">
        <v>4.3499999999999996</v>
      </c>
      <c r="DH8">
        <v>4.3499999999999996</v>
      </c>
      <c r="DI8">
        <v>4.375</v>
      </c>
      <c r="DJ8">
        <v>4.4000000000000004</v>
      </c>
      <c r="DK8">
        <v>4.4269999999999996</v>
      </c>
      <c r="DL8">
        <v>4.4459999999999997</v>
      </c>
      <c r="DM8">
        <v>4.45</v>
      </c>
      <c r="DN8">
        <v>4.4749999999999996</v>
      </c>
      <c r="DO8">
        <v>4.5030000000000001</v>
      </c>
      <c r="DP8">
        <v>4.5220000000000002</v>
      </c>
      <c r="DQ8">
        <v>4.5250000000000004</v>
      </c>
      <c r="DR8">
        <v>4.55</v>
      </c>
      <c r="DS8">
        <v>4.577</v>
      </c>
      <c r="DT8">
        <v>4.5999999999999996</v>
      </c>
      <c r="DU8">
        <v>4.6120000000000001</v>
      </c>
      <c r="DV8">
        <v>4.63</v>
      </c>
      <c r="DW8">
        <v>4.6470000000000002</v>
      </c>
      <c r="DX8">
        <v>4.6500000000000004</v>
      </c>
      <c r="DY8">
        <v>4.68</v>
      </c>
      <c r="DZ8">
        <v>4.6980000000000004</v>
      </c>
      <c r="EA8">
        <v>4.7</v>
      </c>
      <c r="EB8">
        <v>4.7309999999999999</v>
      </c>
      <c r="EC8">
        <v>4.7480000000000002</v>
      </c>
      <c r="ED8">
        <v>4.75</v>
      </c>
      <c r="EE8">
        <v>4.78</v>
      </c>
      <c r="EF8">
        <v>4.7960000000000003</v>
      </c>
      <c r="EG8">
        <v>4.8</v>
      </c>
      <c r="EH8">
        <v>4.827</v>
      </c>
      <c r="EI8">
        <v>4.843</v>
      </c>
      <c r="EJ8">
        <v>4.8499999999999996</v>
      </c>
      <c r="EK8">
        <v>4.8730000000000002</v>
      </c>
      <c r="EL8">
        <v>5</v>
      </c>
      <c r="EM8">
        <v>5.15</v>
      </c>
      <c r="EN8">
        <v>5.2750000000000004</v>
      </c>
      <c r="EO8">
        <v>5.4</v>
      </c>
      <c r="EP8">
        <v>5.5</v>
      </c>
      <c r="EQ8">
        <v>5.6</v>
      </c>
      <c r="ER8">
        <v>5.7</v>
      </c>
      <c r="ES8">
        <v>5.78</v>
      </c>
      <c r="ET8">
        <v>6.55</v>
      </c>
      <c r="EU8">
        <v>7.3</v>
      </c>
      <c r="EV8">
        <v>8.2249999999999996</v>
      </c>
      <c r="EW8">
        <v>8.2750000000000004</v>
      </c>
      <c r="EX8">
        <v>8.3000000000000007</v>
      </c>
      <c r="EY8">
        <v>8.3249999999999993</v>
      </c>
      <c r="EZ8">
        <v>8.35</v>
      </c>
      <c r="FB8">
        <v>3.8</v>
      </c>
      <c r="FC8">
        <v>3.8250000000000002</v>
      </c>
      <c r="FD8">
        <v>3.85</v>
      </c>
      <c r="FE8">
        <v>3.875</v>
      </c>
      <c r="FF8">
        <v>3.887</v>
      </c>
      <c r="FG8">
        <v>3.9060000000000001</v>
      </c>
      <c r="FH8">
        <v>3.9249999999999998</v>
      </c>
      <c r="FI8">
        <v>3.95</v>
      </c>
      <c r="FJ8">
        <v>3.96</v>
      </c>
      <c r="FK8">
        <v>3.9750000000000001</v>
      </c>
      <c r="FL8">
        <v>4</v>
      </c>
      <c r="FM8">
        <v>4.1500000000000004</v>
      </c>
      <c r="FN8">
        <v>4.3</v>
      </c>
      <c r="FO8">
        <v>4.4249999999999998</v>
      </c>
      <c r="FP8">
        <v>4.55</v>
      </c>
      <c r="FQ8">
        <v>4.6500000000000004</v>
      </c>
      <c r="FR8">
        <v>4.75</v>
      </c>
      <c r="FS8">
        <v>4.8499999999999996</v>
      </c>
      <c r="FT8">
        <v>4.9249999999999998</v>
      </c>
      <c r="FU8">
        <v>5</v>
      </c>
      <c r="FV8">
        <v>5.0750000000000002</v>
      </c>
      <c r="FW8">
        <v>5.15</v>
      </c>
      <c r="FX8">
        <v>5.5250000000000004</v>
      </c>
      <c r="FY8">
        <v>5.875</v>
      </c>
      <c r="FZ8">
        <v>6.1</v>
      </c>
      <c r="GA8">
        <v>6.25</v>
      </c>
      <c r="GB8">
        <v>6.35</v>
      </c>
      <c r="GC8">
        <v>6.45</v>
      </c>
      <c r="GD8">
        <v>6.5</v>
      </c>
      <c r="GE8">
        <v>6.55</v>
      </c>
      <c r="GF8">
        <v>6.5750000000000002</v>
      </c>
      <c r="GG8">
        <v>6.8250000000000002</v>
      </c>
      <c r="GH8">
        <v>6.85</v>
      </c>
      <c r="GI8">
        <v>6.85</v>
      </c>
      <c r="GJ8">
        <v>6.875</v>
      </c>
      <c r="GK8">
        <v>4.0250000000000004</v>
      </c>
      <c r="GL8">
        <v>4.0289999999999999</v>
      </c>
    </row>
    <row r="9" spans="1:194" x14ac:dyDescent="0.25">
      <c r="CV9" t="s">
        <v>196</v>
      </c>
      <c r="CW9">
        <v>0.01</v>
      </c>
      <c r="CX9">
        <v>1.0999999999999999E-2</v>
      </c>
      <c r="CY9">
        <v>1.2E-2</v>
      </c>
      <c r="CZ9">
        <v>1.2999999999999999E-2</v>
      </c>
      <c r="DA9">
        <v>1.4E-2</v>
      </c>
      <c r="DB9">
        <v>1.4999999999999999E-2</v>
      </c>
      <c r="DC9">
        <v>1.6E-2</v>
      </c>
      <c r="DD9">
        <v>1.7000000000000001E-2</v>
      </c>
      <c r="DE9">
        <v>1.7999999999999999E-2</v>
      </c>
      <c r="DF9">
        <v>1.9E-2</v>
      </c>
      <c r="DG9">
        <v>0.02</v>
      </c>
      <c r="DH9">
        <v>2.1000000000000001E-2</v>
      </c>
      <c r="DI9">
        <v>2.1999999999999999E-2</v>
      </c>
      <c r="DJ9">
        <v>2.3E-2</v>
      </c>
      <c r="DK9">
        <v>2.4E-2</v>
      </c>
      <c r="DL9">
        <v>2.5000000000000001E-2</v>
      </c>
      <c r="DM9">
        <v>2.5999999999999999E-2</v>
      </c>
      <c r="DN9">
        <v>2.7E-2</v>
      </c>
      <c r="DO9">
        <v>2.8000000000000001E-2</v>
      </c>
      <c r="DP9">
        <v>2.9000000000000001E-2</v>
      </c>
      <c r="DQ9">
        <v>0.03</v>
      </c>
      <c r="DR9">
        <v>3.1E-2</v>
      </c>
      <c r="DS9">
        <v>3.2000000000000001E-2</v>
      </c>
      <c r="DT9">
        <v>3.3000000000000002E-2</v>
      </c>
      <c r="DU9">
        <v>3.4000000000000002E-2</v>
      </c>
      <c r="DV9">
        <v>3.5000000000000003E-2</v>
      </c>
      <c r="DW9">
        <v>3.5999999999999997E-2</v>
      </c>
      <c r="DX9">
        <v>3.6999999999999998E-2</v>
      </c>
      <c r="DY9">
        <v>3.7999999999999999E-2</v>
      </c>
      <c r="DZ9">
        <v>3.9E-2</v>
      </c>
      <c r="EA9">
        <v>0.04</v>
      </c>
      <c r="EB9">
        <v>4.1000000000000002E-2</v>
      </c>
      <c r="EC9">
        <v>4.2000000000000003E-2</v>
      </c>
      <c r="ED9">
        <v>4.2999999999999997E-2</v>
      </c>
      <c r="EE9">
        <v>4.3999999999999997E-2</v>
      </c>
      <c r="EF9">
        <v>4.4999999999999998E-2</v>
      </c>
      <c r="EG9">
        <v>4.5999999999999999E-2</v>
      </c>
      <c r="EH9">
        <v>4.7E-2</v>
      </c>
      <c r="EI9">
        <v>4.8000000000000001E-2</v>
      </c>
      <c r="EJ9">
        <v>4.9000000000000002E-2</v>
      </c>
      <c r="EK9">
        <v>0.05</v>
      </c>
      <c r="EL9">
        <v>0.06</v>
      </c>
      <c r="EM9">
        <v>7.0000000000000007E-2</v>
      </c>
      <c r="EN9">
        <v>0.08</v>
      </c>
      <c r="EO9">
        <v>0.09</v>
      </c>
      <c r="EP9">
        <v>0.1</v>
      </c>
      <c r="EQ9">
        <v>0.11</v>
      </c>
      <c r="ER9">
        <v>0.12</v>
      </c>
      <c r="ES9">
        <v>0.13</v>
      </c>
      <c r="ET9">
        <v>0.25</v>
      </c>
      <c r="EU9">
        <v>0.5</v>
      </c>
      <c r="EV9">
        <v>5</v>
      </c>
      <c r="EW9">
        <v>10</v>
      </c>
      <c r="EX9">
        <v>14</v>
      </c>
      <c r="EY9">
        <v>18</v>
      </c>
      <c r="EZ9">
        <v>20</v>
      </c>
      <c r="FB9">
        <v>0.01</v>
      </c>
      <c r="FC9">
        <v>1.0999999999999999E-2</v>
      </c>
      <c r="FD9">
        <v>1.2E-2</v>
      </c>
      <c r="FE9">
        <v>1.2999999999999999E-2</v>
      </c>
      <c r="FF9">
        <v>1.4E-2</v>
      </c>
      <c r="FG9">
        <v>1.4999999999999999E-2</v>
      </c>
      <c r="FH9">
        <v>1.6E-2</v>
      </c>
      <c r="FI9">
        <v>1.7000000000000001E-2</v>
      </c>
      <c r="FJ9">
        <v>1.7999999999999999E-2</v>
      </c>
      <c r="FK9">
        <v>1.9E-2</v>
      </c>
      <c r="FL9">
        <v>0.02</v>
      </c>
      <c r="FM9">
        <v>0.03</v>
      </c>
      <c r="FN9">
        <v>0.04</v>
      </c>
      <c r="FO9">
        <v>0.05</v>
      </c>
      <c r="FP9">
        <v>0.06</v>
      </c>
      <c r="FQ9">
        <v>7.0000000000000007E-2</v>
      </c>
      <c r="FR9">
        <v>0.08</v>
      </c>
      <c r="FS9">
        <v>0.09</v>
      </c>
      <c r="FT9">
        <v>0.1</v>
      </c>
      <c r="FU9">
        <v>0.11</v>
      </c>
      <c r="FV9">
        <v>0.12</v>
      </c>
      <c r="FW9">
        <v>0.13</v>
      </c>
      <c r="FX9">
        <v>0.2</v>
      </c>
      <c r="FY9">
        <v>0.3</v>
      </c>
      <c r="FZ9">
        <v>0.4</v>
      </c>
      <c r="GA9">
        <v>0.5</v>
      </c>
      <c r="GB9">
        <v>0.6</v>
      </c>
      <c r="GC9">
        <v>0.7</v>
      </c>
      <c r="GD9">
        <v>0.8</v>
      </c>
      <c r="GE9">
        <v>0.9</v>
      </c>
      <c r="GF9">
        <v>1</v>
      </c>
      <c r="GG9">
        <v>5</v>
      </c>
      <c r="GH9">
        <v>10</v>
      </c>
      <c r="GI9">
        <v>14</v>
      </c>
      <c r="GJ9">
        <v>20</v>
      </c>
      <c r="GK9">
        <v>2.1000000000000001E-2</v>
      </c>
      <c r="GL9">
        <v>2.1999999999999999E-2</v>
      </c>
    </row>
    <row r="10" spans="1:194" x14ac:dyDescent="0.25">
      <c r="CV10" t="s">
        <v>197</v>
      </c>
      <c r="CX10">
        <f t="shared" ref="CX10:EA10" si="5">(CX7-CW7)/(CX9-CW9)</f>
        <v>23.160512431065449</v>
      </c>
      <c r="CY10">
        <f t="shared" si="5"/>
        <v>23.554925651397141</v>
      </c>
      <c r="CZ10">
        <f t="shared" si="5"/>
        <v>19.938547958237702</v>
      </c>
      <c r="DA10">
        <f t="shared" si="5"/>
        <v>24.307756542594184</v>
      </c>
      <c r="DB10">
        <f t="shared" si="5"/>
        <v>20.582653416761705</v>
      </c>
      <c r="DC10">
        <f t="shared" si="5"/>
        <v>20.886983533283203</v>
      </c>
      <c r="DD10">
        <f t="shared" si="5"/>
        <v>21.198887927088332</v>
      </c>
      <c r="DE10">
        <f t="shared" si="5"/>
        <v>21.518633168963021</v>
      </c>
      <c r="DF10">
        <f t="shared" si="5"/>
        <v>21.846498014517639</v>
      </c>
      <c r="DG10">
        <f t="shared" si="5"/>
        <v>17.718903305963693</v>
      </c>
      <c r="DH10">
        <f t="shared" si="5"/>
        <v>22.458055681584966</v>
      </c>
      <c r="DI10">
        <f t="shared" si="5"/>
        <v>18.219583410831898</v>
      </c>
      <c r="DJ10">
        <f t="shared" si="5"/>
        <v>23.098688417246805</v>
      </c>
      <c r="DK10">
        <f t="shared" si="5"/>
        <v>18.744295397445025</v>
      </c>
      <c r="DL10">
        <f t="shared" si="5"/>
        <v>18.985640097148409</v>
      </c>
      <c r="DM10">
        <f t="shared" si="5"/>
        <v>19.232208764600017</v>
      </c>
      <c r="DN10">
        <f t="shared" si="5"/>
        <v>19.484161086651834</v>
      </c>
      <c r="DO10">
        <f t="shared" si="5"/>
        <v>19.741663081466836</v>
      </c>
      <c r="DP10">
        <f t="shared" si="5"/>
        <v>14.978668649329828</v>
      </c>
      <c r="DQ10">
        <f t="shared" si="5"/>
        <v>20.206168718674586</v>
      </c>
      <c r="DR10">
        <f t="shared" si="5"/>
        <v>15.333888209883447</v>
      </c>
      <c r="DS10">
        <f t="shared" si="5"/>
        <v>20.689180323424576</v>
      </c>
      <c r="DT10">
        <f t="shared" si="5"/>
        <v>15.703373283260532</v>
      </c>
      <c r="DU10">
        <f t="shared" si="5"/>
        <v>21.191746799554583</v>
      </c>
      <c r="DV10">
        <f t="shared" si="5"/>
        <v>16.087939016562899</v>
      </c>
      <c r="DW10">
        <f t="shared" si="5"/>
        <v>16.257584233455013</v>
      </c>
      <c r="DX10">
        <f t="shared" si="5"/>
        <v>16.430232042311296</v>
      </c>
      <c r="DY10">
        <f t="shared" si="5"/>
        <v>16.605957374834709</v>
      </c>
      <c r="DZ10">
        <f t="shared" si="5"/>
        <v>16.784837584241416</v>
      </c>
      <c r="EA10">
        <f t="shared" si="5"/>
        <v>16.966952541604726</v>
      </c>
      <c r="EB10">
        <f t="shared" ref="EB10:EZ10" si="6">(EB8-EA8)/(EB9-EA9)</f>
        <v>30.999999999999666</v>
      </c>
      <c r="EC10">
        <f t="shared" si="6"/>
        <v>17.000000000000334</v>
      </c>
      <c r="ED10">
        <f t="shared" si="6"/>
        <v>1.9999999999997917</v>
      </c>
      <c r="EE10">
        <f t="shared" si="6"/>
        <v>30.00000000000022</v>
      </c>
      <c r="EF10">
        <f t="shared" si="6"/>
        <v>16</v>
      </c>
      <c r="EG10">
        <f t="shared" si="6"/>
        <v>3.9999999999995559</v>
      </c>
      <c r="EH10">
        <f t="shared" si="6"/>
        <v>27.00000000000011</v>
      </c>
      <c r="EI10">
        <f t="shared" si="6"/>
        <v>16</v>
      </c>
      <c r="EJ10">
        <f t="shared" si="6"/>
        <v>6.9999999999996669</v>
      </c>
      <c r="EK10">
        <f t="shared" si="6"/>
        <v>23.000000000000554</v>
      </c>
      <c r="EL10">
        <f t="shared" si="6"/>
        <v>12.699999999999985</v>
      </c>
      <c r="EM10">
        <f t="shared" si="6"/>
        <v>15.000000000000021</v>
      </c>
      <c r="EN10">
        <f t="shared" si="6"/>
        <v>12.500000000000007</v>
      </c>
      <c r="EO10">
        <f t="shared" si="6"/>
        <v>12.500000000000007</v>
      </c>
      <c r="EP10">
        <f t="shared" si="6"/>
        <v>9.9999999999999556</v>
      </c>
      <c r="EQ10">
        <f t="shared" si="6"/>
        <v>9.9999999999999698</v>
      </c>
      <c r="ER10">
        <f t="shared" si="6"/>
        <v>10.000000000000059</v>
      </c>
      <c r="ES10">
        <f t="shared" si="6"/>
        <v>8</v>
      </c>
      <c r="ET10">
        <f t="shared" si="6"/>
        <v>6.4166666666666634</v>
      </c>
      <c r="EU10">
        <f t="shared" si="6"/>
        <v>3</v>
      </c>
      <c r="EV10">
        <f t="shared" si="6"/>
        <v>0.20555555555555552</v>
      </c>
      <c r="EW10">
        <f t="shared" si="6"/>
        <v>1.0000000000000142E-2</v>
      </c>
      <c r="EX10">
        <f t="shared" si="6"/>
        <v>6.2500000000000888E-3</v>
      </c>
      <c r="EY10">
        <f t="shared" si="6"/>
        <v>6.2499999999996447E-3</v>
      </c>
      <c r="EZ10">
        <f t="shared" si="6"/>
        <v>1.2500000000000178E-2</v>
      </c>
      <c r="FC10">
        <f>(FC7-FB7)/(FC9-FB9)</f>
        <v>19.615986209387</v>
      </c>
      <c r="FD10">
        <f t="shared" ref="FD10:FK10" si="7">(FD8-FC8)/(FD9-FC9)</f>
        <v>24.99999999999989</v>
      </c>
      <c r="FE10">
        <f t="shared" si="7"/>
        <v>24.999999999999932</v>
      </c>
      <c r="FF10">
        <f t="shared" si="7"/>
        <v>12</v>
      </c>
      <c r="FG10">
        <f t="shared" si="7"/>
        <v>19.000000000000146</v>
      </c>
      <c r="FH10">
        <f t="shared" si="7"/>
        <v>18.999999999999666</v>
      </c>
      <c r="FI10">
        <f t="shared" si="7"/>
        <v>25.000000000000334</v>
      </c>
      <c r="FJ10">
        <f t="shared" si="7"/>
        <v>9.9999999999998135</v>
      </c>
      <c r="FK10">
        <f t="shared" si="7"/>
        <v>15.00000000000011</v>
      </c>
      <c r="FL10">
        <f t="shared" ref="FL10:GJ10" si="8">(FL7-FK7)/(FL9-FK9)</f>
        <v>14.834439024322231</v>
      </c>
      <c r="FM10">
        <f t="shared" si="8"/>
        <v>16.231574861224598</v>
      </c>
      <c r="FN10">
        <f t="shared" si="8"/>
        <v>14.145962871206748</v>
      </c>
      <c r="FO10">
        <f t="shared" si="8"/>
        <v>13.133360973783235</v>
      </c>
      <c r="FP10">
        <f t="shared" si="8"/>
        <v>11.64260830736899</v>
      </c>
      <c r="FQ10">
        <f t="shared" si="8"/>
        <v>10.242474350016364</v>
      </c>
      <c r="FR10">
        <f t="shared" si="8"/>
        <v>9.712033762840738</v>
      </c>
      <c r="FS10">
        <f t="shared" si="8"/>
        <v>9.0181687892130267</v>
      </c>
      <c r="FT10">
        <f t="shared" si="8"/>
        <v>8.1543153199351721</v>
      </c>
      <c r="FU10">
        <f t="shared" si="8"/>
        <v>7.8498392854792023</v>
      </c>
      <c r="FV10">
        <f t="shared" si="8"/>
        <v>7.4731850986044215</v>
      </c>
      <c r="FW10">
        <f t="shared" si="8"/>
        <v>6.2267799441377338</v>
      </c>
      <c r="FX10">
        <f t="shared" si="8"/>
        <v>5.2772889095259927</v>
      </c>
      <c r="FY10">
        <f t="shared" si="8"/>
        <v>3.3048067563292536</v>
      </c>
      <c r="FZ10">
        <f t="shared" si="8"/>
        <v>2.3467096714711468</v>
      </c>
      <c r="GA10">
        <f t="shared" si="8"/>
        <v>1.4955086353429705</v>
      </c>
      <c r="GB10">
        <f t="shared" si="8"/>
        <v>1.1599973621255002</v>
      </c>
      <c r="GC10">
        <f t="shared" si="8"/>
        <v>0.75890455621680197</v>
      </c>
      <c r="GD10">
        <f t="shared" si="8"/>
        <v>0.62720509586595641</v>
      </c>
      <c r="GE10">
        <f t="shared" si="8"/>
        <v>0.48270107154744235</v>
      </c>
      <c r="GF10">
        <f t="shared" si="8"/>
        <v>0.49368567997238888</v>
      </c>
      <c r="GG10">
        <f t="shared" si="8"/>
        <v>5.6926124443451132E-2</v>
      </c>
      <c r="GH10">
        <f t="shared" si="8"/>
        <v>7.4361133954582211E-3</v>
      </c>
      <c r="GI10">
        <f t="shared" si="8"/>
        <v>0</v>
      </c>
      <c r="GJ10">
        <f t="shared" si="8"/>
        <v>3.1368258431926734E-3</v>
      </c>
    </row>
    <row r="11" spans="1:194" x14ac:dyDescent="0.25">
      <c r="A11" t="s">
        <v>3</v>
      </c>
      <c r="B11">
        <f>8.85*10^-12</f>
        <v>8.8499999999999988E-12</v>
      </c>
      <c r="CV11" t="s">
        <v>198</v>
      </c>
      <c r="CX11">
        <f t="shared" ref="CX11:EC11" si="9">CX10/CX7</f>
        <v>5.5814389390349337</v>
      </c>
      <c r="CY11">
        <f t="shared" si="9"/>
        <v>5.6444477186643986</v>
      </c>
      <c r="CZ11">
        <f t="shared" si="9"/>
        <v>4.7551386890537835</v>
      </c>
      <c r="DA11">
        <f t="shared" si="9"/>
        <v>5.7637367675443478</v>
      </c>
      <c r="DB11">
        <f t="shared" si="9"/>
        <v>4.8567552762166954</v>
      </c>
      <c r="DC11">
        <f t="shared" si="9"/>
        <v>4.9043944485199589</v>
      </c>
      <c r="DD11">
        <f t="shared" si="9"/>
        <v>4.9529774552867529</v>
      </c>
      <c r="DE11">
        <f t="shared" si="9"/>
        <v>5.0025326264189696</v>
      </c>
      <c r="DF11">
        <f t="shared" si="9"/>
        <v>5.0530894370747772</v>
      </c>
      <c r="DG11">
        <f t="shared" si="9"/>
        <v>4.0816496876871602</v>
      </c>
      <c r="DH11">
        <f t="shared" si="9"/>
        <v>5.1467145612602492</v>
      </c>
      <c r="DI11">
        <f t="shared" si="9"/>
        <v>4.1580221675339466</v>
      </c>
      <c r="DJ11">
        <f t="shared" si="9"/>
        <v>5.2438746335989492</v>
      </c>
      <c r="DK11">
        <f t="shared" si="9"/>
        <v>4.2373071958612121</v>
      </c>
      <c r="DL11">
        <f t="shared" si="9"/>
        <v>4.273523827043987</v>
      </c>
      <c r="DM11">
        <f t="shared" si="9"/>
        <v>4.3103648915664943</v>
      </c>
      <c r="DN11">
        <f t="shared" si="9"/>
        <v>4.3478466792994643</v>
      </c>
      <c r="DO11">
        <f t="shared" si="9"/>
        <v>4.385986051702476</v>
      </c>
      <c r="DP11">
        <f t="shared" si="9"/>
        <v>3.3167587223569779</v>
      </c>
      <c r="DQ11">
        <f t="shared" si="9"/>
        <v>4.4543651287948114</v>
      </c>
      <c r="DR11">
        <f t="shared" si="9"/>
        <v>3.3689034547955248</v>
      </c>
      <c r="DS11">
        <f t="shared" si="9"/>
        <v>4.524910091900062</v>
      </c>
      <c r="DT11">
        <f t="shared" si="9"/>
        <v>3.4227139775131286</v>
      </c>
      <c r="DU11">
        <f t="shared" si="9"/>
        <v>4.5977255032042619</v>
      </c>
      <c r="DV11">
        <f t="shared" si="9"/>
        <v>3.4782714082168429</v>
      </c>
      <c r="DW11">
        <f t="shared" si="9"/>
        <v>3.5026377320445676</v>
      </c>
      <c r="DX11">
        <f t="shared" si="9"/>
        <v>3.5273478519977224</v>
      </c>
      <c r="DY11">
        <f t="shared" si="9"/>
        <v>3.5524090959727475</v>
      </c>
      <c r="DZ11">
        <f t="shared" si="9"/>
        <v>3.5778290016110765</v>
      </c>
      <c r="EA11">
        <f t="shared" si="9"/>
        <v>3.6036153238592856</v>
      </c>
      <c r="EB11">
        <f t="shared" si="9"/>
        <v>6.5601990076311312</v>
      </c>
      <c r="EC11">
        <f t="shared" si="9"/>
        <v>3.5843747749530723</v>
      </c>
      <c r="ED11">
        <f t="shared" ref="ED11:EZ11" si="10">ED10/ED7</f>
        <v>0.42013795447753371</v>
      </c>
      <c r="EE11">
        <f t="shared" si="10"/>
        <v>6.2864893939048212</v>
      </c>
      <c r="EF11">
        <f t="shared" si="10"/>
        <v>3.3402916484962679</v>
      </c>
      <c r="EG11">
        <f t="shared" si="10"/>
        <v>0.83193549497481523</v>
      </c>
      <c r="EH11">
        <f t="shared" si="10"/>
        <v>5.6014017322350158</v>
      </c>
      <c r="EI11">
        <f t="shared" si="10"/>
        <v>3.3067200261095042</v>
      </c>
      <c r="EJ11">
        <f t="shared" si="10"/>
        <v>1.4429947563165255</v>
      </c>
      <c r="EK11">
        <f t="shared" si="10"/>
        <v>4.7229976329360603</v>
      </c>
      <c r="EL11">
        <f t="shared" si="10"/>
        <v>2.5340921400165493</v>
      </c>
      <c r="EM11">
        <f t="shared" si="10"/>
        <v>2.9166908945430254</v>
      </c>
      <c r="EN11">
        <f t="shared" si="10"/>
        <v>2.3738781293301483</v>
      </c>
      <c r="EO11">
        <f t="shared" si="10"/>
        <v>2.3231328904360367</v>
      </c>
      <c r="EP11">
        <f t="shared" si="10"/>
        <v>1.8229901793303165</v>
      </c>
      <c r="EQ11">
        <f t="shared" si="10"/>
        <v>1.7898147161334774</v>
      </c>
      <c r="ER11">
        <f t="shared" si="10"/>
        <v>1.7591123572699925</v>
      </c>
      <c r="ES11">
        <f t="shared" si="10"/>
        <v>1.3873273158252528</v>
      </c>
      <c r="ET11">
        <f t="shared" si="10"/>
        <v>0.98302992351956731</v>
      </c>
      <c r="EU11">
        <f t="shared" si="10"/>
        <v>0.41188759818615234</v>
      </c>
      <c r="EV11">
        <f t="shared" si="10"/>
        <v>2.511446389440062E-2</v>
      </c>
      <c r="EW11">
        <f t="shared" si="10"/>
        <v>1.2137318684907969E-3</v>
      </c>
      <c r="EX11">
        <f t="shared" si="10"/>
        <v>7.5689730113586047E-4</v>
      </c>
      <c r="EY11">
        <f t="shared" si="10"/>
        <v>7.560533343602666E-4</v>
      </c>
      <c r="EZ11">
        <f t="shared" si="10"/>
        <v>1.5104168488572517E-3</v>
      </c>
      <c r="FC11">
        <f>FC10/FC7</f>
        <v>5.1326258489674821</v>
      </c>
      <c r="FD11">
        <f t="shared" ref="FD11:FK11" si="11">FD10/FD8</f>
        <v>6.493506493506465</v>
      </c>
      <c r="FE11">
        <f t="shared" si="11"/>
        <v>6.4516129032257892</v>
      </c>
      <c r="FF11">
        <f t="shared" si="11"/>
        <v>3.0872137895549265</v>
      </c>
      <c r="FG11">
        <f t="shared" si="11"/>
        <v>4.8643113159242564</v>
      </c>
      <c r="FH11">
        <f t="shared" si="11"/>
        <v>4.8407643312101065</v>
      </c>
      <c r="FI11">
        <f t="shared" si="11"/>
        <v>6.3291139240507173</v>
      </c>
      <c r="FJ11">
        <f t="shared" si="11"/>
        <v>2.525252525252478</v>
      </c>
      <c r="FK11">
        <f t="shared" si="11"/>
        <v>3.7735849056604049</v>
      </c>
      <c r="FL11">
        <f t="shared" ref="FL11:GJ11" si="12">FL10/FL7</f>
        <v>3.7244077254115817</v>
      </c>
      <c r="FM11">
        <f t="shared" si="12"/>
        <v>3.9156113729825814</v>
      </c>
      <c r="FN11">
        <f t="shared" si="12"/>
        <v>3.2998822187652812</v>
      </c>
      <c r="FO11">
        <f t="shared" si="12"/>
        <v>2.9725981857704524</v>
      </c>
      <c r="FP11">
        <f t="shared" si="12"/>
        <v>2.5675230859664104</v>
      </c>
      <c r="FQ11">
        <f t="shared" si="12"/>
        <v>2.2088613620001643</v>
      </c>
      <c r="FR11">
        <f t="shared" si="12"/>
        <v>2.0515001164304647</v>
      </c>
      <c r="FS11">
        <f t="shared" si="12"/>
        <v>1.8693237074683575</v>
      </c>
      <c r="FT11">
        <f t="shared" si="12"/>
        <v>1.6621656211116758</v>
      </c>
      <c r="FU11">
        <f t="shared" si="12"/>
        <v>1.5749015748523469</v>
      </c>
      <c r="FV11">
        <f t="shared" si="12"/>
        <v>1.4771860529999559</v>
      </c>
      <c r="FW11">
        <f t="shared" si="12"/>
        <v>1.2158506788680334</v>
      </c>
      <c r="FX11">
        <f t="shared" si="12"/>
        <v>0.9611241572576934</v>
      </c>
      <c r="FY11">
        <f t="shared" si="12"/>
        <v>0.56771652619318624</v>
      </c>
      <c r="FZ11">
        <f t="shared" si="12"/>
        <v>0.38750812744166796</v>
      </c>
      <c r="GA11">
        <f t="shared" si="12"/>
        <v>0.24099927051466885</v>
      </c>
      <c r="GB11">
        <f t="shared" si="12"/>
        <v>0.18350182785957128</v>
      </c>
      <c r="GC11">
        <f t="shared" si="12"/>
        <v>0.11862816032296775</v>
      </c>
      <c r="GD11">
        <f t="shared" si="12"/>
        <v>9.7089677764341464E-2</v>
      </c>
      <c r="GE11">
        <f t="shared" si="12"/>
        <v>7.4166660290697281E-2</v>
      </c>
      <c r="GF11">
        <f t="shared" si="12"/>
        <v>7.5283379360396224E-2</v>
      </c>
      <c r="GG11">
        <f t="shared" si="12"/>
        <v>8.3894983288878393E-3</v>
      </c>
      <c r="GH11">
        <f t="shared" si="12"/>
        <v>1.0899263704717472E-3</v>
      </c>
      <c r="GI11">
        <f t="shared" si="12"/>
        <v>0</v>
      </c>
      <c r="GJ11">
        <f t="shared" si="12"/>
        <v>4.5850614152087598E-4</v>
      </c>
    </row>
    <row r="12" spans="1:194" x14ac:dyDescent="0.25">
      <c r="A12" t="s">
        <v>2</v>
      </c>
      <c r="B12">
        <v>1</v>
      </c>
      <c r="CV12" t="s">
        <v>199</v>
      </c>
      <c r="DG12">
        <f>DG11/DY11</f>
        <v>1.1489807557114962</v>
      </c>
      <c r="EB12">
        <f>EB11/EX11</f>
        <v>8667.2247315274781</v>
      </c>
      <c r="EC12">
        <f>EC11/EY11</f>
        <v>4740.9020131972375</v>
      </c>
      <c r="ED12">
        <f>ED11/EZ11</f>
        <v>278.16026734301914</v>
      </c>
      <c r="EE12" t="e">
        <f t="shared" ref="EE12:EK12" si="13">EE11/FB11</f>
        <v>#DIV/0!</v>
      </c>
      <c r="EF12">
        <f t="shared" si="13"/>
        <v>0.65079585903738268</v>
      </c>
      <c r="EG12">
        <f t="shared" si="13"/>
        <v>0.1281180662261221</v>
      </c>
      <c r="EH12">
        <f t="shared" si="13"/>
        <v>0.86821726849642977</v>
      </c>
      <c r="EI12">
        <f t="shared" si="13"/>
        <v>1.0711017284573037</v>
      </c>
      <c r="EJ12">
        <f t="shared" si="13"/>
        <v>0.29664934306170027</v>
      </c>
      <c r="EK12">
        <f t="shared" si="13"/>
        <v>0.97567187943549272</v>
      </c>
      <c r="EL12">
        <f t="shared" ref="EL12:EZ12" si="14">EL11/FJ11</f>
        <v>1.0035004874465723</v>
      </c>
      <c r="EM12">
        <f t="shared" si="14"/>
        <v>0.77292308705389612</v>
      </c>
      <c r="EN12">
        <f t="shared" si="14"/>
        <v>0.63738406327889696</v>
      </c>
      <c r="EO12">
        <f t="shared" si="14"/>
        <v>0.59330016928275253</v>
      </c>
      <c r="EP12">
        <f t="shared" si="14"/>
        <v>0.55244098379136264</v>
      </c>
      <c r="EQ12">
        <f t="shared" si="14"/>
        <v>0.6021044905097338</v>
      </c>
      <c r="ER12">
        <f t="shared" si="14"/>
        <v>0.6851398403718213</v>
      </c>
      <c r="ES12">
        <f t="shared" si="14"/>
        <v>0.62807351320999283</v>
      </c>
      <c r="ET12">
        <f t="shared" si="14"/>
        <v>0.47917614805209152</v>
      </c>
      <c r="EU12">
        <f t="shared" si="14"/>
        <v>0.22034043463984926</v>
      </c>
      <c r="EV12">
        <f t="shared" si="14"/>
        <v>1.5109483420553346E-2</v>
      </c>
      <c r="EW12">
        <f t="shared" si="14"/>
        <v>7.7067156949448662E-4</v>
      </c>
      <c r="EX12">
        <f t="shared" si="14"/>
        <v>5.1239131292819156E-4</v>
      </c>
      <c r="EY12">
        <f t="shared" si="14"/>
        <v>6.2183074574927101E-4</v>
      </c>
      <c r="EZ12">
        <f t="shared" si="14"/>
        <v>1.5715106497445823E-3</v>
      </c>
    </row>
    <row r="13" spans="1:194" x14ac:dyDescent="0.25">
      <c r="A13" t="s">
        <v>4</v>
      </c>
      <c r="B13">
        <f>50*10^-9</f>
        <v>5.0000000000000004E-8</v>
      </c>
      <c r="CV13" t="s">
        <v>200</v>
      </c>
      <c r="CW13">
        <f>($DO6+$DP5)/($DO6+$DO5)</f>
        <v>1</v>
      </c>
      <c r="DG13">
        <f>($DO6+$DP5)/($DO6+$DO5)</f>
        <v>1</v>
      </c>
      <c r="EB13">
        <f t="shared" ref="EB13:EZ13" si="15">($DO6+$DP5)/($DO6+$DO5)</f>
        <v>1</v>
      </c>
      <c r="EC13">
        <f t="shared" si="15"/>
        <v>1</v>
      </c>
      <c r="ED13">
        <f t="shared" si="15"/>
        <v>1</v>
      </c>
      <c r="EE13">
        <f t="shared" si="15"/>
        <v>1</v>
      </c>
      <c r="EF13">
        <f t="shared" si="15"/>
        <v>1</v>
      </c>
      <c r="EG13">
        <f t="shared" si="15"/>
        <v>1</v>
      </c>
      <c r="EH13">
        <f t="shared" si="15"/>
        <v>1</v>
      </c>
      <c r="EI13">
        <f t="shared" si="15"/>
        <v>1</v>
      </c>
      <c r="EJ13">
        <f t="shared" si="15"/>
        <v>1</v>
      </c>
      <c r="EK13">
        <f t="shared" si="15"/>
        <v>1</v>
      </c>
      <c r="EL13">
        <f t="shared" si="15"/>
        <v>1</v>
      </c>
      <c r="EM13">
        <f t="shared" si="15"/>
        <v>1</v>
      </c>
      <c r="EN13">
        <f t="shared" si="15"/>
        <v>1</v>
      </c>
      <c r="EO13">
        <f t="shared" si="15"/>
        <v>1</v>
      </c>
      <c r="EP13">
        <f t="shared" si="15"/>
        <v>1</v>
      </c>
      <c r="EQ13">
        <f t="shared" si="15"/>
        <v>1</v>
      </c>
      <c r="ER13">
        <f t="shared" si="15"/>
        <v>1</v>
      </c>
      <c r="ES13">
        <f t="shared" si="15"/>
        <v>1</v>
      </c>
      <c r="ET13">
        <f t="shared" si="15"/>
        <v>1</v>
      </c>
      <c r="EU13">
        <f t="shared" si="15"/>
        <v>1</v>
      </c>
      <c r="EV13">
        <f t="shared" si="15"/>
        <v>1</v>
      </c>
      <c r="EW13">
        <f t="shared" si="15"/>
        <v>1</v>
      </c>
      <c r="EX13">
        <f t="shared" si="15"/>
        <v>1</v>
      </c>
      <c r="EY13">
        <f t="shared" si="15"/>
        <v>1</v>
      </c>
      <c r="EZ13">
        <f t="shared" si="15"/>
        <v>1</v>
      </c>
    </row>
    <row r="14" spans="1:194" x14ac:dyDescent="0.25">
      <c r="A14" t="s">
        <v>5</v>
      </c>
      <c r="B14">
        <f>14*14*10^-12</f>
        <v>1.96E-10</v>
      </c>
    </row>
    <row r="15" spans="1:194" x14ac:dyDescent="0.25">
      <c r="A15" t="s">
        <v>6</v>
      </c>
      <c r="B15">
        <f>B11*B12*B14/B13</f>
        <v>3.4691999999999989E-14</v>
      </c>
    </row>
    <row r="16" spans="1:194" x14ac:dyDescent="0.25">
      <c r="DD16" t="s">
        <v>208</v>
      </c>
      <c r="DE16" t="s">
        <v>209</v>
      </c>
    </row>
    <row r="17" spans="1:160" x14ac:dyDescent="0.25">
      <c r="A17" t="s">
        <v>111</v>
      </c>
      <c r="B17">
        <f>B25/B24</f>
        <v>5.8823529411764705E-2</v>
      </c>
      <c r="C17">
        <f t="shared" ref="C17:BE17" si="16">C25/C24</f>
        <v>1.3888888888888888E-2</v>
      </c>
      <c r="D17">
        <f t="shared" si="16"/>
        <v>0.5</v>
      </c>
      <c r="E17">
        <f t="shared" si="16"/>
        <v>0.1</v>
      </c>
      <c r="F17">
        <f t="shared" si="16"/>
        <v>1.3888888888888888E-2</v>
      </c>
      <c r="G17">
        <f t="shared" si="16"/>
        <v>1.6129032258064516E-2</v>
      </c>
      <c r="H17">
        <f t="shared" si="16"/>
        <v>1.9230769230769232E-2</v>
      </c>
      <c r="I17">
        <f t="shared" si="16"/>
        <v>2.3809523809523808E-2</v>
      </c>
      <c r="J17">
        <f t="shared" si="16"/>
        <v>3.125E-2</v>
      </c>
      <c r="K17">
        <f t="shared" si="16"/>
        <v>4.5454545454545456E-2</v>
      </c>
      <c r="L17">
        <f t="shared" si="16"/>
        <v>8.3333333333333329E-2</v>
      </c>
      <c r="M17">
        <f t="shared" si="16"/>
        <v>0.5</v>
      </c>
      <c r="N17">
        <f t="shared" si="16"/>
        <v>0.16666666666666666</v>
      </c>
      <c r="O17">
        <f t="shared" si="16"/>
        <v>0.1</v>
      </c>
      <c r="P17">
        <f t="shared" si="16"/>
        <v>7.1428571428571425E-2</v>
      </c>
      <c r="Q17">
        <f t="shared" si="16"/>
        <v>5.5555555555555552E-2</v>
      </c>
      <c r="R17">
        <f t="shared" si="16"/>
        <v>4.5454545454545456E-2</v>
      </c>
      <c r="S17">
        <f t="shared" si="16"/>
        <v>3.8461538461538464E-2</v>
      </c>
      <c r="T17">
        <f t="shared" si="16"/>
        <v>3.3333333333333333E-2</v>
      </c>
      <c r="U17">
        <f t="shared" si="16"/>
        <v>2.9411764705882353E-2</v>
      </c>
      <c r="V17">
        <f t="shared" si="16"/>
        <v>2.6315789473684209E-2</v>
      </c>
      <c r="W17">
        <f t="shared" si="16"/>
        <v>2.3809523809523808E-2</v>
      </c>
      <c r="X17">
        <f t="shared" si="16"/>
        <v>2.1739130434782608E-2</v>
      </c>
      <c r="Y17">
        <f t="shared" si="16"/>
        <v>0.02</v>
      </c>
      <c r="Z17">
        <f t="shared" si="16"/>
        <v>1.8518518518518517E-2</v>
      </c>
      <c r="AA17">
        <f t="shared" si="16"/>
        <v>1.7241379310344827E-2</v>
      </c>
      <c r="AB17">
        <f t="shared" si="16"/>
        <v>1.6129032258064516E-2</v>
      </c>
      <c r="AC17">
        <f t="shared" si="16"/>
        <v>1.5151515151515152E-2</v>
      </c>
      <c r="AD17">
        <f t="shared" si="16"/>
        <v>0.04</v>
      </c>
      <c r="AE17">
        <f t="shared" si="16"/>
        <v>8.8235294117647065E-2</v>
      </c>
      <c r="AF17">
        <f t="shared" si="16"/>
        <v>0.22222222222222221</v>
      </c>
      <c r="AG17">
        <f t="shared" si="16"/>
        <v>2.0833333333333332E-2</v>
      </c>
      <c r="AH17">
        <f t="shared" si="16"/>
        <v>3.3333333333333333E-2</v>
      </c>
      <c r="AI17">
        <f t="shared" si="16"/>
        <v>8.3333333333333329E-2</v>
      </c>
      <c r="AJ17">
        <f t="shared" si="16"/>
        <v>1.7857142857142856E-2</v>
      </c>
      <c r="AK17">
        <f t="shared" si="16"/>
        <v>2.1739130434782608E-2</v>
      </c>
      <c r="AL17">
        <f t="shared" si="16"/>
        <v>2.7777777777777776E-2</v>
      </c>
      <c r="AM17">
        <f t="shared" si="16"/>
        <v>3.8461538461538464E-2</v>
      </c>
      <c r="AN17">
        <f t="shared" si="16"/>
        <v>6.25E-2</v>
      </c>
      <c r="AO17">
        <f t="shared" si="16"/>
        <v>2.9411764705882353E-2</v>
      </c>
      <c r="AP17">
        <f t="shared" si="16"/>
        <v>1.3888888888888888E-2</v>
      </c>
      <c r="AQ17">
        <f t="shared" si="16"/>
        <v>1.3888888888888888E-2</v>
      </c>
      <c r="AR17">
        <f t="shared" si="16"/>
        <v>1.3888888888888888E-2</v>
      </c>
      <c r="AS17">
        <f t="shared" si="16"/>
        <v>1.2195121951219513E-2</v>
      </c>
      <c r="AT17">
        <f t="shared" si="16"/>
        <v>1.0869565217391304E-2</v>
      </c>
      <c r="AU17">
        <f t="shared" si="16"/>
        <v>9.8039215686274508E-3</v>
      </c>
      <c r="AV17">
        <f t="shared" si="16"/>
        <v>8.9285714285714281E-3</v>
      </c>
      <c r="AW17">
        <f t="shared" si="16"/>
        <v>8.1967213114754103E-3</v>
      </c>
      <c r="AX17">
        <f t="shared" si="16"/>
        <v>7.575757575757576E-3</v>
      </c>
      <c r="AY17">
        <f t="shared" si="16"/>
        <v>7.0422535211267607E-3</v>
      </c>
      <c r="AZ17">
        <f t="shared" si="16"/>
        <v>6.5789473684210523E-3</v>
      </c>
      <c r="BA17">
        <f t="shared" si="16"/>
        <v>6.1728395061728392E-3</v>
      </c>
      <c r="BB17">
        <f t="shared" si="16"/>
        <v>6.1728395061728392E-3</v>
      </c>
      <c r="BC17">
        <f t="shared" si="16"/>
        <v>6.1728395061728392E-3</v>
      </c>
      <c r="BD17">
        <f t="shared" si="16"/>
        <v>6.1728395061728392E-3</v>
      </c>
      <c r="BE17">
        <f t="shared" si="16"/>
        <v>6.1728395061728392E-3</v>
      </c>
      <c r="CV17" t="s">
        <v>210</v>
      </c>
      <c r="FD17">
        <f>(1+7/11.1)/(1+2.3/11.1)</f>
        <v>1.3507462686567162</v>
      </c>
    </row>
    <row r="18" spans="1:160" x14ac:dyDescent="0.25">
      <c r="M18" s="5" t="s">
        <v>100</v>
      </c>
      <c r="N18" s="5" t="s">
        <v>99</v>
      </c>
      <c r="CY18" t="s">
        <v>178</v>
      </c>
      <c r="CZ18" t="s">
        <v>178</v>
      </c>
      <c r="DA18" t="s">
        <v>178</v>
      </c>
      <c r="DB18" t="s">
        <v>181</v>
      </c>
      <c r="DD18" t="s">
        <v>203</v>
      </c>
      <c r="DE18" t="s">
        <v>203</v>
      </c>
    </row>
    <row r="19" spans="1:160" x14ac:dyDescent="0.25">
      <c r="A19" t="s">
        <v>17</v>
      </c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 t="s">
        <v>23</v>
      </c>
      <c r="H19" t="s">
        <v>32</v>
      </c>
      <c r="I19" t="s">
        <v>33</v>
      </c>
      <c r="J19" t="s">
        <v>34</v>
      </c>
      <c r="K19" t="s">
        <v>35</v>
      </c>
      <c r="L19" t="s">
        <v>36</v>
      </c>
      <c r="M19" s="5" t="s">
        <v>37</v>
      </c>
      <c r="N19" s="5" t="s">
        <v>39</v>
      </c>
      <c r="O19" t="s">
        <v>40</v>
      </c>
      <c r="P19" t="s">
        <v>41</v>
      </c>
      <c r="Q19" t="s">
        <v>42</v>
      </c>
      <c r="R19" t="s">
        <v>43</v>
      </c>
      <c r="S19" t="s">
        <v>44</v>
      </c>
      <c r="T19" t="s">
        <v>45</v>
      </c>
      <c r="U19" t="s">
        <v>46</v>
      </c>
      <c r="V19" t="s">
        <v>47</v>
      </c>
      <c r="W19" t="s">
        <v>48</v>
      </c>
      <c r="X19" t="s">
        <v>49</v>
      </c>
      <c r="Y19" t="s">
        <v>50</v>
      </c>
      <c r="Z19" t="s">
        <v>51</v>
      </c>
      <c r="AA19" t="s">
        <v>52</v>
      </c>
      <c r="AB19" t="s">
        <v>53</v>
      </c>
      <c r="AC19" t="s">
        <v>54</v>
      </c>
      <c r="AD19" t="s">
        <v>55</v>
      </c>
      <c r="AE19" t="s">
        <v>56</v>
      </c>
      <c r="AF19" t="s">
        <v>60</v>
      </c>
      <c r="AG19" t="s">
        <v>61</v>
      </c>
      <c r="AH19" t="s">
        <v>62</v>
      </c>
      <c r="AI19" s="3" t="s">
        <v>63</v>
      </c>
      <c r="AJ19" s="2" t="s">
        <v>77</v>
      </c>
      <c r="AK19" t="s">
        <v>78</v>
      </c>
      <c r="AL19" t="s">
        <v>79</v>
      </c>
      <c r="AM19" t="s">
        <v>80</v>
      </c>
      <c r="AN19" t="s">
        <v>83</v>
      </c>
      <c r="AO19" t="s">
        <v>84</v>
      </c>
      <c r="AP19" t="s">
        <v>85</v>
      </c>
      <c r="AQ19" t="s">
        <v>86</v>
      </c>
      <c r="AR19" t="s">
        <v>87</v>
      </c>
      <c r="AS19" t="s">
        <v>93</v>
      </c>
      <c r="AT19" t="s">
        <v>94</v>
      </c>
      <c r="AU19" t="s">
        <v>95</v>
      </c>
      <c r="AV19" t="s">
        <v>96</v>
      </c>
      <c r="AW19" t="s">
        <v>97</v>
      </c>
      <c r="AX19" t="s">
        <v>98</v>
      </c>
      <c r="AY19" t="s">
        <v>104</v>
      </c>
      <c r="AZ19" t="s">
        <v>105</v>
      </c>
      <c r="BA19" t="s">
        <v>106</v>
      </c>
      <c r="BB19" t="s">
        <v>107</v>
      </c>
      <c r="BC19" t="s">
        <v>108</v>
      </c>
      <c r="BD19" t="s">
        <v>109</v>
      </c>
      <c r="BE19" t="s">
        <v>110</v>
      </c>
      <c r="BF19" t="s">
        <v>65</v>
      </c>
      <c r="BG19" t="s">
        <v>66</v>
      </c>
      <c r="BH19" t="s">
        <v>67</v>
      </c>
      <c r="BI19" t="s">
        <v>68</v>
      </c>
      <c r="BJ19" t="s">
        <v>118</v>
      </c>
      <c r="BK19" t="s">
        <v>119</v>
      </c>
      <c r="BL19" t="s">
        <v>120</v>
      </c>
      <c r="BM19" t="s">
        <v>117</v>
      </c>
      <c r="BN19" t="s">
        <v>121</v>
      </c>
      <c r="BO19" t="s">
        <v>122</v>
      </c>
      <c r="BP19" t="s">
        <v>124</v>
      </c>
      <c r="BQ19" t="s">
        <v>125</v>
      </c>
      <c r="BR19" t="s">
        <v>126</v>
      </c>
      <c r="BS19" t="s">
        <v>127</v>
      </c>
      <c r="BT19" t="s">
        <v>128</v>
      </c>
      <c r="BU19" t="s">
        <v>129</v>
      </c>
      <c r="BV19" t="s">
        <v>130</v>
      </c>
      <c r="BW19" t="s">
        <v>131</v>
      </c>
      <c r="BX19" t="s">
        <v>132</v>
      </c>
      <c r="BY19" t="s">
        <v>133</v>
      </c>
      <c r="BZ19" t="s">
        <v>143</v>
      </c>
      <c r="CA19" t="s">
        <v>144</v>
      </c>
      <c r="CB19" t="s">
        <v>145</v>
      </c>
      <c r="CC19" t="s">
        <v>146</v>
      </c>
      <c r="CD19" t="s">
        <v>147</v>
      </c>
      <c r="CE19" t="s">
        <v>148</v>
      </c>
      <c r="CF19" t="s">
        <v>149</v>
      </c>
      <c r="CG19" t="s">
        <v>150</v>
      </c>
      <c r="CH19" t="s">
        <v>151</v>
      </c>
      <c r="CI19" t="s">
        <v>152</v>
      </c>
      <c r="CJ19" t="s">
        <v>153</v>
      </c>
      <c r="CK19" t="s">
        <v>154</v>
      </c>
      <c r="CL19" t="s">
        <v>155</v>
      </c>
      <c r="CM19" t="s">
        <v>156</v>
      </c>
      <c r="CN19" t="s">
        <v>157</v>
      </c>
      <c r="CO19" t="s">
        <v>158</v>
      </c>
      <c r="CP19" t="s">
        <v>159</v>
      </c>
      <c r="CQ19" t="s">
        <v>160</v>
      </c>
      <c r="CR19" t="s">
        <v>161</v>
      </c>
      <c r="CS19" t="s">
        <v>162</v>
      </c>
      <c r="CT19" t="s">
        <v>163</v>
      </c>
      <c r="CU19" t="s">
        <v>164</v>
      </c>
      <c r="CV19" s="6" t="s">
        <v>165</v>
      </c>
      <c r="CW19" s="6" t="s">
        <v>166</v>
      </c>
      <c r="CX19" s="6" t="s">
        <v>167</v>
      </c>
      <c r="CY19" s="6" t="s">
        <v>176</v>
      </c>
      <c r="CZ19" s="6" t="s">
        <v>177</v>
      </c>
      <c r="DA19" s="6" t="s">
        <v>179</v>
      </c>
      <c r="DB19" s="6" t="s">
        <v>180</v>
      </c>
      <c r="DC19" s="6" t="s">
        <v>184</v>
      </c>
      <c r="DD19" s="6" t="s">
        <v>201</v>
      </c>
      <c r="DE19" s="6" t="s">
        <v>202</v>
      </c>
      <c r="DF19" s="6" t="s">
        <v>204</v>
      </c>
      <c r="DG19" s="6" t="s">
        <v>205</v>
      </c>
      <c r="DH19" s="6" t="s">
        <v>206</v>
      </c>
      <c r="DI19" s="6" t="s">
        <v>207</v>
      </c>
      <c r="DJ19" s="6" t="s">
        <v>211</v>
      </c>
    </row>
    <row r="20" spans="1:160" x14ac:dyDescent="0.25">
      <c r="A20" t="s">
        <v>29</v>
      </c>
      <c r="B20">
        <v>38.799999999999997</v>
      </c>
      <c r="C20">
        <v>61.7</v>
      </c>
      <c r="D20">
        <v>28.4</v>
      </c>
      <c r="E20">
        <v>27.8</v>
      </c>
      <c r="F20">
        <v>93.9</v>
      </c>
      <c r="G20">
        <v>84.2</v>
      </c>
      <c r="H20">
        <v>74.599999999999994</v>
      </c>
      <c r="I20">
        <v>64.599999999999994</v>
      </c>
      <c r="J20">
        <v>54.7</v>
      </c>
      <c r="K20">
        <v>45.1</v>
      </c>
      <c r="L20">
        <v>36</v>
      </c>
      <c r="M20">
        <v>27.7</v>
      </c>
      <c r="N20">
        <v>27.7</v>
      </c>
      <c r="O20">
        <v>27.6</v>
      </c>
      <c r="P20">
        <v>27.5</v>
      </c>
      <c r="Q20">
        <v>27.2</v>
      </c>
      <c r="R20">
        <v>26.8</v>
      </c>
      <c r="S20">
        <v>26.2</v>
      </c>
      <c r="T20">
        <v>25.5</v>
      </c>
      <c r="U20">
        <v>24.7</v>
      </c>
      <c r="V20">
        <v>23.7</v>
      </c>
      <c r="W20">
        <v>22.6</v>
      </c>
      <c r="X20">
        <v>21.3</v>
      </c>
      <c r="Y20">
        <v>19.899999999999999</v>
      </c>
      <c r="Z20">
        <v>18.399999999999999</v>
      </c>
      <c r="AA20">
        <v>16.8</v>
      </c>
      <c r="AB20">
        <v>15.1</v>
      </c>
      <c r="AC20">
        <v>13.4</v>
      </c>
      <c r="AD20">
        <v>10.199999999999999</v>
      </c>
      <c r="AE20">
        <v>7.9</v>
      </c>
      <c r="AF20">
        <v>6.2</v>
      </c>
      <c r="AG20">
        <v>9.5</v>
      </c>
      <c r="AH20">
        <v>6.7</v>
      </c>
      <c r="AI20" s="3">
        <v>4.7</v>
      </c>
      <c r="AJ20" s="4">
        <v>11.5</v>
      </c>
      <c r="AK20" s="4">
        <v>9.5</v>
      </c>
      <c r="AL20" s="4">
        <v>7.6</v>
      </c>
      <c r="AM20" s="4">
        <v>5.8</v>
      </c>
      <c r="AN20" s="4">
        <v>4.2</v>
      </c>
      <c r="AO20" s="4">
        <v>6.8</v>
      </c>
      <c r="AP20" s="4">
        <v>54.4</v>
      </c>
      <c r="AQ20" s="4">
        <v>27.5</v>
      </c>
      <c r="AR20" s="4">
        <v>12.2</v>
      </c>
      <c r="AS20" s="4">
        <v>110.1</v>
      </c>
      <c r="AT20" s="4">
        <v>120.8</v>
      </c>
      <c r="AU20" s="4">
        <v>130.80000000000001</v>
      </c>
      <c r="AV20" s="4">
        <v>139.6</v>
      </c>
      <c r="AW20" s="4">
        <v>151.69999999999999</v>
      </c>
      <c r="AX20" s="4">
        <v>161</v>
      </c>
      <c r="AY20" s="4">
        <v>169.4</v>
      </c>
      <c r="AZ20" s="4">
        <v>175.8</v>
      </c>
      <c r="BA20" s="4">
        <v>192.4</v>
      </c>
      <c r="BB20" s="4">
        <v>114.7</v>
      </c>
      <c r="BC20" s="4">
        <v>58.7</v>
      </c>
      <c r="BD20" s="4">
        <v>30</v>
      </c>
      <c r="BE20" s="4">
        <v>15.4</v>
      </c>
      <c r="BF20" s="4">
        <v>161.80000000000001</v>
      </c>
      <c r="BG20" s="4">
        <v>149.4</v>
      </c>
      <c r="BH20" s="4">
        <v>137.1</v>
      </c>
      <c r="BI20" s="4">
        <v>125.1</v>
      </c>
      <c r="BJ20" s="4">
        <v>113.3</v>
      </c>
      <c r="BK20" s="4">
        <v>101.9</v>
      </c>
      <c r="BL20" s="4">
        <v>90.9</v>
      </c>
      <c r="BM20" s="4">
        <v>80.2</v>
      </c>
      <c r="BN20" s="4">
        <v>70</v>
      </c>
      <c r="BO20" s="4">
        <v>60.2</v>
      </c>
      <c r="BP20" s="4">
        <v>149.6</v>
      </c>
      <c r="BQ20" s="4">
        <v>139</v>
      </c>
      <c r="BR20" s="4">
        <v>129.5</v>
      </c>
      <c r="BS20" s="4">
        <v>118.6</v>
      </c>
      <c r="BT20" s="4">
        <v>107.7</v>
      </c>
      <c r="BU20" s="4">
        <v>97</v>
      </c>
      <c r="BV20" s="4">
        <v>86.4</v>
      </c>
      <c r="BW20" s="4">
        <v>76.2</v>
      </c>
      <c r="BX20" s="4">
        <v>66.400000000000006</v>
      </c>
      <c r="BY20" s="4">
        <v>57</v>
      </c>
      <c r="BZ20" s="4">
        <v>105.7</v>
      </c>
      <c r="CA20" s="4">
        <v>264.7</v>
      </c>
      <c r="CB20" s="4">
        <v>51.1</v>
      </c>
      <c r="CC20" s="4">
        <v>42.6</v>
      </c>
      <c r="CD20" s="4">
        <v>42.6</v>
      </c>
      <c r="CE20" s="4">
        <v>42.5</v>
      </c>
      <c r="CF20" s="4">
        <v>42.2</v>
      </c>
      <c r="CG20" s="4">
        <v>41.7</v>
      </c>
      <c r="CH20" s="4">
        <v>41.1</v>
      </c>
      <c r="CI20" s="4">
        <v>40.200000000000003</v>
      </c>
      <c r="CJ20">
        <v>39.200000000000003</v>
      </c>
      <c r="CK20">
        <v>37.799999999999997</v>
      </c>
      <c r="CL20">
        <v>36.299999999999997</v>
      </c>
      <c r="CM20">
        <v>34.6</v>
      </c>
      <c r="CN20">
        <v>32.6</v>
      </c>
      <c r="CO20">
        <v>28.5</v>
      </c>
      <c r="CP20">
        <v>24.5</v>
      </c>
      <c r="CQ20">
        <v>20.7</v>
      </c>
      <c r="CR20">
        <v>17</v>
      </c>
      <c r="CS20">
        <v>13.7</v>
      </c>
      <c r="CT20">
        <v>10.6</v>
      </c>
      <c r="CU20">
        <v>10.4</v>
      </c>
      <c r="CV20" s="6">
        <v>32.130000000000003</v>
      </c>
      <c r="CW20" s="6">
        <v>28.8</v>
      </c>
      <c r="CX20" s="6">
        <v>28</v>
      </c>
      <c r="CY20" s="6">
        <v>33.6</v>
      </c>
      <c r="CZ20" s="6">
        <v>23.33</v>
      </c>
      <c r="DA20" s="6">
        <v>28.9</v>
      </c>
      <c r="DB20" s="6">
        <v>28.7</v>
      </c>
      <c r="DC20" s="6">
        <v>21</v>
      </c>
      <c r="DD20" s="6">
        <v>25.8</v>
      </c>
      <c r="DE20" s="6">
        <v>21.5</v>
      </c>
      <c r="DF20" s="6">
        <v>10.6</v>
      </c>
      <c r="DG20" s="6">
        <v>15.2</v>
      </c>
      <c r="DH20" s="6">
        <v>28.3</v>
      </c>
      <c r="DI20" s="6">
        <v>21</v>
      </c>
      <c r="DJ20" s="6">
        <v>27</v>
      </c>
    </row>
    <row r="21" spans="1:160" x14ac:dyDescent="0.25">
      <c r="A21" t="s">
        <v>30</v>
      </c>
      <c r="B21">
        <v>19.5</v>
      </c>
      <c r="C21">
        <v>22.2</v>
      </c>
      <c r="D21">
        <v>19.3</v>
      </c>
      <c r="E21">
        <v>19.7</v>
      </c>
      <c r="F21">
        <v>26.3</v>
      </c>
      <c r="G21">
        <v>23.2</v>
      </c>
      <c r="H21">
        <v>21.2</v>
      </c>
      <c r="I21">
        <v>19.399999999999999</v>
      </c>
      <c r="J21">
        <v>17.8</v>
      </c>
      <c r="K21">
        <v>16.2</v>
      </c>
      <c r="L21">
        <v>14.8</v>
      </c>
      <c r="M21">
        <v>13.3</v>
      </c>
      <c r="N21">
        <v>13.3</v>
      </c>
      <c r="O21">
        <v>13.3</v>
      </c>
      <c r="P21">
        <v>13.4</v>
      </c>
      <c r="Q21">
        <v>13.5</v>
      </c>
      <c r="R21">
        <v>13.4</v>
      </c>
      <c r="S21">
        <v>13.7</v>
      </c>
      <c r="T21">
        <v>13.7</v>
      </c>
      <c r="U21">
        <v>13.9</v>
      </c>
      <c r="V21">
        <v>14.1</v>
      </c>
      <c r="W21">
        <v>14.2</v>
      </c>
      <c r="X21">
        <v>14.4</v>
      </c>
      <c r="Y21">
        <v>14.4</v>
      </c>
      <c r="Z21">
        <v>14.6</v>
      </c>
      <c r="AA21">
        <v>14.8</v>
      </c>
      <c r="AB21">
        <v>14.9</v>
      </c>
      <c r="AC21">
        <v>14.8</v>
      </c>
      <c r="AD21">
        <v>12.7</v>
      </c>
      <c r="AE21">
        <v>11</v>
      </c>
      <c r="AF21">
        <v>9.6999999999999993</v>
      </c>
      <c r="AG21">
        <v>14.2</v>
      </c>
      <c r="AH21">
        <v>13.4</v>
      </c>
      <c r="AI21" s="3">
        <v>12.8</v>
      </c>
      <c r="AJ21" s="4">
        <v>13.1</v>
      </c>
      <c r="AK21" s="4">
        <v>11.6</v>
      </c>
      <c r="AL21" s="4">
        <v>9.9</v>
      </c>
      <c r="AM21" s="4">
        <v>8.1999999999999993</v>
      </c>
      <c r="AN21" s="4">
        <v>6.6</v>
      </c>
      <c r="AO21" s="4">
        <v>12.4</v>
      </c>
      <c r="AP21" s="4">
        <v>12.5</v>
      </c>
      <c r="AQ21" s="4">
        <v>7.1</v>
      </c>
      <c r="AR21" s="4">
        <v>4.4000000000000004</v>
      </c>
      <c r="AS21" s="4">
        <v>25.6</v>
      </c>
      <c r="AT21" s="4">
        <v>28.8</v>
      </c>
      <c r="AU21" s="4">
        <v>31</v>
      </c>
      <c r="AV21" s="4">
        <v>31.5</v>
      </c>
      <c r="AW21" s="4">
        <v>31.6</v>
      </c>
      <c r="AX21" s="4">
        <v>35.6</v>
      </c>
      <c r="AY21" s="4">
        <v>37.4</v>
      </c>
      <c r="AZ21" s="4">
        <v>39.9</v>
      </c>
      <c r="BA21" s="4">
        <v>40.6</v>
      </c>
      <c r="BB21" s="4">
        <v>20.3</v>
      </c>
      <c r="BC21" s="4">
        <v>10.5</v>
      </c>
      <c r="BD21" s="4">
        <v>5.2</v>
      </c>
      <c r="BE21" s="4">
        <v>2.6</v>
      </c>
      <c r="BF21" s="4">
        <v>35.5</v>
      </c>
      <c r="BG21" s="4">
        <v>35</v>
      </c>
      <c r="BH21" s="4">
        <v>32.1</v>
      </c>
      <c r="BI21" s="4">
        <v>30</v>
      </c>
      <c r="BJ21" s="4">
        <v>28.5</v>
      </c>
      <c r="BK21" s="4">
        <v>27.6</v>
      </c>
      <c r="BL21" s="4">
        <v>25.6</v>
      </c>
      <c r="BM21" s="4">
        <v>24.4</v>
      </c>
      <c r="BN21" s="4">
        <v>22.6</v>
      </c>
      <c r="BO21" s="4">
        <v>21.7</v>
      </c>
      <c r="BP21" s="4">
        <v>38.4</v>
      </c>
      <c r="BQ21" s="4">
        <v>37.6</v>
      </c>
      <c r="BR21" s="4">
        <v>33.9</v>
      </c>
      <c r="BS21" s="4">
        <v>31.6</v>
      </c>
      <c r="BT21" s="4">
        <v>32.299999999999997</v>
      </c>
      <c r="BU21" s="4">
        <v>29</v>
      </c>
      <c r="BV21" s="4">
        <v>28.6</v>
      </c>
      <c r="BW21" s="4">
        <v>25.6</v>
      </c>
      <c r="BX21" s="4">
        <v>25.1</v>
      </c>
      <c r="BY21" s="4">
        <v>23</v>
      </c>
      <c r="BZ21" s="4">
        <v>38.299999999999997</v>
      </c>
      <c r="CA21" s="4">
        <v>48.8</v>
      </c>
      <c r="CB21" s="4">
        <v>19.8</v>
      </c>
      <c r="CC21" s="4">
        <v>18.899999999999999</v>
      </c>
      <c r="CD21" s="4">
        <v>19</v>
      </c>
      <c r="CE21" s="4">
        <v>19</v>
      </c>
      <c r="CF21" s="4">
        <v>19.100000000000001</v>
      </c>
      <c r="CG21" s="4">
        <v>19.3</v>
      </c>
      <c r="CH21" s="4">
        <v>19</v>
      </c>
      <c r="CI21" s="4">
        <v>19.399999999999999</v>
      </c>
      <c r="CJ21">
        <v>19.899999999999999</v>
      </c>
      <c r="CK21">
        <v>19.899999999999999</v>
      </c>
      <c r="CL21">
        <v>20</v>
      </c>
      <c r="CM21">
        <v>20.399999999999999</v>
      </c>
      <c r="CN21">
        <v>20.2</v>
      </c>
      <c r="CO21">
        <v>18.7</v>
      </c>
      <c r="CP21">
        <v>17.5</v>
      </c>
      <c r="CQ21">
        <v>15.8</v>
      </c>
      <c r="CR21">
        <v>14</v>
      </c>
      <c r="CS21">
        <v>12.7</v>
      </c>
      <c r="CT21">
        <v>11.1</v>
      </c>
      <c r="CU21">
        <v>11.2</v>
      </c>
      <c r="CV21" s="6">
        <v>44.7</v>
      </c>
      <c r="CW21" s="6">
        <v>22.9</v>
      </c>
      <c r="CX21" s="6">
        <v>13.8</v>
      </c>
      <c r="CY21" s="6">
        <v>13.8</v>
      </c>
      <c r="CZ21" s="6">
        <v>11.6</v>
      </c>
      <c r="DA21" s="6">
        <v>12.1</v>
      </c>
      <c r="DB21" s="6">
        <v>11.8</v>
      </c>
      <c r="DC21" s="6">
        <v>12.3</v>
      </c>
      <c r="DD21" s="6">
        <v>9.6</v>
      </c>
      <c r="DE21" s="6">
        <v>11.6</v>
      </c>
      <c r="DF21" s="6">
        <v>9.6</v>
      </c>
      <c r="DG21" s="6">
        <v>10.8</v>
      </c>
      <c r="DH21" s="6">
        <v>13.7</v>
      </c>
      <c r="DI21" s="6">
        <v>12.3</v>
      </c>
      <c r="DJ21" s="6">
        <v>9</v>
      </c>
    </row>
    <row r="22" spans="1:160" x14ac:dyDescent="0.25">
      <c r="A22" t="s">
        <v>24</v>
      </c>
      <c r="B22">
        <v>20</v>
      </c>
      <c r="C22">
        <v>20</v>
      </c>
      <c r="D22">
        <v>20</v>
      </c>
      <c r="E22">
        <v>17</v>
      </c>
      <c r="F22">
        <v>25</v>
      </c>
      <c r="G22">
        <v>25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25</v>
      </c>
      <c r="N22">
        <v>24</v>
      </c>
      <c r="O22">
        <v>23</v>
      </c>
      <c r="P22">
        <v>22</v>
      </c>
      <c r="Q22">
        <v>21</v>
      </c>
      <c r="R22">
        <v>20</v>
      </c>
      <c r="S22">
        <v>19</v>
      </c>
      <c r="T22">
        <v>18</v>
      </c>
      <c r="U22">
        <v>17</v>
      </c>
      <c r="V22">
        <v>16</v>
      </c>
      <c r="W22">
        <v>15</v>
      </c>
      <c r="X22">
        <v>14</v>
      </c>
      <c r="Y22">
        <v>13</v>
      </c>
      <c r="Z22">
        <v>12</v>
      </c>
      <c r="AA22">
        <v>11</v>
      </c>
      <c r="AB22">
        <v>10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  <c r="AI22" s="3">
        <v>9</v>
      </c>
      <c r="AJ22" s="2">
        <v>9</v>
      </c>
      <c r="AK22" s="4">
        <v>9</v>
      </c>
      <c r="AL22" s="4">
        <v>9</v>
      </c>
      <c r="AM22" s="4">
        <v>9</v>
      </c>
      <c r="AN22" s="4">
        <v>9</v>
      </c>
      <c r="AO22" s="4">
        <v>6</v>
      </c>
      <c r="AP22" s="4">
        <v>25</v>
      </c>
      <c r="AQ22" s="4">
        <v>25</v>
      </c>
      <c r="AR22" s="4">
        <v>25</v>
      </c>
      <c r="AS22" s="4">
        <v>25</v>
      </c>
      <c r="AT22" s="4">
        <v>25</v>
      </c>
      <c r="AU22" s="4">
        <v>25</v>
      </c>
      <c r="AV22" s="4">
        <v>25</v>
      </c>
      <c r="AW22" s="4">
        <v>25</v>
      </c>
      <c r="AX22" s="4">
        <v>25</v>
      </c>
      <c r="AY22" s="4">
        <v>25</v>
      </c>
      <c r="AZ22" s="4">
        <v>25</v>
      </c>
      <c r="BA22" s="4">
        <v>25</v>
      </c>
      <c r="BB22" s="4">
        <v>25</v>
      </c>
      <c r="BC22" s="4">
        <v>25</v>
      </c>
      <c r="BD22" s="4">
        <v>25</v>
      </c>
      <c r="BE22" s="4">
        <v>25</v>
      </c>
      <c r="BF22" s="4">
        <v>25</v>
      </c>
      <c r="BG22" s="4">
        <v>25</v>
      </c>
      <c r="BH22" s="4">
        <v>25</v>
      </c>
      <c r="BI22" s="4">
        <v>25</v>
      </c>
      <c r="BJ22" s="4">
        <v>25</v>
      </c>
      <c r="BK22" s="4">
        <v>25</v>
      </c>
      <c r="BL22" s="4">
        <v>25</v>
      </c>
      <c r="BM22" s="4">
        <v>25</v>
      </c>
      <c r="BN22" s="4">
        <v>25</v>
      </c>
      <c r="BO22" s="4">
        <v>25</v>
      </c>
      <c r="BP22" s="4">
        <v>25</v>
      </c>
      <c r="BQ22" s="4">
        <v>25</v>
      </c>
      <c r="BR22" s="4">
        <v>25</v>
      </c>
      <c r="BS22" s="4">
        <v>25</v>
      </c>
      <c r="BT22" s="4">
        <v>25</v>
      </c>
      <c r="BU22" s="4">
        <v>25</v>
      </c>
      <c r="BV22" s="4">
        <v>25</v>
      </c>
      <c r="BW22" s="4">
        <v>25</v>
      </c>
      <c r="BX22" s="4">
        <v>25</v>
      </c>
      <c r="BY22" s="4">
        <v>25</v>
      </c>
      <c r="BZ22" s="4">
        <v>25</v>
      </c>
      <c r="CA22" s="4">
        <v>25</v>
      </c>
      <c r="CB22" s="4">
        <v>25</v>
      </c>
      <c r="CC22" s="4">
        <v>25</v>
      </c>
      <c r="CD22" s="4">
        <v>24</v>
      </c>
      <c r="CE22" s="4">
        <v>23</v>
      </c>
      <c r="CF22" s="4">
        <v>22</v>
      </c>
      <c r="CG22" s="4">
        <v>21</v>
      </c>
      <c r="CH22" s="4">
        <v>20</v>
      </c>
      <c r="CI22" s="4">
        <v>19</v>
      </c>
      <c r="CJ22" s="4">
        <v>18</v>
      </c>
      <c r="CK22" s="4">
        <v>17</v>
      </c>
      <c r="CL22" s="4">
        <v>16</v>
      </c>
      <c r="CM22" s="4">
        <v>15</v>
      </c>
      <c r="CN22" s="4">
        <v>14</v>
      </c>
      <c r="CO22" s="4">
        <v>14</v>
      </c>
      <c r="CP22" s="4">
        <v>14</v>
      </c>
      <c r="CQ22" s="4">
        <v>14</v>
      </c>
      <c r="CR22" s="4">
        <v>14</v>
      </c>
      <c r="CS22" s="4">
        <v>14</v>
      </c>
      <c r="CT22" s="4">
        <v>14</v>
      </c>
      <c r="CU22" s="4">
        <v>13</v>
      </c>
      <c r="CV22" s="7">
        <v>6</v>
      </c>
      <c r="CW22" s="7">
        <v>10</v>
      </c>
      <c r="CX22" s="7">
        <v>21.6</v>
      </c>
      <c r="CY22" s="7">
        <v>21.6</v>
      </c>
      <c r="CZ22" s="7">
        <v>25</v>
      </c>
      <c r="DA22" s="7">
        <v>26</v>
      </c>
      <c r="DB22" s="7">
        <v>26</v>
      </c>
      <c r="DC22" s="7">
        <v>22</v>
      </c>
      <c r="DD22" s="7">
        <v>7</v>
      </c>
      <c r="DE22" s="6">
        <v>5</v>
      </c>
      <c r="DF22" s="6">
        <v>17</v>
      </c>
      <c r="DG22" s="6">
        <v>20</v>
      </c>
      <c r="DH22" s="6">
        <v>25</v>
      </c>
      <c r="DI22" s="6">
        <v>22</v>
      </c>
    </row>
    <row r="23" spans="1:160" x14ac:dyDescent="0.25">
      <c r="A23" t="s">
        <v>25</v>
      </c>
      <c r="B23">
        <v>150</v>
      </c>
      <c r="C23">
        <v>150</v>
      </c>
      <c r="D23">
        <v>160</v>
      </c>
      <c r="E23">
        <v>160</v>
      </c>
      <c r="F23">
        <v>170</v>
      </c>
      <c r="G23">
        <v>160</v>
      </c>
      <c r="H23">
        <v>150</v>
      </c>
      <c r="I23">
        <v>140</v>
      </c>
      <c r="J23">
        <v>130</v>
      </c>
      <c r="K23">
        <v>120</v>
      </c>
      <c r="L23">
        <v>110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 s="3">
        <v>100</v>
      </c>
      <c r="AJ23" s="2">
        <v>90</v>
      </c>
      <c r="AK23" s="4">
        <v>80</v>
      </c>
      <c r="AL23" s="4">
        <v>70</v>
      </c>
      <c r="AM23" s="4">
        <v>60</v>
      </c>
      <c r="AN23" s="4">
        <v>50</v>
      </c>
      <c r="AO23" s="4">
        <v>100</v>
      </c>
      <c r="AP23" s="4">
        <v>85</v>
      </c>
      <c r="AQ23" s="4">
        <v>42.5</v>
      </c>
      <c r="AR23" s="4">
        <v>21.25</v>
      </c>
      <c r="AS23" s="4">
        <v>180</v>
      </c>
      <c r="AT23" s="4">
        <v>190</v>
      </c>
      <c r="AU23" s="4">
        <v>200</v>
      </c>
      <c r="AV23" s="4">
        <v>210</v>
      </c>
      <c r="AW23" s="4">
        <v>220</v>
      </c>
      <c r="AX23" s="4">
        <v>230</v>
      </c>
      <c r="AY23" s="4">
        <v>240</v>
      </c>
      <c r="AZ23" s="4">
        <v>250</v>
      </c>
      <c r="BA23" s="4">
        <v>260</v>
      </c>
      <c r="BB23" s="4">
        <v>130</v>
      </c>
      <c r="BC23" s="4">
        <v>65</v>
      </c>
      <c r="BD23" s="4">
        <v>32.5</v>
      </c>
      <c r="BE23">
        <f>BD23/2</f>
        <v>16.25</v>
      </c>
      <c r="BF23">
        <v>260</v>
      </c>
      <c r="BG23">
        <v>250</v>
      </c>
      <c r="BH23">
        <v>240</v>
      </c>
      <c r="BI23">
        <v>230</v>
      </c>
      <c r="BJ23">
        <v>220</v>
      </c>
      <c r="BK23">
        <v>210</v>
      </c>
      <c r="BL23" s="4">
        <v>200</v>
      </c>
      <c r="BM23" s="4">
        <v>190</v>
      </c>
      <c r="BN23" s="4">
        <v>180</v>
      </c>
      <c r="BO23" s="4">
        <v>170</v>
      </c>
      <c r="BP23" s="4">
        <v>260</v>
      </c>
      <c r="BQ23">
        <f>BP23-10</f>
        <v>250</v>
      </c>
      <c r="BR23">
        <f t="shared" ref="BR23:BY23" si="17">BQ23-10</f>
        <v>240</v>
      </c>
      <c r="BS23">
        <f t="shared" si="17"/>
        <v>230</v>
      </c>
      <c r="BT23">
        <f t="shared" si="17"/>
        <v>220</v>
      </c>
      <c r="BU23">
        <f t="shared" si="17"/>
        <v>210</v>
      </c>
      <c r="BV23">
        <f t="shared" si="17"/>
        <v>200</v>
      </c>
      <c r="BW23">
        <f t="shared" si="17"/>
        <v>190</v>
      </c>
      <c r="BX23">
        <f t="shared" si="17"/>
        <v>180</v>
      </c>
      <c r="BY23">
        <f t="shared" si="17"/>
        <v>170</v>
      </c>
      <c r="BZ23" s="4">
        <v>300</v>
      </c>
      <c r="CA23" s="4">
        <v>300</v>
      </c>
      <c r="CB23">
        <v>160</v>
      </c>
      <c r="CC23">
        <v>150</v>
      </c>
      <c r="CD23" s="4">
        <v>150</v>
      </c>
      <c r="CE23" s="4">
        <v>150</v>
      </c>
      <c r="CF23" s="4">
        <v>150</v>
      </c>
      <c r="CG23" s="4">
        <v>150</v>
      </c>
      <c r="CH23" s="4">
        <v>150</v>
      </c>
      <c r="CI23" s="4">
        <v>150</v>
      </c>
      <c r="CJ23" s="4">
        <v>150</v>
      </c>
      <c r="CK23" s="4">
        <v>150</v>
      </c>
      <c r="CL23" s="4">
        <v>150</v>
      </c>
      <c r="CM23" s="4">
        <v>150</v>
      </c>
      <c r="CN23" s="4">
        <v>150</v>
      </c>
      <c r="CO23" s="4">
        <v>140</v>
      </c>
      <c r="CP23" s="4">
        <v>130</v>
      </c>
      <c r="CQ23" s="4">
        <v>120</v>
      </c>
      <c r="CR23" s="4">
        <v>110</v>
      </c>
      <c r="CS23" s="4">
        <v>100</v>
      </c>
      <c r="CT23" s="4">
        <v>90</v>
      </c>
      <c r="CU23" s="4">
        <v>90</v>
      </c>
      <c r="CV23" s="7">
        <v>300</v>
      </c>
      <c r="CW23" s="7">
        <v>150</v>
      </c>
      <c r="CX23" s="7">
        <v>100</v>
      </c>
      <c r="CY23" s="7">
        <v>116</v>
      </c>
      <c r="CZ23" s="7">
        <v>100</v>
      </c>
      <c r="DA23" s="7">
        <v>108</v>
      </c>
      <c r="DB23" s="7">
        <v>108</v>
      </c>
      <c r="DC23" s="7">
        <v>90</v>
      </c>
      <c r="DD23" s="7">
        <v>400</v>
      </c>
      <c r="DE23" s="6">
        <v>500</v>
      </c>
      <c r="DF23" s="6">
        <v>70</v>
      </c>
      <c r="DG23" s="6">
        <v>80</v>
      </c>
      <c r="DH23" s="6">
        <v>100</v>
      </c>
      <c r="DI23" s="6">
        <v>90</v>
      </c>
      <c r="DJ23" s="6">
        <v>100</v>
      </c>
    </row>
    <row r="24" spans="1:160" x14ac:dyDescent="0.25">
      <c r="A24" t="s">
        <v>26</v>
      </c>
      <c r="B24">
        <f>B23-2*(B22-1)*(B25+B26)-2*B26</f>
        <v>34</v>
      </c>
      <c r="C24">
        <f>C23-2*(C22-1)*(C25+C26)-2*C26</f>
        <v>72</v>
      </c>
      <c r="D24">
        <f>D23-2*(D22-1)*(D25+D26)-2*D26</f>
        <v>6</v>
      </c>
      <c r="E24">
        <f>E23-2*(E22-1)*(E25+E26)-2*E26</f>
        <v>30</v>
      </c>
      <c r="F24">
        <f t="shared" ref="F24:BK24" si="18">F23-2*(F22-1)*(F25+F26)-2*F26</f>
        <v>72</v>
      </c>
      <c r="G24">
        <f t="shared" si="18"/>
        <v>62</v>
      </c>
      <c r="H24">
        <f t="shared" si="18"/>
        <v>52</v>
      </c>
      <c r="I24">
        <f t="shared" si="18"/>
        <v>42</v>
      </c>
      <c r="J24">
        <f t="shared" si="18"/>
        <v>32</v>
      </c>
      <c r="K24">
        <f t="shared" si="18"/>
        <v>22</v>
      </c>
      <c r="L24">
        <f t="shared" si="18"/>
        <v>12</v>
      </c>
      <c r="M24">
        <f t="shared" si="18"/>
        <v>2</v>
      </c>
      <c r="N24">
        <f t="shared" si="18"/>
        <v>6</v>
      </c>
      <c r="O24">
        <f t="shared" si="18"/>
        <v>10</v>
      </c>
      <c r="P24">
        <f t="shared" si="18"/>
        <v>14</v>
      </c>
      <c r="Q24">
        <f t="shared" si="18"/>
        <v>18</v>
      </c>
      <c r="R24">
        <f t="shared" si="18"/>
        <v>22</v>
      </c>
      <c r="S24">
        <f t="shared" si="18"/>
        <v>26</v>
      </c>
      <c r="T24">
        <f t="shared" si="18"/>
        <v>30</v>
      </c>
      <c r="U24">
        <f t="shared" si="18"/>
        <v>34</v>
      </c>
      <c r="V24">
        <f t="shared" si="18"/>
        <v>38</v>
      </c>
      <c r="W24">
        <f t="shared" si="18"/>
        <v>42</v>
      </c>
      <c r="X24">
        <f t="shared" si="18"/>
        <v>46</v>
      </c>
      <c r="Y24">
        <f t="shared" si="18"/>
        <v>50</v>
      </c>
      <c r="Z24">
        <f t="shared" si="18"/>
        <v>54</v>
      </c>
      <c r="AA24">
        <f t="shared" si="18"/>
        <v>58</v>
      </c>
      <c r="AB24">
        <f t="shared" si="18"/>
        <v>62</v>
      </c>
      <c r="AC24">
        <f t="shared" si="18"/>
        <v>66</v>
      </c>
      <c r="AD24">
        <f t="shared" si="18"/>
        <v>50</v>
      </c>
      <c r="AE24">
        <f t="shared" si="18"/>
        <v>34</v>
      </c>
      <c r="AF24">
        <f t="shared" si="18"/>
        <v>18</v>
      </c>
      <c r="AG24">
        <f t="shared" si="18"/>
        <v>48</v>
      </c>
      <c r="AH24">
        <f t="shared" si="18"/>
        <v>30</v>
      </c>
      <c r="AI24" s="3">
        <f t="shared" si="18"/>
        <v>12</v>
      </c>
      <c r="AJ24" s="2">
        <f t="shared" si="18"/>
        <v>56</v>
      </c>
      <c r="AK24" s="2">
        <f t="shared" si="18"/>
        <v>46</v>
      </c>
      <c r="AL24" s="2">
        <f t="shared" si="18"/>
        <v>36</v>
      </c>
      <c r="AM24" s="2">
        <f t="shared" si="18"/>
        <v>26</v>
      </c>
      <c r="AN24" s="2">
        <f t="shared" si="18"/>
        <v>16</v>
      </c>
      <c r="AO24" s="2">
        <f t="shared" si="18"/>
        <v>68</v>
      </c>
      <c r="AP24" s="2">
        <f t="shared" si="18"/>
        <v>36</v>
      </c>
      <c r="AQ24" s="2">
        <f t="shared" si="18"/>
        <v>18</v>
      </c>
      <c r="AR24" s="2">
        <f t="shared" si="18"/>
        <v>9</v>
      </c>
      <c r="AS24" s="2">
        <f t="shared" si="18"/>
        <v>82</v>
      </c>
      <c r="AT24" s="2">
        <f t="shared" si="18"/>
        <v>92</v>
      </c>
      <c r="AU24" s="2">
        <f t="shared" si="18"/>
        <v>102</v>
      </c>
      <c r="AV24" s="2">
        <f t="shared" si="18"/>
        <v>112</v>
      </c>
      <c r="AW24" s="2">
        <f t="shared" si="18"/>
        <v>122</v>
      </c>
      <c r="AX24" s="2">
        <f t="shared" si="18"/>
        <v>132</v>
      </c>
      <c r="AY24" s="2">
        <f t="shared" si="18"/>
        <v>142</v>
      </c>
      <c r="AZ24" s="2">
        <f t="shared" si="18"/>
        <v>152</v>
      </c>
      <c r="BA24" s="2">
        <f t="shared" si="18"/>
        <v>162</v>
      </c>
      <c r="BB24" s="2">
        <f t="shared" si="18"/>
        <v>81</v>
      </c>
      <c r="BC24" s="2">
        <f t="shared" si="18"/>
        <v>40.5</v>
      </c>
      <c r="BD24" s="2">
        <f t="shared" si="18"/>
        <v>20.25</v>
      </c>
      <c r="BE24" s="2">
        <f t="shared" si="18"/>
        <v>10.125</v>
      </c>
      <c r="BF24" s="2">
        <f t="shared" si="18"/>
        <v>114</v>
      </c>
      <c r="BG24" s="2">
        <f t="shared" si="18"/>
        <v>104</v>
      </c>
      <c r="BH24" s="2">
        <f t="shared" si="18"/>
        <v>94</v>
      </c>
      <c r="BI24" s="2">
        <f t="shared" si="18"/>
        <v>84</v>
      </c>
      <c r="BJ24" s="2">
        <f t="shared" si="18"/>
        <v>74</v>
      </c>
      <c r="BK24" s="2">
        <f t="shared" si="18"/>
        <v>64</v>
      </c>
      <c r="BL24" s="2">
        <f>BL23-2*(BL22-1)*(BL25+BL26)-2*BL26</f>
        <v>54</v>
      </c>
      <c r="BM24" s="2">
        <f>BM23-2*(BM22-1)*(BM25+BM26)-2*BM26</f>
        <v>44</v>
      </c>
      <c r="BN24" s="2">
        <f>BN23-2*(BN22-1)*(BN25+BN26)-2*BN26</f>
        <v>34</v>
      </c>
      <c r="BO24" s="2">
        <f>BO23-2*(BO22-1)*(BO25+BO26)-2*BO26</f>
        <v>24</v>
      </c>
      <c r="BP24" s="2">
        <f>BP23-2*(BP22-1)*(BP25+BP26)-2*BP26</f>
        <v>112</v>
      </c>
      <c r="BQ24" s="2">
        <f t="shared" ref="BQ24:BY24" si="19">BQ23-2*(BQ22-1)*(BQ25+BQ26)-2*BQ26</f>
        <v>102</v>
      </c>
      <c r="BR24" s="2">
        <f t="shared" si="19"/>
        <v>92</v>
      </c>
      <c r="BS24" s="2">
        <f t="shared" si="19"/>
        <v>82</v>
      </c>
      <c r="BT24" s="2">
        <f t="shared" si="19"/>
        <v>72</v>
      </c>
      <c r="BU24" s="2">
        <f t="shared" si="19"/>
        <v>62</v>
      </c>
      <c r="BV24" s="2">
        <f t="shared" si="19"/>
        <v>52</v>
      </c>
      <c r="BW24" s="2">
        <f t="shared" si="19"/>
        <v>42</v>
      </c>
      <c r="BX24" s="2">
        <f t="shared" si="19"/>
        <v>32</v>
      </c>
      <c r="BY24" s="2">
        <f t="shared" si="19"/>
        <v>22</v>
      </c>
      <c r="BZ24" s="2">
        <f t="shared" ref="BZ24:CR24" si="20">BZ23-2*(BZ22-1)*(BZ25+BZ26)-2*BZ26</f>
        <v>58</v>
      </c>
      <c r="CA24" s="2">
        <f t="shared" si="20"/>
        <v>202</v>
      </c>
      <c r="CB24" s="2">
        <f t="shared" si="20"/>
        <v>14</v>
      </c>
      <c r="CC24" s="2">
        <f t="shared" si="20"/>
        <v>4</v>
      </c>
      <c r="CD24" s="2">
        <f t="shared" si="20"/>
        <v>10</v>
      </c>
      <c r="CE24" s="2">
        <f t="shared" si="20"/>
        <v>16</v>
      </c>
      <c r="CF24" s="2">
        <f t="shared" si="20"/>
        <v>22</v>
      </c>
      <c r="CG24" s="2">
        <f t="shared" si="20"/>
        <v>28</v>
      </c>
      <c r="CH24" s="2">
        <f t="shared" si="20"/>
        <v>34</v>
      </c>
      <c r="CI24" s="2">
        <f t="shared" si="20"/>
        <v>40</v>
      </c>
      <c r="CJ24" s="2">
        <f t="shared" si="20"/>
        <v>46</v>
      </c>
      <c r="CK24" s="2">
        <f t="shared" si="20"/>
        <v>52</v>
      </c>
      <c r="CL24" s="2">
        <f t="shared" si="20"/>
        <v>58</v>
      </c>
      <c r="CM24" s="2">
        <f t="shared" si="20"/>
        <v>64</v>
      </c>
      <c r="CN24" s="2">
        <f t="shared" si="20"/>
        <v>70</v>
      </c>
      <c r="CO24" s="2">
        <f t="shared" si="20"/>
        <v>60</v>
      </c>
      <c r="CP24" s="2">
        <f t="shared" si="20"/>
        <v>50</v>
      </c>
      <c r="CQ24" s="2">
        <f t="shared" si="20"/>
        <v>40</v>
      </c>
      <c r="CR24" s="2">
        <f t="shared" si="20"/>
        <v>30</v>
      </c>
      <c r="CS24" s="2">
        <f t="shared" ref="CS24:CY24" si="21">CS23-2*(CS22-1)*(CS25+CS26)-2*CS26</f>
        <v>20</v>
      </c>
      <c r="CT24" s="2">
        <f t="shared" si="21"/>
        <v>10</v>
      </c>
      <c r="CU24" s="2">
        <f t="shared" si="21"/>
        <v>16</v>
      </c>
      <c r="CV24" s="7">
        <f t="shared" si="21"/>
        <v>278</v>
      </c>
      <c r="CW24" s="7">
        <f t="shared" si="21"/>
        <v>112</v>
      </c>
      <c r="CX24" s="7">
        <f>CX23-2*(CX22-1)*(CX25+CX26)-2*CX26</f>
        <v>15.599999999999994</v>
      </c>
      <c r="CY24" s="7">
        <f t="shared" si="21"/>
        <v>31.599999999999994</v>
      </c>
      <c r="CZ24" s="7">
        <f t="shared" ref="CZ24:DI24" si="22">CZ23-2*(CZ22-1)*(CZ25+CZ26)-2*CZ26</f>
        <v>2</v>
      </c>
      <c r="DA24" s="7">
        <f t="shared" si="22"/>
        <v>6</v>
      </c>
      <c r="DB24" s="7">
        <f t="shared" si="22"/>
        <v>6</v>
      </c>
      <c r="DC24" s="7">
        <f t="shared" si="22"/>
        <v>4</v>
      </c>
      <c r="DD24" s="7">
        <f t="shared" si="22"/>
        <v>270</v>
      </c>
      <c r="DE24" s="7">
        <f t="shared" si="22"/>
        <v>410</v>
      </c>
      <c r="DF24" s="7">
        <f t="shared" si="22"/>
        <v>4</v>
      </c>
      <c r="DG24" s="7">
        <f t="shared" si="22"/>
        <v>2</v>
      </c>
      <c r="DH24" s="7">
        <f t="shared" si="22"/>
        <v>2</v>
      </c>
      <c r="DI24" s="7">
        <f t="shared" si="22"/>
        <v>4</v>
      </c>
      <c r="DJ24" s="6">
        <v>14</v>
      </c>
    </row>
    <row r="25" spans="1:160" x14ac:dyDescent="0.25">
      <c r="A25" t="s">
        <v>27</v>
      </c>
      <c r="B25">
        <v>2</v>
      </c>
      <c r="C25">
        <v>1</v>
      </c>
      <c r="D25">
        <v>3</v>
      </c>
      <c r="E25">
        <v>3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2</v>
      </c>
      <c r="AE25">
        <v>3</v>
      </c>
      <c r="AF25">
        <v>4</v>
      </c>
      <c r="AG25">
        <v>1</v>
      </c>
      <c r="AH25">
        <v>1</v>
      </c>
      <c r="AI25" s="3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4">
        <v>2</v>
      </c>
      <c r="AP25" s="4">
        <v>0.5</v>
      </c>
      <c r="AQ25" s="4">
        <v>0.25</v>
      </c>
      <c r="AR25" s="4">
        <v>0.125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1</v>
      </c>
      <c r="BB25" s="4">
        <v>0.5</v>
      </c>
      <c r="BC25" s="4">
        <v>0.25</v>
      </c>
      <c r="BD25" s="4">
        <v>0.125</v>
      </c>
      <c r="BE25">
        <f>BD25/2</f>
        <v>6.25E-2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4</v>
      </c>
      <c r="CA25">
        <v>1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2</v>
      </c>
      <c r="CU25">
        <v>2</v>
      </c>
      <c r="CV25" s="6">
        <v>1</v>
      </c>
      <c r="CW25" s="6">
        <v>1</v>
      </c>
      <c r="CX25" s="6">
        <v>1</v>
      </c>
      <c r="CY25" s="7">
        <v>1</v>
      </c>
      <c r="CZ25" s="7">
        <v>1</v>
      </c>
      <c r="DA25" s="7">
        <v>1</v>
      </c>
      <c r="DB25" s="7">
        <v>1</v>
      </c>
      <c r="DC25" s="7">
        <v>1</v>
      </c>
      <c r="DD25" s="7">
        <v>5</v>
      </c>
      <c r="DE25" s="6">
        <v>5</v>
      </c>
      <c r="DF25" s="6">
        <v>1</v>
      </c>
      <c r="DG25" s="6">
        <v>1</v>
      </c>
      <c r="DH25" s="6">
        <v>1</v>
      </c>
      <c r="DI25" s="6">
        <v>1</v>
      </c>
    </row>
    <row r="26" spans="1:160" x14ac:dyDescent="0.25">
      <c r="A26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2</v>
      </c>
      <c r="AH26">
        <v>3</v>
      </c>
      <c r="AI26" s="3">
        <v>4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4">
        <v>1</v>
      </c>
      <c r="AP26" s="4">
        <v>0.5</v>
      </c>
      <c r="AQ26" s="4">
        <v>0.25</v>
      </c>
      <c r="AR26" s="4">
        <v>0.125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  <c r="BB26" s="4">
        <v>0.5</v>
      </c>
      <c r="BC26" s="4">
        <v>0.25</v>
      </c>
      <c r="BD26" s="4">
        <v>0.125</v>
      </c>
      <c r="BE26">
        <f>BD26/2</f>
        <v>6.25E-2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 s="6">
        <v>1</v>
      </c>
      <c r="CW26" s="6">
        <v>1</v>
      </c>
      <c r="CX26" s="6">
        <v>1</v>
      </c>
      <c r="CY26" s="7">
        <v>1</v>
      </c>
      <c r="CZ26" s="7">
        <v>1</v>
      </c>
      <c r="DA26" s="7">
        <v>1</v>
      </c>
      <c r="DB26" s="7">
        <v>1</v>
      </c>
      <c r="DC26" s="7">
        <v>1</v>
      </c>
      <c r="DD26" s="7">
        <v>5</v>
      </c>
      <c r="DE26" s="6">
        <v>5</v>
      </c>
      <c r="DF26" s="6">
        <v>1</v>
      </c>
      <c r="DG26" s="6">
        <v>1</v>
      </c>
      <c r="DH26" s="6">
        <v>1</v>
      </c>
      <c r="DI26" s="6">
        <v>1</v>
      </c>
    </row>
    <row r="27" spans="1:160" x14ac:dyDescent="0.25">
      <c r="A27" t="s">
        <v>31</v>
      </c>
      <c r="B27">
        <f>(B23+B24)*0.5</f>
        <v>92</v>
      </c>
      <c r="C27">
        <f t="shared" ref="C27:BI27" si="23">(C23+C24)*0.5</f>
        <v>111</v>
      </c>
      <c r="D27">
        <f t="shared" si="23"/>
        <v>83</v>
      </c>
      <c r="E27">
        <f t="shared" si="23"/>
        <v>95</v>
      </c>
      <c r="F27">
        <f t="shared" si="23"/>
        <v>121</v>
      </c>
      <c r="G27">
        <f t="shared" si="23"/>
        <v>111</v>
      </c>
      <c r="H27">
        <f t="shared" si="23"/>
        <v>101</v>
      </c>
      <c r="I27">
        <f t="shared" si="23"/>
        <v>91</v>
      </c>
      <c r="J27">
        <f t="shared" si="23"/>
        <v>81</v>
      </c>
      <c r="K27">
        <f t="shared" si="23"/>
        <v>71</v>
      </c>
      <c r="L27">
        <f t="shared" si="23"/>
        <v>61</v>
      </c>
      <c r="M27">
        <f t="shared" si="23"/>
        <v>51</v>
      </c>
      <c r="N27">
        <f t="shared" si="23"/>
        <v>53</v>
      </c>
      <c r="O27">
        <f t="shared" si="23"/>
        <v>55</v>
      </c>
      <c r="P27">
        <f t="shared" si="23"/>
        <v>57</v>
      </c>
      <c r="Q27">
        <f t="shared" si="23"/>
        <v>59</v>
      </c>
      <c r="R27">
        <f t="shared" si="23"/>
        <v>61</v>
      </c>
      <c r="S27">
        <f t="shared" si="23"/>
        <v>63</v>
      </c>
      <c r="T27">
        <f t="shared" si="23"/>
        <v>65</v>
      </c>
      <c r="U27">
        <f t="shared" si="23"/>
        <v>67</v>
      </c>
      <c r="V27">
        <f t="shared" si="23"/>
        <v>69</v>
      </c>
      <c r="W27">
        <f t="shared" si="23"/>
        <v>71</v>
      </c>
      <c r="X27">
        <f t="shared" si="23"/>
        <v>73</v>
      </c>
      <c r="Y27">
        <f t="shared" si="23"/>
        <v>75</v>
      </c>
      <c r="Z27">
        <f t="shared" si="23"/>
        <v>77</v>
      </c>
      <c r="AA27">
        <f t="shared" si="23"/>
        <v>79</v>
      </c>
      <c r="AB27">
        <f t="shared" si="23"/>
        <v>81</v>
      </c>
      <c r="AC27">
        <f t="shared" si="23"/>
        <v>83</v>
      </c>
      <c r="AD27">
        <f t="shared" si="23"/>
        <v>75</v>
      </c>
      <c r="AE27">
        <f t="shared" si="23"/>
        <v>67</v>
      </c>
      <c r="AF27">
        <f t="shared" si="23"/>
        <v>59</v>
      </c>
      <c r="AG27">
        <f t="shared" si="23"/>
        <v>74</v>
      </c>
      <c r="AH27">
        <f t="shared" si="23"/>
        <v>65</v>
      </c>
      <c r="AI27" s="3">
        <f t="shared" si="23"/>
        <v>56</v>
      </c>
      <c r="AJ27" s="2">
        <f t="shared" si="23"/>
        <v>73</v>
      </c>
      <c r="AK27" s="2">
        <f t="shared" si="23"/>
        <v>63</v>
      </c>
      <c r="AL27" s="2">
        <f t="shared" si="23"/>
        <v>53</v>
      </c>
      <c r="AM27" s="2">
        <f t="shared" si="23"/>
        <v>43</v>
      </c>
      <c r="AN27" s="2">
        <f t="shared" si="23"/>
        <v>33</v>
      </c>
      <c r="AO27" s="2">
        <f t="shared" si="23"/>
        <v>84</v>
      </c>
      <c r="AP27" s="2">
        <f t="shared" si="23"/>
        <v>60.5</v>
      </c>
      <c r="AQ27" s="2">
        <f t="shared" si="23"/>
        <v>30.25</v>
      </c>
      <c r="AR27" s="2">
        <f t="shared" si="23"/>
        <v>15.125</v>
      </c>
      <c r="AS27" s="2">
        <f t="shared" si="23"/>
        <v>131</v>
      </c>
      <c r="AT27" s="2">
        <f t="shared" si="23"/>
        <v>141</v>
      </c>
      <c r="AU27" s="2">
        <f t="shared" si="23"/>
        <v>151</v>
      </c>
      <c r="AV27" s="2">
        <f t="shared" si="23"/>
        <v>161</v>
      </c>
      <c r="AW27" s="2">
        <f t="shared" si="23"/>
        <v>171</v>
      </c>
      <c r="AX27" s="2">
        <f t="shared" si="23"/>
        <v>181</v>
      </c>
      <c r="AY27" s="2">
        <f t="shared" si="23"/>
        <v>191</v>
      </c>
      <c r="AZ27" s="2">
        <f t="shared" si="23"/>
        <v>201</v>
      </c>
      <c r="BA27" s="2">
        <f t="shared" si="23"/>
        <v>211</v>
      </c>
      <c r="BB27" s="2">
        <f t="shared" si="23"/>
        <v>105.5</v>
      </c>
      <c r="BC27" s="2">
        <f t="shared" si="23"/>
        <v>52.75</v>
      </c>
      <c r="BD27" s="2">
        <f t="shared" si="23"/>
        <v>26.375</v>
      </c>
      <c r="BE27" s="2">
        <f t="shared" si="23"/>
        <v>13.1875</v>
      </c>
      <c r="BF27" s="2">
        <f t="shared" si="23"/>
        <v>187</v>
      </c>
      <c r="BG27" s="2">
        <f t="shared" si="23"/>
        <v>177</v>
      </c>
      <c r="BH27" s="2">
        <f t="shared" si="23"/>
        <v>167</v>
      </c>
      <c r="BI27" s="2">
        <f t="shared" si="23"/>
        <v>157</v>
      </c>
      <c r="BJ27" s="2">
        <f t="shared" ref="BJ27:BP27" si="24">(BJ23+BJ24)*0.5</f>
        <v>147</v>
      </c>
      <c r="BK27" s="2">
        <f t="shared" si="24"/>
        <v>137</v>
      </c>
      <c r="BL27" s="2">
        <f t="shared" si="24"/>
        <v>127</v>
      </c>
      <c r="BM27" s="2">
        <f t="shared" si="24"/>
        <v>117</v>
      </c>
      <c r="BN27" s="2">
        <f t="shared" si="24"/>
        <v>107</v>
      </c>
      <c r="BO27" s="2">
        <f t="shared" si="24"/>
        <v>97</v>
      </c>
      <c r="BP27" s="2">
        <f t="shared" si="24"/>
        <v>186</v>
      </c>
      <c r="BQ27" s="2">
        <f t="shared" ref="BQ27:BY27" si="25">(BQ23+BQ24)*0.5</f>
        <v>176</v>
      </c>
      <c r="BR27" s="2">
        <f t="shared" si="25"/>
        <v>166</v>
      </c>
      <c r="BS27" s="2">
        <f t="shared" si="25"/>
        <v>156</v>
      </c>
      <c r="BT27" s="2">
        <f t="shared" si="25"/>
        <v>146</v>
      </c>
      <c r="BU27" s="2">
        <f t="shared" si="25"/>
        <v>136</v>
      </c>
      <c r="BV27" s="2">
        <f t="shared" si="25"/>
        <v>126</v>
      </c>
      <c r="BW27" s="2">
        <f t="shared" si="25"/>
        <v>116</v>
      </c>
      <c r="BX27" s="2">
        <f t="shared" si="25"/>
        <v>106</v>
      </c>
      <c r="BY27" s="2">
        <f t="shared" si="25"/>
        <v>96</v>
      </c>
      <c r="BZ27" s="2">
        <f t="shared" ref="BZ27:DC27" si="26">(BZ23+BZ24)*0.5</f>
        <v>179</v>
      </c>
      <c r="CA27" s="2">
        <f t="shared" si="26"/>
        <v>251</v>
      </c>
      <c r="CB27" s="2">
        <f t="shared" si="26"/>
        <v>87</v>
      </c>
      <c r="CC27" s="2">
        <f t="shared" si="26"/>
        <v>77</v>
      </c>
      <c r="CD27" s="2">
        <f t="shared" si="26"/>
        <v>80</v>
      </c>
      <c r="CE27" s="2">
        <f t="shared" si="26"/>
        <v>83</v>
      </c>
      <c r="CF27" s="2">
        <f t="shared" si="26"/>
        <v>86</v>
      </c>
      <c r="CG27" s="2">
        <f t="shared" si="26"/>
        <v>89</v>
      </c>
      <c r="CH27" s="2">
        <f t="shared" si="26"/>
        <v>92</v>
      </c>
      <c r="CI27" s="2">
        <f t="shared" si="26"/>
        <v>95</v>
      </c>
      <c r="CJ27" s="2">
        <f t="shared" si="26"/>
        <v>98</v>
      </c>
      <c r="CK27" s="2">
        <f t="shared" si="26"/>
        <v>101</v>
      </c>
      <c r="CL27" s="2">
        <f t="shared" si="26"/>
        <v>104</v>
      </c>
      <c r="CM27" s="2">
        <f t="shared" si="26"/>
        <v>107</v>
      </c>
      <c r="CN27" s="2">
        <f t="shared" si="26"/>
        <v>110</v>
      </c>
      <c r="CO27" s="2">
        <f t="shared" si="26"/>
        <v>100</v>
      </c>
      <c r="CP27" s="2">
        <f t="shared" si="26"/>
        <v>90</v>
      </c>
      <c r="CQ27" s="2">
        <f t="shared" si="26"/>
        <v>80</v>
      </c>
      <c r="CR27" s="2">
        <f t="shared" si="26"/>
        <v>70</v>
      </c>
      <c r="CS27" s="2">
        <f t="shared" si="26"/>
        <v>60</v>
      </c>
      <c r="CT27" s="2">
        <f t="shared" si="26"/>
        <v>50</v>
      </c>
      <c r="CU27" s="2">
        <f t="shared" si="26"/>
        <v>53</v>
      </c>
      <c r="CV27" s="2">
        <f t="shared" si="26"/>
        <v>289</v>
      </c>
      <c r="CW27" s="2">
        <f t="shared" si="26"/>
        <v>131</v>
      </c>
      <c r="CX27" s="2">
        <f t="shared" si="26"/>
        <v>57.8</v>
      </c>
      <c r="CY27" s="2">
        <f t="shared" si="26"/>
        <v>73.8</v>
      </c>
      <c r="CZ27" s="2">
        <f t="shared" si="26"/>
        <v>51</v>
      </c>
      <c r="DA27" s="2">
        <f t="shared" si="26"/>
        <v>57</v>
      </c>
      <c r="DB27" s="2">
        <f t="shared" si="26"/>
        <v>57</v>
      </c>
      <c r="DC27" s="2">
        <f t="shared" si="26"/>
        <v>47</v>
      </c>
      <c r="DD27" s="2">
        <f t="shared" ref="DD27:DI27" si="27">(DD23+DD24)*0.5</f>
        <v>335</v>
      </c>
      <c r="DE27" s="2">
        <f t="shared" si="27"/>
        <v>455</v>
      </c>
      <c r="DF27" s="2">
        <f t="shared" si="27"/>
        <v>37</v>
      </c>
      <c r="DG27" s="2">
        <f t="shared" si="27"/>
        <v>41</v>
      </c>
      <c r="DH27" s="2">
        <f t="shared" si="27"/>
        <v>51</v>
      </c>
      <c r="DI27" s="2">
        <f t="shared" si="27"/>
        <v>47</v>
      </c>
    </row>
    <row r="28" spans="1:160" x14ac:dyDescent="0.25">
      <c r="A28" t="s">
        <v>38</v>
      </c>
      <c r="B28">
        <f>4*B27*B22</f>
        <v>7360</v>
      </c>
      <c r="C28">
        <f t="shared" ref="C28:K28" si="28">4*C27*C22</f>
        <v>8880</v>
      </c>
      <c r="D28">
        <f t="shared" si="28"/>
        <v>6640</v>
      </c>
      <c r="E28">
        <f t="shared" si="28"/>
        <v>6460</v>
      </c>
      <c r="F28">
        <f t="shared" si="28"/>
        <v>12100</v>
      </c>
      <c r="G28">
        <f t="shared" si="28"/>
        <v>11100</v>
      </c>
      <c r="H28">
        <f t="shared" si="28"/>
        <v>10100</v>
      </c>
      <c r="I28">
        <f t="shared" si="28"/>
        <v>9100</v>
      </c>
      <c r="J28">
        <f t="shared" si="28"/>
        <v>8100</v>
      </c>
      <c r="K28">
        <f t="shared" si="28"/>
        <v>7100</v>
      </c>
      <c r="L28">
        <f t="shared" ref="L28:BI28" si="29">4*L27*L22</f>
        <v>6100</v>
      </c>
      <c r="M28">
        <f t="shared" si="29"/>
        <v>5100</v>
      </c>
      <c r="N28">
        <f t="shared" si="29"/>
        <v>5088</v>
      </c>
      <c r="O28">
        <f t="shared" si="29"/>
        <v>5060</v>
      </c>
      <c r="P28">
        <f t="shared" si="29"/>
        <v>5016</v>
      </c>
      <c r="Q28">
        <f t="shared" si="29"/>
        <v>4956</v>
      </c>
      <c r="R28">
        <f t="shared" si="29"/>
        <v>4880</v>
      </c>
      <c r="S28">
        <f t="shared" si="29"/>
        <v>4788</v>
      </c>
      <c r="T28">
        <f t="shared" si="29"/>
        <v>4680</v>
      </c>
      <c r="U28">
        <f t="shared" si="29"/>
        <v>4556</v>
      </c>
      <c r="V28">
        <f t="shared" si="29"/>
        <v>4416</v>
      </c>
      <c r="W28">
        <f t="shared" si="29"/>
        <v>4260</v>
      </c>
      <c r="X28">
        <f t="shared" si="29"/>
        <v>4088</v>
      </c>
      <c r="Y28">
        <f t="shared" si="29"/>
        <v>3900</v>
      </c>
      <c r="Z28">
        <f t="shared" si="29"/>
        <v>3696</v>
      </c>
      <c r="AA28">
        <f t="shared" si="29"/>
        <v>3476</v>
      </c>
      <c r="AB28">
        <f t="shared" si="29"/>
        <v>3240</v>
      </c>
      <c r="AC28">
        <f t="shared" si="29"/>
        <v>2988</v>
      </c>
      <c r="AD28">
        <f t="shared" si="29"/>
        <v>2700</v>
      </c>
      <c r="AE28">
        <f t="shared" si="29"/>
        <v>2412</v>
      </c>
      <c r="AF28">
        <f t="shared" si="29"/>
        <v>2124</v>
      </c>
      <c r="AG28">
        <f t="shared" si="29"/>
        <v>2664</v>
      </c>
      <c r="AH28">
        <f t="shared" si="29"/>
        <v>2340</v>
      </c>
      <c r="AI28" s="3">
        <f t="shared" si="29"/>
        <v>2016</v>
      </c>
      <c r="AJ28" s="2">
        <f t="shared" si="29"/>
        <v>2628</v>
      </c>
      <c r="AK28" s="2">
        <f t="shared" si="29"/>
        <v>2268</v>
      </c>
      <c r="AL28" s="2">
        <f t="shared" si="29"/>
        <v>1908</v>
      </c>
      <c r="AM28" s="2">
        <f t="shared" si="29"/>
        <v>1548</v>
      </c>
      <c r="AN28" s="2">
        <f t="shared" si="29"/>
        <v>1188</v>
      </c>
      <c r="AO28" s="2">
        <f t="shared" si="29"/>
        <v>2016</v>
      </c>
      <c r="AP28" s="2">
        <f t="shared" si="29"/>
        <v>6050</v>
      </c>
      <c r="AQ28" s="2">
        <f t="shared" si="29"/>
        <v>3025</v>
      </c>
      <c r="AR28" s="2">
        <f t="shared" si="29"/>
        <v>1512.5</v>
      </c>
      <c r="AS28" s="2">
        <f t="shared" si="29"/>
        <v>13100</v>
      </c>
      <c r="AT28" s="2">
        <f t="shared" si="29"/>
        <v>14100</v>
      </c>
      <c r="AU28" s="2">
        <f t="shared" si="29"/>
        <v>15100</v>
      </c>
      <c r="AV28" s="2">
        <f t="shared" si="29"/>
        <v>16100</v>
      </c>
      <c r="AW28" s="2">
        <f t="shared" si="29"/>
        <v>17100</v>
      </c>
      <c r="AX28" s="2">
        <f t="shared" si="29"/>
        <v>18100</v>
      </c>
      <c r="AY28" s="2">
        <f t="shared" si="29"/>
        <v>19100</v>
      </c>
      <c r="AZ28" s="2">
        <f t="shared" si="29"/>
        <v>20100</v>
      </c>
      <c r="BA28" s="2">
        <f t="shared" si="29"/>
        <v>21100</v>
      </c>
      <c r="BB28" s="2">
        <f t="shared" si="29"/>
        <v>10550</v>
      </c>
      <c r="BC28" s="2">
        <f t="shared" si="29"/>
        <v>5275</v>
      </c>
      <c r="BD28" s="2">
        <f t="shared" si="29"/>
        <v>2637.5</v>
      </c>
      <c r="BE28" s="2">
        <f t="shared" si="29"/>
        <v>1318.75</v>
      </c>
      <c r="BF28" s="2">
        <f t="shared" si="29"/>
        <v>18700</v>
      </c>
      <c r="BG28" s="2">
        <f t="shared" si="29"/>
        <v>17700</v>
      </c>
      <c r="BH28" s="2">
        <f t="shared" si="29"/>
        <v>16700</v>
      </c>
      <c r="BI28" s="2">
        <f t="shared" si="29"/>
        <v>15700</v>
      </c>
      <c r="BJ28" s="2">
        <f t="shared" ref="BJ28:BO28" si="30">4*BJ27*BJ22</f>
        <v>14700</v>
      </c>
      <c r="BK28" s="2">
        <f t="shared" si="30"/>
        <v>13700</v>
      </c>
      <c r="BL28" s="2">
        <f t="shared" si="30"/>
        <v>12700</v>
      </c>
      <c r="BM28" s="2">
        <f t="shared" si="30"/>
        <v>11700</v>
      </c>
      <c r="BN28" s="2">
        <f t="shared" si="30"/>
        <v>10700</v>
      </c>
      <c r="BO28" s="2">
        <f t="shared" si="30"/>
        <v>9700</v>
      </c>
      <c r="BP28" s="2">
        <f t="shared" ref="BP28:BY28" si="31">4*BP27*BP22</f>
        <v>18600</v>
      </c>
      <c r="BQ28" s="2">
        <f t="shared" si="31"/>
        <v>17600</v>
      </c>
      <c r="BR28" s="2">
        <f t="shared" si="31"/>
        <v>16600</v>
      </c>
      <c r="BS28" s="2">
        <f t="shared" si="31"/>
        <v>15600</v>
      </c>
      <c r="BT28" s="2">
        <f t="shared" si="31"/>
        <v>14600</v>
      </c>
      <c r="BU28" s="2">
        <f t="shared" si="31"/>
        <v>13600</v>
      </c>
      <c r="BV28" s="2">
        <f t="shared" si="31"/>
        <v>12600</v>
      </c>
      <c r="BW28" s="2">
        <f t="shared" si="31"/>
        <v>11600</v>
      </c>
      <c r="BX28" s="2">
        <f t="shared" si="31"/>
        <v>10600</v>
      </c>
      <c r="BY28" s="2">
        <f t="shared" si="31"/>
        <v>9600</v>
      </c>
      <c r="BZ28" s="2">
        <f t="shared" ref="BZ28:DC28" si="32">4*BZ27*BZ22</f>
        <v>17900</v>
      </c>
      <c r="CA28" s="2">
        <f t="shared" si="32"/>
        <v>25100</v>
      </c>
      <c r="CB28" s="2">
        <f t="shared" si="32"/>
        <v>8700</v>
      </c>
      <c r="CC28" s="2">
        <f t="shared" si="32"/>
        <v>7700</v>
      </c>
      <c r="CD28" s="2">
        <f t="shared" si="32"/>
        <v>7680</v>
      </c>
      <c r="CE28" s="2">
        <f t="shared" si="32"/>
        <v>7636</v>
      </c>
      <c r="CF28" s="2">
        <f t="shared" si="32"/>
        <v>7568</v>
      </c>
      <c r="CG28" s="2">
        <f t="shared" si="32"/>
        <v>7476</v>
      </c>
      <c r="CH28" s="2">
        <f t="shared" si="32"/>
        <v>7360</v>
      </c>
      <c r="CI28" s="2">
        <f t="shared" si="32"/>
        <v>7220</v>
      </c>
      <c r="CJ28" s="2">
        <f t="shared" si="32"/>
        <v>7056</v>
      </c>
      <c r="CK28" s="2">
        <f t="shared" si="32"/>
        <v>6868</v>
      </c>
      <c r="CL28" s="2">
        <f t="shared" si="32"/>
        <v>6656</v>
      </c>
      <c r="CM28" s="2">
        <f t="shared" si="32"/>
        <v>6420</v>
      </c>
      <c r="CN28" s="2">
        <f t="shared" si="32"/>
        <v>6160</v>
      </c>
      <c r="CO28" s="2">
        <f t="shared" si="32"/>
        <v>5600</v>
      </c>
      <c r="CP28" s="2">
        <f t="shared" si="32"/>
        <v>5040</v>
      </c>
      <c r="CQ28" s="2">
        <f t="shared" si="32"/>
        <v>4480</v>
      </c>
      <c r="CR28" s="2">
        <f t="shared" si="32"/>
        <v>3920</v>
      </c>
      <c r="CS28" s="2">
        <f t="shared" si="32"/>
        <v>3360</v>
      </c>
      <c r="CT28" s="2">
        <f t="shared" si="32"/>
        <v>2800</v>
      </c>
      <c r="CU28" s="2">
        <f t="shared" si="32"/>
        <v>2756</v>
      </c>
      <c r="CV28" s="2">
        <f t="shared" si="32"/>
        <v>6936</v>
      </c>
      <c r="CW28" s="2">
        <f t="shared" si="32"/>
        <v>5240</v>
      </c>
      <c r="CX28" s="2">
        <f t="shared" si="32"/>
        <v>4993.92</v>
      </c>
      <c r="CY28" s="2">
        <f t="shared" si="32"/>
        <v>6376.3200000000006</v>
      </c>
      <c r="CZ28" s="2">
        <f t="shared" si="32"/>
        <v>5100</v>
      </c>
      <c r="DA28" s="2">
        <f t="shared" si="32"/>
        <v>5928</v>
      </c>
      <c r="DB28" s="2">
        <f t="shared" si="32"/>
        <v>5928</v>
      </c>
      <c r="DC28" s="2">
        <f t="shared" si="32"/>
        <v>4136</v>
      </c>
      <c r="DD28" s="2">
        <f t="shared" ref="DD28:DI28" si="33">4*DD27*DD22</f>
        <v>9380</v>
      </c>
      <c r="DE28" s="2">
        <f t="shared" si="33"/>
        <v>9100</v>
      </c>
      <c r="DF28" s="2">
        <f t="shared" si="33"/>
        <v>2516</v>
      </c>
      <c r="DG28" s="2">
        <f t="shared" si="33"/>
        <v>3280</v>
      </c>
      <c r="DH28" s="2">
        <f t="shared" si="33"/>
        <v>5100</v>
      </c>
      <c r="DI28" s="2">
        <f t="shared" si="33"/>
        <v>4136</v>
      </c>
    </row>
    <row r="29" spans="1:160" x14ac:dyDescent="0.25">
      <c r="A29" t="s">
        <v>58</v>
      </c>
      <c r="B29">
        <f>B23*B23</f>
        <v>22500</v>
      </c>
      <c r="C29">
        <f t="shared" ref="C29:BI29" si="34">C23*C23</f>
        <v>22500</v>
      </c>
      <c r="D29">
        <f t="shared" si="34"/>
        <v>25600</v>
      </c>
      <c r="E29">
        <f t="shared" si="34"/>
        <v>25600</v>
      </c>
      <c r="F29">
        <f t="shared" si="34"/>
        <v>28900</v>
      </c>
      <c r="G29">
        <f t="shared" si="34"/>
        <v>25600</v>
      </c>
      <c r="H29">
        <f t="shared" si="34"/>
        <v>22500</v>
      </c>
      <c r="I29">
        <f t="shared" si="34"/>
        <v>19600</v>
      </c>
      <c r="J29">
        <f t="shared" si="34"/>
        <v>16900</v>
      </c>
      <c r="K29">
        <f t="shared" si="34"/>
        <v>14400</v>
      </c>
      <c r="L29">
        <f t="shared" si="34"/>
        <v>12100</v>
      </c>
      <c r="M29">
        <f t="shared" si="34"/>
        <v>10000</v>
      </c>
      <c r="N29">
        <f t="shared" si="34"/>
        <v>10000</v>
      </c>
      <c r="O29">
        <f t="shared" si="34"/>
        <v>10000</v>
      </c>
      <c r="P29">
        <f t="shared" si="34"/>
        <v>10000</v>
      </c>
      <c r="Q29">
        <f t="shared" si="34"/>
        <v>10000</v>
      </c>
      <c r="R29">
        <f t="shared" si="34"/>
        <v>10000</v>
      </c>
      <c r="S29">
        <f t="shared" si="34"/>
        <v>10000</v>
      </c>
      <c r="T29">
        <f t="shared" si="34"/>
        <v>10000</v>
      </c>
      <c r="U29">
        <f t="shared" si="34"/>
        <v>10000</v>
      </c>
      <c r="V29">
        <f t="shared" si="34"/>
        <v>10000</v>
      </c>
      <c r="W29">
        <f t="shared" si="34"/>
        <v>10000</v>
      </c>
      <c r="X29">
        <f t="shared" si="34"/>
        <v>10000</v>
      </c>
      <c r="Y29">
        <f t="shared" si="34"/>
        <v>10000</v>
      </c>
      <c r="Z29">
        <f t="shared" si="34"/>
        <v>10000</v>
      </c>
      <c r="AA29">
        <f t="shared" si="34"/>
        <v>10000</v>
      </c>
      <c r="AB29">
        <f t="shared" si="34"/>
        <v>10000</v>
      </c>
      <c r="AC29">
        <f t="shared" si="34"/>
        <v>10000</v>
      </c>
      <c r="AD29">
        <f t="shared" si="34"/>
        <v>10000</v>
      </c>
      <c r="AE29">
        <f t="shared" si="34"/>
        <v>10000</v>
      </c>
      <c r="AF29">
        <f t="shared" si="34"/>
        <v>10000</v>
      </c>
      <c r="AG29">
        <f t="shared" si="34"/>
        <v>10000</v>
      </c>
      <c r="AH29">
        <f t="shared" si="34"/>
        <v>10000</v>
      </c>
      <c r="AI29" s="3">
        <f t="shared" si="34"/>
        <v>10000</v>
      </c>
      <c r="AJ29" s="2">
        <f t="shared" si="34"/>
        <v>8100</v>
      </c>
      <c r="AK29" s="2">
        <f t="shared" si="34"/>
        <v>6400</v>
      </c>
      <c r="AL29" s="2">
        <f t="shared" si="34"/>
        <v>4900</v>
      </c>
      <c r="AM29" s="2">
        <f t="shared" si="34"/>
        <v>3600</v>
      </c>
      <c r="AN29" s="2">
        <f t="shared" si="34"/>
        <v>2500</v>
      </c>
      <c r="AO29" s="2">
        <f t="shared" si="34"/>
        <v>10000</v>
      </c>
      <c r="AP29" s="2">
        <f t="shared" si="34"/>
        <v>7225</v>
      </c>
      <c r="AQ29" s="2">
        <f t="shared" si="34"/>
        <v>1806.25</v>
      </c>
      <c r="AR29" s="2">
        <f t="shared" si="34"/>
        <v>451.5625</v>
      </c>
      <c r="AS29" s="2">
        <f t="shared" si="34"/>
        <v>32400</v>
      </c>
      <c r="AT29" s="2">
        <f t="shared" si="34"/>
        <v>36100</v>
      </c>
      <c r="AU29" s="2">
        <f t="shared" si="34"/>
        <v>40000</v>
      </c>
      <c r="AV29" s="2">
        <f t="shared" si="34"/>
        <v>44100</v>
      </c>
      <c r="AW29" s="2">
        <f t="shared" si="34"/>
        <v>48400</v>
      </c>
      <c r="AX29" s="2">
        <f t="shared" si="34"/>
        <v>52900</v>
      </c>
      <c r="AY29" s="2">
        <f t="shared" si="34"/>
        <v>57600</v>
      </c>
      <c r="AZ29" s="2">
        <f t="shared" si="34"/>
        <v>62500</v>
      </c>
      <c r="BA29" s="2">
        <f t="shared" si="34"/>
        <v>67600</v>
      </c>
      <c r="BB29" s="2">
        <f t="shared" si="34"/>
        <v>16900</v>
      </c>
      <c r="BC29" s="2">
        <f t="shared" si="34"/>
        <v>4225</v>
      </c>
      <c r="BD29" s="2">
        <f t="shared" si="34"/>
        <v>1056.25</v>
      </c>
      <c r="BE29" s="2">
        <f t="shared" si="34"/>
        <v>264.0625</v>
      </c>
      <c r="BF29" s="2">
        <f t="shared" si="34"/>
        <v>67600</v>
      </c>
      <c r="BG29" s="2">
        <f t="shared" si="34"/>
        <v>62500</v>
      </c>
      <c r="BH29" s="2">
        <f t="shared" si="34"/>
        <v>57600</v>
      </c>
      <c r="BI29" s="2">
        <f t="shared" si="34"/>
        <v>52900</v>
      </c>
      <c r="BJ29" s="2">
        <f t="shared" ref="BJ29:BO29" si="35">BJ23*BJ23</f>
        <v>48400</v>
      </c>
      <c r="BK29" s="2">
        <f t="shared" si="35"/>
        <v>44100</v>
      </c>
      <c r="BL29" s="2">
        <f t="shared" si="35"/>
        <v>40000</v>
      </c>
      <c r="BM29" s="2">
        <f t="shared" si="35"/>
        <v>36100</v>
      </c>
      <c r="BN29" s="2">
        <f t="shared" si="35"/>
        <v>32400</v>
      </c>
      <c r="BO29" s="2">
        <f t="shared" si="35"/>
        <v>28900</v>
      </c>
      <c r="BP29" s="2">
        <f t="shared" ref="BP29:BY29" si="36">BP23*BP23</f>
        <v>67600</v>
      </c>
      <c r="BQ29" s="2">
        <f t="shared" si="36"/>
        <v>62500</v>
      </c>
      <c r="BR29" s="2">
        <f t="shared" si="36"/>
        <v>57600</v>
      </c>
      <c r="BS29" s="2">
        <f t="shared" si="36"/>
        <v>52900</v>
      </c>
      <c r="BT29" s="2">
        <f t="shared" si="36"/>
        <v>48400</v>
      </c>
      <c r="BU29" s="2">
        <f t="shared" si="36"/>
        <v>44100</v>
      </c>
      <c r="BV29" s="2">
        <f t="shared" si="36"/>
        <v>40000</v>
      </c>
      <c r="BW29" s="2">
        <f t="shared" si="36"/>
        <v>36100</v>
      </c>
      <c r="BX29" s="2">
        <f t="shared" si="36"/>
        <v>32400</v>
      </c>
      <c r="BY29" s="2">
        <f t="shared" si="36"/>
        <v>28900</v>
      </c>
      <c r="BZ29" s="2">
        <f t="shared" ref="BZ29:DC29" si="37">BZ23*BZ23</f>
        <v>90000</v>
      </c>
      <c r="CA29" s="2">
        <f t="shared" si="37"/>
        <v>90000</v>
      </c>
      <c r="CB29" s="2">
        <f t="shared" si="37"/>
        <v>25600</v>
      </c>
      <c r="CC29" s="2">
        <f t="shared" si="37"/>
        <v>22500</v>
      </c>
      <c r="CD29" s="2">
        <f t="shared" si="37"/>
        <v>22500</v>
      </c>
      <c r="CE29" s="2">
        <f t="shared" si="37"/>
        <v>22500</v>
      </c>
      <c r="CF29" s="2">
        <f t="shared" si="37"/>
        <v>22500</v>
      </c>
      <c r="CG29" s="2">
        <f t="shared" si="37"/>
        <v>22500</v>
      </c>
      <c r="CH29" s="2">
        <f t="shared" si="37"/>
        <v>22500</v>
      </c>
      <c r="CI29" s="2">
        <f t="shared" si="37"/>
        <v>22500</v>
      </c>
      <c r="CJ29" s="2">
        <f t="shared" si="37"/>
        <v>22500</v>
      </c>
      <c r="CK29" s="2">
        <f t="shared" si="37"/>
        <v>22500</v>
      </c>
      <c r="CL29" s="2">
        <f t="shared" si="37"/>
        <v>22500</v>
      </c>
      <c r="CM29" s="2">
        <f t="shared" si="37"/>
        <v>22500</v>
      </c>
      <c r="CN29" s="2">
        <f t="shared" si="37"/>
        <v>22500</v>
      </c>
      <c r="CO29" s="2">
        <f t="shared" si="37"/>
        <v>19600</v>
      </c>
      <c r="CP29" s="2">
        <f t="shared" si="37"/>
        <v>16900</v>
      </c>
      <c r="CQ29" s="2">
        <f t="shared" si="37"/>
        <v>14400</v>
      </c>
      <c r="CR29" s="2">
        <f t="shared" si="37"/>
        <v>12100</v>
      </c>
      <c r="CS29" s="2">
        <f t="shared" si="37"/>
        <v>10000</v>
      </c>
      <c r="CT29" s="2">
        <f t="shared" si="37"/>
        <v>8100</v>
      </c>
      <c r="CU29" s="2">
        <f t="shared" si="37"/>
        <v>8100</v>
      </c>
      <c r="CV29" s="2">
        <f t="shared" si="37"/>
        <v>90000</v>
      </c>
      <c r="CW29" s="2">
        <f t="shared" si="37"/>
        <v>22500</v>
      </c>
      <c r="CX29" s="2">
        <f t="shared" si="37"/>
        <v>10000</v>
      </c>
      <c r="CY29" s="2">
        <f t="shared" si="37"/>
        <v>13456</v>
      </c>
      <c r="CZ29" s="2">
        <f t="shared" si="37"/>
        <v>10000</v>
      </c>
      <c r="DA29" s="2">
        <f t="shared" si="37"/>
        <v>11664</v>
      </c>
      <c r="DB29" s="2">
        <f t="shared" si="37"/>
        <v>11664</v>
      </c>
      <c r="DC29" s="2">
        <f t="shared" si="37"/>
        <v>8100</v>
      </c>
      <c r="DD29" s="2">
        <f t="shared" ref="DD29:DI29" si="38">DD23*DD23</f>
        <v>160000</v>
      </c>
      <c r="DE29" s="2">
        <f t="shared" si="38"/>
        <v>250000</v>
      </c>
      <c r="DF29" s="2">
        <f t="shared" si="38"/>
        <v>4900</v>
      </c>
      <c r="DG29" s="2">
        <f t="shared" si="38"/>
        <v>6400</v>
      </c>
      <c r="DH29" s="2">
        <f t="shared" si="38"/>
        <v>10000</v>
      </c>
      <c r="DI29" s="2">
        <f t="shared" si="38"/>
        <v>8100</v>
      </c>
    </row>
    <row r="30" spans="1:160" x14ac:dyDescent="0.25">
      <c r="A30" t="s">
        <v>59</v>
      </c>
      <c r="B30">
        <f>B22*B24*B24+(2/3)*B22*(B22-1)*(2*B22-1)*(B25+B26)^2+2*(B26+B25)*B22*(B22-1)</f>
        <v>114320</v>
      </c>
      <c r="C30">
        <f t="shared" ref="C30:AN30" si="39">C22*C24*C24+(2/3)*C22*(C22-1)*(2*C22-1)*(C25+C26)^2+2*(C26+C25)*C22*(C22-1)</f>
        <v>144720</v>
      </c>
      <c r="D30">
        <f t="shared" si="39"/>
        <v>161840</v>
      </c>
      <c r="E30">
        <f t="shared" si="39"/>
        <v>113219.99999999999</v>
      </c>
      <c r="F30">
        <f t="shared" si="39"/>
        <v>210400</v>
      </c>
      <c r="G30">
        <f t="shared" si="39"/>
        <v>176900</v>
      </c>
      <c r="H30">
        <f t="shared" si="39"/>
        <v>148400</v>
      </c>
      <c r="I30">
        <f t="shared" si="39"/>
        <v>124899.99999999999</v>
      </c>
      <c r="J30">
        <f t="shared" si="39"/>
        <v>106399.99999999999</v>
      </c>
      <c r="K30">
        <f t="shared" si="39"/>
        <v>92899.999999999985</v>
      </c>
      <c r="L30">
        <f t="shared" si="39"/>
        <v>84399.999999999985</v>
      </c>
      <c r="M30">
        <f t="shared" si="39"/>
        <v>80899.999999999985</v>
      </c>
      <c r="N30">
        <f t="shared" si="39"/>
        <v>72256</v>
      </c>
      <c r="O30">
        <f t="shared" si="39"/>
        <v>65044</v>
      </c>
      <c r="P30">
        <f t="shared" si="39"/>
        <v>59136</v>
      </c>
      <c r="Q30">
        <f t="shared" si="39"/>
        <v>54404</v>
      </c>
      <c r="R30">
        <f t="shared" si="39"/>
        <v>50720</v>
      </c>
      <c r="S30">
        <f t="shared" si="39"/>
        <v>47956</v>
      </c>
      <c r="T30">
        <f t="shared" si="39"/>
        <v>45984</v>
      </c>
      <c r="U30">
        <f t="shared" si="39"/>
        <v>44676</v>
      </c>
      <c r="V30">
        <f t="shared" si="39"/>
        <v>43904</v>
      </c>
      <c r="W30">
        <f t="shared" si="39"/>
        <v>43540</v>
      </c>
      <c r="X30">
        <f t="shared" si="39"/>
        <v>43456</v>
      </c>
      <c r="Y30">
        <f t="shared" si="39"/>
        <v>43524</v>
      </c>
      <c r="Z30">
        <f t="shared" si="39"/>
        <v>43616</v>
      </c>
      <c r="AA30">
        <f t="shared" si="39"/>
        <v>43604</v>
      </c>
      <c r="AB30">
        <f t="shared" si="39"/>
        <v>43360</v>
      </c>
      <c r="AC30">
        <f t="shared" si="39"/>
        <v>42756</v>
      </c>
      <c r="AD30">
        <f t="shared" si="39"/>
        <v>30276</v>
      </c>
      <c r="AE30">
        <f t="shared" si="39"/>
        <v>24036</v>
      </c>
      <c r="AF30">
        <f t="shared" si="39"/>
        <v>24036</v>
      </c>
      <c r="AG30">
        <f t="shared" si="39"/>
        <v>28512</v>
      </c>
      <c r="AH30">
        <f t="shared" si="39"/>
        <v>21732</v>
      </c>
      <c r="AI30" s="3">
        <f t="shared" si="39"/>
        <v>22416</v>
      </c>
      <c r="AJ30" s="2">
        <f t="shared" si="39"/>
        <v>31776</v>
      </c>
      <c r="AK30" s="2">
        <f t="shared" si="39"/>
        <v>22596</v>
      </c>
      <c r="AL30" s="2">
        <f t="shared" si="39"/>
        <v>15216</v>
      </c>
      <c r="AM30" s="2">
        <f t="shared" si="39"/>
        <v>9636</v>
      </c>
      <c r="AN30" s="2">
        <f t="shared" si="39"/>
        <v>5856</v>
      </c>
      <c r="AO30" s="2">
        <f>AO22*AO24*AO24+(2/3)*AO22*(AO22-1)*(2*AO22-1)*(AO25+AO26)^2+2*(AO26+AO25)*AO22*(AO22-1)</f>
        <v>29904</v>
      </c>
      <c r="AP30" s="2">
        <f t="shared" ref="AP30:BI30" si="40">AP22*AP24*AP24+(2/3)*AP22*(AP22-1)*(2*AP22-1)*(AP25+AP26)^2+2*(AP26+AP25)*AP22*(AP22-1)</f>
        <v>53200</v>
      </c>
      <c r="AQ30" s="2">
        <f t="shared" si="40"/>
        <v>13600</v>
      </c>
      <c r="AR30" s="2">
        <f t="shared" si="40"/>
        <v>3550</v>
      </c>
      <c r="AS30" s="2">
        <f t="shared" si="40"/>
        <v>248900</v>
      </c>
      <c r="AT30" s="2">
        <f t="shared" si="40"/>
        <v>292400</v>
      </c>
      <c r="AU30" s="2">
        <f t="shared" si="40"/>
        <v>340900</v>
      </c>
      <c r="AV30" s="2">
        <f t="shared" si="40"/>
        <v>394400</v>
      </c>
      <c r="AW30" s="2">
        <f t="shared" si="40"/>
        <v>452900</v>
      </c>
      <c r="AX30" s="2">
        <f t="shared" si="40"/>
        <v>516400</v>
      </c>
      <c r="AY30" s="2">
        <f t="shared" si="40"/>
        <v>584900</v>
      </c>
      <c r="AZ30" s="2">
        <f t="shared" si="40"/>
        <v>658400</v>
      </c>
      <c r="BA30" s="2">
        <f t="shared" si="40"/>
        <v>736900</v>
      </c>
      <c r="BB30" s="2">
        <f t="shared" si="40"/>
        <v>184825</v>
      </c>
      <c r="BC30" s="2">
        <f t="shared" si="40"/>
        <v>46506.25</v>
      </c>
      <c r="BD30" s="2">
        <f t="shared" si="40"/>
        <v>11776.5625</v>
      </c>
      <c r="BE30" s="2">
        <f t="shared" si="40"/>
        <v>3019.140625</v>
      </c>
      <c r="BF30" s="2">
        <f t="shared" si="40"/>
        <v>504900</v>
      </c>
      <c r="BG30" s="2">
        <f t="shared" si="40"/>
        <v>450400</v>
      </c>
      <c r="BH30" s="2">
        <f t="shared" si="40"/>
        <v>400900</v>
      </c>
      <c r="BI30" s="2">
        <f t="shared" si="40"/>
        <v>356400</v>
      </c>
      <c r="BJ30" s="2">
        <f t="shared" ref="BJ30:BP30" si="41">BJ22*BJ24*BJ24+(2/3)*BJ22*(BJ22-1)*(2*BJ22-1)*(BJ25+BJ26)^2+2*(BJ26+BJ25)*BJ22*(BJ22-1)</f>
        <v>316900</v>
      </c>
      <c r="BK30" s="2">
        <f t="shared" si="41"/>
        <v>282400</v>
      </c>
      <c r="BL30" s="2">
        <f t="shared" si="41"/>
        <v>252899.99999999997</v>
      </c>
      <c r="BM30" s="2">
        <f t="shared" si="41"/>
        <v>228399.99999999997</v>
      </c>
      <c r="BN30" s="2">
        <f t="shared" si="41"/>
        <v>208899.99999999997</v>
      </c>
      <c r="BO30" s="2">
        <f t="shared" si="41"/>
        <v>194399.99999999997</v>
      </c>
      <c r="BP30" s="2">
        <f t="shared" si="41"/>
        <v>493600</v>
      </c>
      <c r="BQ30" s="2">
        <f t="shared" ref="BQ30:BY30" si="42">BQ22*BQ24*BQ24+(2/3)*BQ22*(BQ22-1)*(2*BQ22-1)*(BQ25+BQ26)^2+2*(BQ26+BQ25)*BQ22*(BQ22-1)</f>
        <v>440100</v>
      </c>
      <c r="BR30" s="2">
        <f t="shared" si="42"/>
        <v>391600</v>
      </c>
      <c r="BS30" s="2">
        <f t="shared" si="42"/>
        <v>348100</v>
      </c>
      <c r="BT30" s="2">
        <f t="shared" si="42"/>
        <v>309600</v>
      </c>
      <c r="BU30" s="2">
        <f t="shared" si="42"/>
        <v>276100</v>
      </c>
      <c r="BV30" s="2">
        <f t="shared" si="42"/>
        <v>247599.99999999997</v>
      </c>
      <c r="BW30" s="2">
        <f t="shared" si="42"/>
        <v>224099.99999999997</v>
      </c>
      <c r="BX30" s="2">
        <f t="shared" si="42"/>
        <v>205599.99999999997</v>
      </c>
      <c r="BY30" s="2">
        <f t="shared" si="42"/>
        <v>192099.99999999997</v>
      </c>
      <c r="BZ30" s="2">
        <f t="shared" ref="BZ30:DC30" si="43">BZ22*BZ24*BZ24+(2/3)*BZ22*(BZ22-1)*(2*BZ22-1)*(BZ25+BZ26)^2+2*(BZ26+BZ25)*BZ22*(BZ22-1)</f>
        <v>580099.99999999988</v>
      </c>
      <c r="CA30" s="2">
        <f t="shared" si="43"/>
        <v>1100900</v>
      </c>
      <c r="CB30" s="2">
        <f t="shared" si="43"/>
        <v>184899.99999999997</v>
      </c>
      <c r="CC30" s="2">
        <f t="shared" si="43"/>
        <v>180399.99999999997</v>
      </c>
      <c r="CD30" s="2">
        <f t="shared" si="43"/>
        <v>161376</v>
      </c>
      <c r="CE30" s="2">
        <f t="shared" si="43"/>
        <v>145544</v>
      </c>
      <c r="CF30" s="2">
        <f t="shared" si="43"/>
        <v>132616</v>
      </c>
      <c r="CG30" s="2">
        <f t="shared" si="43"/>
        <v>122304</v>
      </c>
      <c r="CH30" s="2">
        <f t="shared" si="43"/>
        <v>114320</v>
      </c>
      <c r="CI30" s="2">
        <f t="shared" si="43"/>
        <v>108376</v>
      </c>
      <c r="CJ30" s="2">
        <f t="shared" si="43"/>
        <v>104184</v>
      </c>
      <c r="CK30" s="2">
        <f t="shared" si="43"/>
        <v>101456</v>
      </c>
      <c r="CL30" s="2">
        <f t="shared" si="43"/>
        <v>99904</v>
      </c>
      <c r="CM30" s="2">
        <f t="shared" si="43"/>
        <v>99240</v>
      </c>
      <c r="CN30" s="2">
        <f t="shared" si="43"/>
        <v>99176</v>
      </c>
      <c r="CO30" s="2">
        <f t="shared" si="43"/>
        <v>80976</v>
      </c>
      <c r="CP30" s="2">
        <f t="shared" si="43"/>
        <v>65576</v>
      </c>
      <c r="CQ30" s="2">
        <f t="shared" si="43"/>
        <v>52976</v>
      </c>
      <c r="CR30" s="2">
        <f t="shared" si="43"/>
        <v>43176</v>
      </c>
      <c r="CS30" s="2">
        <f t="shared" si="43"/>
        <v>36176</v>
      </c>
      <c r="CT30" s="2">
        <f t="shared" si="43"/>
        <v>31975.999999999996</v>
      </c>
      <c r="CU30" s="2">
        <f t="shared" si="43"/>
        <v>27664</v>
      </c>
      <c r="CV30" s="2">
        <f t="shared" si="43"/>
        <v>464704</v>
      </c>
      <c r="CW30" s="2">
        <f t="shared" si="43"/>
        <v>130360</v>
      </c>
      <c r="CX30" s="2">
        <f t="shared" si="43"/>
        <v>57109.248000000007</v>
      </c>
      <c r="CY30" s="2">
        <f t="shared" si="43"/>
        <v>73421.567999999999</v>
      </c>
      <c r="CZ30" s="2">
        <f t="shared" si="43"/>
        <v>80899.999999999985</v>
      </c>
      <c r="DA30" s="2">
        <f t="shared" si="43"/>
        <v>91936</v>
      </c>
      <c r="DB30" s="2">
        <f t="shared" si="43"/>
        <v>91936</v>
      </c>
      <c r="DC30" s="2">
        <f t="shared" si="43"/>
        <v>55176</v>
      </c>
      <c r="DD30" s="2">
        <f t="shared" ref="DD30:DI30" si="44">DD22*DD24*DD24+(2/3)*DD22*(DD22-1)*(2*DD22-1)*(DD25+DD26)^2+2*(DD26+DD25)*DD22*(DD22-1)</f>
        <v>547540</v>
      </c>
      <c r="DE30" s="2">
        <f t="shared" si="44"/>
        <v>852900</v>
      </c>
      <c r="DF30" s="2">
        <f t="shared" si="44"/>
        <v>25295.999999999996</v>
      </c>
      <c r="DG30" s="2">
        <f t="shared" si="44"/>
        <v>41120</v>
      </c>
      <c r="DH30" s="2">
        <f t="shared" si="44"/>
        <v>80899.999999999985</v>
      </c>
      <c r="DI30" s="2">
        <f t="shared" si="44"/>
        <v>55176</v>
      </c>
    </row>
    <row r="31" spans="1:160" x14ac:dyDescent="0.25">
      <c r="A31" t="s">
        <v>57</v>
      </c>
      <c r="B31">
        <f>4*(B22-1)*(B23-B22*B26)-4*B25*B22*(B22+1)</f>
        <v>6520</v>
      </c>
      <c r="C31">
        <f t="shared" ref="C31:BI31" si="45">4*(C22-1)*(C23-C22*C26)-4*C25*C22*(C22+1)</f>
        <v>8200</v>
      </c>
      <c r="D31">
        <f t="shared" si="45"/>
        <v>5600</v>
      </c>
      <c r="E31">
        <f t="shared" si="45"/>
        <v>5480</v>
      </c>
      <c r="F31">
        <f t="shared" si="45"/>
        <v>11320</v>
      </c>
      <c r="G31">
        <f t="shared" si="45"/>
        <v>10360</v>
      </c>
      <c r="H31">
        <f t="shared" si="45"/>
        <v>9400</v>
      </c>
      <c r="I31">
        <f t="shared" si="45"/>
        <v>8440</v>
      </c>
      <c r="J31">
        <f t="shared" si="45"/>
        <v>7480</v>
      </c>
      <c r="K31">
        <f t="shared" si="45"/>
        <v>6520</v>
      </c>
      <c r="L31">
        <f t="shared" si="45"/>
        <v>5560</v>
      </c>
      <c r="M31">
        <f t="shared" si="45"/>
        <v>4600</v>
      </c>
      <c r="N31">
        <f t="shared" si="45"/>
        <v>4592</v>
      </c>
      <c r="O31">
        <f t="shared" si="45"/>
        <v>4568</v>
      </c>
      <c r="P31">
        <f t="shared" si="45"/>
        <v>4528</v>
      </c>
      <c r="Q31">
        <f t="shared" si="45"/>
        <v>4472</v>
      </c>
      <c r="R31">
        <f t="shared" si="45"/>
        <v>4400</v>
      </c>
      <c r="S31">
        <f t="shared" si="45"/>
        <v>4312</v>
      </c>
      <c r="T31">
        <f t="shared" si="45"/>
        <v>4208</v>
      </c>
      <c r="U31">
        <f t="shared" si="45"/>
        <v>4088</v>
      </c>
      <c r="V31">
        <f t="shared" si="45"/>
        <v>3952</v>
      </c>
      <c r="W31">
        <f t="shared" si="45"/>
        <v>3800</v>
      </c>
      <c r="X31">
        <f t="shared" si="45"/>
        <v>3632</v>
      </c>
      <c r="Y31">
        <f t="shared" si="45"/>
        <v>3448</v>
      </c>
      <c r="Z31">
        <f t="shared" si="45"/>
        <v>3248</v>
      </c>
      <c r="AA31">
        <f t="shared" si="45"/>
        <v>3032</v>
      </c>
      <c r="AB31">
        <f t="shared" si="45"/>
        <v>2800</v>
      </c>
      <c r="AC31">
        <f t="shared" si="45"/>
        <v>2552</v>
      </c>
      <c r="AD31">
        <f t="shared" si="45"/>
        <v>2192</v>
      </c>
      <c r="AE31">
        <f t="shared" si="45"/>
        <v>1832</v>
      </c>
      <c r="AF31">
        <f t="shared" si="45"/>
        <v>1472</v>
      </c>
      <c r="AG31">
        <f t="shared" si="45"/>
        <v>2264</v>
      </c>
      <c r="AH31">
        <f t="shared" si="45"/>
        <v>1976</v>
      </c>
      <c r="AI31" s="3">
        <f t="shared" si="45"/>
        <v>1688</v>
      </c>
      <c r="AJ31" s="2">
        <f t="shared" si="45"/>
        <v>2232</v>
      </c>
      <c r="AK31" s="2">
        <f t="shared" si="45"/>
        <v>1912</v>
      </c>
      <c r="AL31" s="2">
        <f t="shared" si="45"/>
        <v>1592</v>
      </c>
      <c r="AM31" s="2">
        <f t="shared" si="45"/>
        <v>1272</v>
      </c>
      <c r="AN31" s="2">
        <f t="shared" si="45"/>
        <v>952</v>
      </c>
      <c r="AO31" s="2">
        <f t="shared" si="45"/>
        <v>1544</v>
      </c>
      <c r="AP31" s="2">
        <f t="shared" si="45"/>
        <v>5660</v>
      </c>
      <c r="AQ31" s="2">
        <f t="shared" si="45"/>
        <v>2830</v>
      </c>
      <c r="AR31" s="2">
        <f t="shared" si="45"/>
        <v>1415</v>
      </c>
      <c r="AS31" s="2">
        <f t="shared" si="45"/>
        <v>12280</v>
      </c>
      <c r="AT31" s="2">
        <f t="shared" si="45"/>
        <v>13240</v>
      </c>
      <c r="AU31" s="2">
        <f t="shared" si="45"/>
        <v>14200</v>
      </c>
      <c r="AV31" s="2">
        <f t="shared" si="45"/>
        <v>15160</v>
      </c>
      <c r="AW31" s="2">
        <f t="shared" si="45"/>
        <v>16120</v>
      </c>
      <c r="AX31" s="2">
        <f t="shared" si="45"/>
        <v>17080</v>
      </c>
      <c r="AY31" s="2">
        <f t="shared" si="45"/>
        <v>18040</v>
      </c>
      <c r="AZ31" s="2">
        <f t="shared" si="45"/>
        <v>19000</v>
      </c>
      <c r="BA31" s="2">
        <f t="shared" si="45"/>
        <v>19960</v>
      </c>
      <c r="BB31" s="2">
        <f t="shared" si="45"/>
        <v>9980</v>
      </c>
      <c r="BC31" s="2">
        <f t="shared" si="45"/>
        <v>4990</v>
      </c>
      <c r="BD31" s="2">
        <f t="shared" si="45"/>
        <v>2495</v>
      </c>
      <c r="BE31" s="2">
        <f t="shared" si="45"/>
        <v>1247.5</v>
      </c>
      <c r="BF31" s="2">
        <f t="shared" si="45"/>
        <v>17360</v>
      </c>
      <c r="BG31" s="2">
        <f t="shared" si="45"/>
        <v>16400</v>
      </c>
      <c r="BH31" s="2">
        <f t="shared" si="45"/>
        <v>15440</v>
      </c>
      <c r="BI31" s="2">
        <f t="shared" si="45"/>
        <v>14480</v>
      </c>
      <c r="BJ31" s="2">
        <f t="shared" ref="BJ31:BO31" si="46">4*(BJ22-1)*(BJ23-BJ22*BJ26)-4*BJ25*BJ22*(BJ22+1)</f>
        <v>13520</v>
      </c>
      <c r="BK31" s="2">
        <f t="shared" si="46"/>
        <v>12560</v>
      </c>
      <c r="BL31" s="2">
        <f t="shared" si="46"/>
        <v>11600</v>
      </c>
      <c r="BM31" s="2">
        <f t="shared" si="46"/>
        <v>10640</v>
      </c>
      <c r="BN31" s="2">
        <f t="shared" si="46"/>
        <v>9680</v>
      </c>
      <c r="BO31" s="2">
        <f t="shared" si="46"/>
        <v>8720</v>
      </c>
      <c r="BP31" s="2">
        <f t="shared" ref="BP31:BY31" si="47">4*(BP22-1)*(BP23-BP22*BP26)-4*BP25*BP22*(BP22+1)</f>
        <v>17560</v>
      </c>
      <c r="BQ31" s="2">
        <f t="shared" si="47"/>
        <v>16600</v>
      </c>
      <c r="BR31" s="2">
        <f t="shared" si="47"/>
        <v>15640</v>
      </c>
      <c r="BS31" s="2">
        <f t="shared" si="47"/>
        <v>14680</v>
      </c>
      <c r="BT31" s="2">
        <f t="shared" si="47"/>
        <v>13720</v>
      </c>
      <c r="BU31" s="2">
        <f t="shared" si="47"/>
        <v>12760</v>
      </c>
      <c r="BV31" s="2">
        <f t="shared" si="47"/>
        <v>11800</v>
      </c>
      <c r="BW31" s="2">
        <f t="shared" si="47"/>
        <v>10840</v>
      </c>
      <c r="BX31" s="2">
        <f t="shared" si="47"/>
        <v>9880</v>
      </c>
      <c r="BY31" s="2">
        <f t="shared" si="47"/>
        <v>8920</v>
      </c>
      <c r="BZ31" s="2">
        <f t="shared" ref="BZ31:DC31" si="48">4*(BZ22-1)*(BZ23-BZ22*BZ26)-4*BZ25*BZ22*(BZ22+1)</f>
        <v>16000</v>
      </c>
      <c r="CA31" s="2">
        <f t="shared" si="48"/>
        <v>23800</v>
      </c>
      <c r="CB31" s="2">
        <f t="shared" si="48"/>
        <v>7760</v>
      </c>
      <c r="CC31" s="2">
        <f t="shared" si="48"/>
        <v>6800</v>
      </c>
      <c r="CD31" s="2">
        <f t="shared" si="48"/>
        <v>6792</v>
      </c>
      <c r="CE31" s="2">
        <f t="shared" si="48"/>
        <v>6760</v>
      </c>
      <c r="CF31" s="2">
        <f t="shared" si="48"/>
        <v>6704</v>
      </c>
      <c r="CG31" s="2">
        <f t="shared" si="48"/>
        <v>6624</v>
      </c>
      <c r="CH31" s="2">
        <f t="shared" si="48"/>
        <v>6520</v>
      </c>
      <c r="CI31" s="2">
        <f t="shared" si="48"/>
        <v>6392</v>
      </c>
      <c r="CJ31" s="2">
        <f t="shared" si="48"/>
        <v>6240</v>
      </c>
      <c r="CK31" s="2">
        <f t="shared" si="48"/>
        <v>6064</v>
      </c>
      <c r="CL31" s="2">
        <f t="shared" si="48"/>
        <v>5864</v>
      </c>
      <c r="CM31" s="2">
        <f t="shared" si="48"/>
        <v>5640</v>
      </c>
      <c r="CN31" s="2">
        <f t="shared" si="48"/>
        <v>5392</v>
      </c>
      <c r="CO31" s="2">
        <f t="shared" si="48"/>
        <v>4872</v>
      </c>
      <c r="CP31" s="2">
        <f t="shared" si="48"/>
        <v>4352</v>
      </c>
      <c r="CQ31" s="2">
        <f t="shared" si="48"/>
        <v>3832</v>
      </c>
      <c r="CR31" s="2">
        <f t="shared" si="48"/>
        <v>3312</v>
      </c>
      <c r="CS31" s="2">
        <f t="shared" si="48"/>
        <v>2792</v>
      </c>
      <c r="CT31" s="2">
        <f t="shared" si="48"/>
        <v>2272</v>
      </c>
      <c r="CU31" s="2">
        <f t="shared" si="48"/>
        <v>2240</v>
      </c>
      <c r="CV31" s="2">
        <f t="shared" si="48"/>
        <v>5712</v>
      </c>
      <c r="CW31" s="2">
        <f t="shared" si="48"/>
        <v>4600</v>
      </c>
      <c r="CX31" s="2">
        <f t="shared" si="48"/>
        <v>4507.5200000000004</v>
      </c>
      <c r="CY31" s="2">
        <f t="shared" si="48"/>
        <v>5825.920000000001</v>
      </c>
      <c r="CZ31" s="2">
        <f t="shared" si="48"/>
        <v>4600</v>
      </c>
      <c r="DA31" s="2">
        <f t="shared" si="48"/>
        <v>5392</v>
      </c>
      <c r="DB31" s="2">
        <f t="shared" si="48"/>
        <v>5392</v>
      </c>
      <c r="DC31" s="2">
        <f t="shared" si="48"/>
        <v>3688</v>
      </c>
      <c r="DD31" s="2">
        <f t="shared" ref="DD31:DI31" si="49">4*(DD22-1)*(DD23-DD22*DD26)-4*DD25*DD22*(DD22+1)</f>
        <v>7640</v>
      </c>
      <c r="DE31" s="2">
        <f t="shared" si="49"/>
        <v>7000</v>
      </c>
      <c r="DF31" s="2">
        <f t="shared" si="49"/>
        <v>2168</v>
      </c>
      <c r="DG31" s="2">
        <f t="shared" si="49"/>
        <v>2880</v>
      </c>
      <c r="DH31" s="2">
        <f t="shared" si="49"/>
        <v>4600</v>
      </c>
      <c r="DI31" s="2">
        <f t="shared" si="49"/>
        <v>3688</v>
      </c>
    </row>
    <row r="32" spans="1:160" x14ac:dyDescent="0.25">
      <c r="A32" t="s">
        <v>92</v>
      </c>
      <c r="B32">
        <f>(B20/B21)</f>
        <v>1.9897435897435896</v>
      </c>
      <c r="C32">
        <f t="shared" ref="C32:BI32" si="50">(C20/C21)</f>
        <v>2.7792792792792795</v>
      </c>
      <c r="D32">
        <f t="shared" si="50"/>
        <v>1.471502590673575</v>
      </c>
      <c r="E32">
        <f t="shared" si="50"/>
        <v>1.4111675126903553</v>
      </c>
      <c r="F32">
        <f t="shared" si="50"/>
        <v>3.5703422053231941</v>
      </c>
      <c r="G32">
        <f t="shared" si="50"/>
        <v>3.6293103448275863</v>
      </c>
      <c r="H32">
        <f t="shared" si="50"/>
        <v>3.5188679245283017</v>
      </c>
      <c r="I32">
        <f t="shared" si="50"/>
        <v>3.329896907216495</v>
      </c>
      <c r="J32">
        <f t="shared" si="50"/>
        <v>3.0730337078651684</v>
      </c>
      <c r="K32">
        <f t="shared" si="50"/>
        <v>2.783950617283951</v>
      </c>
      <c r="L32">
        <f t="shared" si="50"/>
        <v>2.4324324324324325</v>
      </c>
      <c r="M32">
        <f t="shared" si="50"/>
        <v>2.0827067669172932</v>
      </c>
      <c r="N32">
        <f t="shared" si="50"/>
        <v>2.0827067669172932</v>
      </c>
      <c r="O32">
        <f t="shared" si="50"/>
        <v>2.0751879699248121</v>
      </c>
      <c r="P32">
        <f t="shared" si="50"/>
        <v>2.0522388059701493</v>
      </c>
      <c r="Q32">
        <f t="shared" si="50"/>
        <v>2.0148148148148146</v>
      </c>
      <c r="R32">
        <f t="shared" si="50"/>
        <v>2</v>
      </c>
      <c r="S32">
        <f t="shared" si="50"/>
        <v>1.9124087591240877</v>
      </c>
      <c r="T32">
        <f t="shared" si="50"/>
        <v>1.8613138686131387</v>
      </c>
      <c r="U32">
        <f t="shared" si="50"/>
        <v>1.7769784172661869</v>
      </c>
      <c r="V32">
        <f t="shared" si="50"/>
        <v>1.6808510638297873</v>
      </c>
      <c r="W32">
        <f t="shared" si="50"/>
        <v>1.591549295774648</v>
      </c>
      <c r="X32">
        <f t="shared" si="50"/>
        <v>1.4791666666666667</v>
      </c>
      <c r="Y32">
        <f t="shared" si="50"/>
        <v>1.3819444444444444</v>
      </c>
      <c r="Z32">
        <f t="shared" si="50"/>
        <v>1.2602739726027397</v>
      </c>
      <c r="AA32">
        <f t="shared" si="50"/>
        <v>1.1351351351351351</v>
      </c>
      <c r="AB32">
        <f t="shared" si="50"/>
        <v>1.0134228187919463</v>
      </c>
      <c r="AC32">
        <f t="shared" si="50"/>
        <v>0.90540540540540537</v>
      </c>
      <c r="AD32">
        <f t="shared" si="50"/>
        <v>0.80314960629921262</v>
      </c>
      <c r="AE32">
        <f t="shared" si="50"/>
        <v>0.71818181818181825</v>
      </c>
      <c r="AF32">
        <f t="shared" si="50"/>
        <v>0.63917525773195882</v>
      </c>
      <c r="AG32">
        <f t="shared" si="50"/>
        <v>0.66901408450704225</v>
      </c>
      <c r="AH32">
        <f t="shared" si="50"/>
        <v>0.5</v>
      </c>
      <c r="AI32">
        <f t="shared" si="50"/>
        <v>0.3671875</v>
      </c>
      <c r="AJ32">
        <f t="shared" si="50"/>
        <v>0.87786259541984735</v>
      </c>
      <c r="AK32">
        <f t="shared" si="50"/>
        <v>0.81896551724137934</v>
      </c>
      <c r="AL32">
        <f t="shared" si="50"/>
        <v>0.76767676767676762</v>
      </c>
      <c r="AM32">
        <f t="shared" si="50"/>
        <v>0.70731707317073178</v>
      </c>
      <c r="AN32">
        <f t="shared" si="50"/>
        <v>0.63636363636363646</v>
      </c>
      <c r="AO32">
        <f t="shared" si="50"/>
        <v>0.54838709677419351</v>
      </c>
      <c r="AP32">
        <f t="shared" si="50"/>
        <v>4.3520000000000003</v>
      </c>
      <c r="AQ32">
        <f t="shared" si="50"/>
        <v>3.8732394366197185</v>
      </c>
      <c r="AR32">
        <f t="shared" si="50"/>
        <v>2.7727272727272725</v>
      </c>
      <c r="AS32">
        <f t="shared" si="50"/>
        <v>4.3007812499999991</v>
      </c>
      <c r="AT32">
        <f t="shared" si="50"/>
        <v>4.1944444444444446</v>
      </c>
      <c r="AU32">
        <f t="shared" si="50"/>
        <v>4.2193548387096778</v>
      </c>
      <c r="AV32">
        <f t="shared" si="50"/>
        <v>4.431746031746032</v>
      </c>
      <c r="AW32">
        <f t="shared" si="50"/>
        <v>4.8006329113924044</v>
      </c>
      <c r="AX32">
        <f t="shared" si="50"/>
        <v>4.5224719101123592</v>
      </c>
      <c r="AY32">
        <f t="shared" si="50"/>
        <v>4.5294117647058822</v>
      </c>
      <c r="AZ32">
        <f t="shared" si="50"/>
        <v>4.4060150375939857</v>
      </c>
      <c r="BA32">
        <f t="shared" si="50"/>
        <v>4.7389162561576352</v>
      </c>
      <c r="BB32">
        <f t="shared" si="50"/>
        <v>5.6502463054187189</v>
      </c>
      <c r="BC32">
        <f t="shared" si="50"/>
        <v>5.590476190476191</v>
      </c>
      <c r="BD32">
        <f t="shared" si="50"/>
        <v>5.7692307692307692</v>
      </c>
      <c r="BE32">
        <f t="shared" si="50"/>
        <v>5.9230769230769234</v>
      </c>
      <c r="BF32">
        <f t="shared" si="50"/>
        <v>4.5577464788732396</v>
      </c>
      <c r="BG32">
        <f t="shared" si="50"/>
        <v>4.2685714285714287</v>
      </c>
      <c r="BH32">
        <f t="shared" si="50"/>
        <v>4.2710280373831768</v>
      </c>
      <c r="BI32">
        <f t="shared" si="50"/>
        <v>4.17</v>
      </c>
      <c r="BJ32">
        <f t="shared" ref="BJ32:BO32" si="51">(BJ20/BJ21)</f>
        <v>3.975438596491228</v>
      </c>
      <c r="BK32">
        <f t="shared" si="51"/>
        <v>3.6920289855072466</v>
      </c>
      <c r="BL32">
        <f t="shared" si="51"/>
        <v>3.55078125</v>
      </c>
      <c r="BM32">
        <f t="shared" si="51"/>
        <v>3.2868852459016398</v>
      </c>
      <c r="BN32">
        <f t="shared" si="51"/>
        <v>3.0973451327433628</v>
      </c>
      <c r="BO32">
        <f t="shared" si="51"/>
        <v>2.774193548387097</v>
      </c>
      <c r="BP32">
        <f t="shared" ref="BP32:BY32" si="52">(BP20/BP21)</f>
        <v>3.8958333333333335</v>
      </c>
      <c r="BQ32">
        <f t="shared" si="52"/>
        <v>3.6968085106382977</v>
      </c>
      <c r="BR32">
        <f t="shared" si="52"/>
        <v>3.8200589970501477</v>
      </c>
      <c r="BS32">
        <f t="shared" si="52"/>
        <v>3.7531645569620249</v>
      </c>
      <c r="BT32">
        <f t="shared" si="52"/>
        <v>3.3343653250773997</v>
      </c>
      <c r="BU32">
        <f t="shared" si="52"/>
        <v>3.3448275862068964</v>
      </c>
      <c r="BV32">
        <f t="shared" si="52"/>
        <v>3.0209790209790208</v>
      </c>
      <c r="BW32">
        <f t="shared" si="52"/>
        <v>2.9765625</v>
      </c>
      <c r="BX32">
        <f t="shared" si="52"/>
        <v>2.645418326693227</v>
      </c>
      <c r="BY32">
        <f t="shared" si="52"/>
        <v>2.4782608695652173</v>
      </c>
      <c r="BZ32">
        <f t="shared" ref="BZ32:DC32" si="53">(BZ20/BZ21)</f>
        <v>2.7597911227154048</v>
      </c>
      <c r="CA32">
        <f t="shared" si="53"/>
        <v>5.4241803278688527</v>
      </c>
      <c r="CB32">
        <f t="shared" si="53"/>
        <v>2.5808080808080809</v>
      </c>
      <c r="CC32">
        <f t="shared" si="53"/>
        <v>2.2539682539682544</v>
      </c>
      <c r="CD32">
        <f t="shared" si="53"/>
        <v>2.2421052631578946</v>
      </c>
      <c r="CE32">
        <f t="shared" si="53"/>
        <v>2.236842105263158</v>
      </c>
      <c r="CF32">
        <f t="shared" si="53"/>
        <v>2.2094240837696333</v>
      </c>
      <c r="CG32">
        <f t="shared" si="53"/>
        <v>2.1606217616580312</v>
      </c>
      <c r="CH32">
        <f t="shared" si="53"/>
        <v>2.1631578947368424</v>
      </c>
      <c r="CI32">
        <f t="shared" si="53"/>
        <v>2.0721649484536084</v>
      </c>
      <c r="CJ32">
        <f t="shared" si="53"/>
        <v>1.9698492462311561</v>
      </c>
      <c r="CK32">
        <f t="shared" si="53"/>
        <v>1.8994974874371859</v>
      </c>
      <c r="CL32">
        <f t="shared" si="53"/>
        <v>1.8149999999999999</v>
      </c>
      <c r="CM32">
        <f t="shared" si="53"/>
        <v>1.6960784313725492</v>
      </c>
      <c r="CN32">
        <f t="shared" si="53"/>
        <v>1.613861386138614</v>
      </c>
      <c r="CO32">
        <f t="shared" si="53"/>
        <v>1.5240641711229947</v>
      </c>
      <c r="CP32">
        <f t="shared" si="53"/>
        <v>1.4</v>
      </c>
      <c r="CQ32">
        <f t="shared" si="53"/>
        <v>1.3101265822784809</v>
      </c>
      <c r="CR32">
        <f t="shared" si="53"/>
        <v>1.2142857142857142</v>
      </c>
      <c r="CS32">
        <f t="shared" si="53"/>
        <v>1.078740157480315</v>
      </c>
      <c r="CT32">
        <f t="shared" si="53"/>
        <v>0.95495495495495497</v>
      </c>
      <c r="CU32">
        <f t="shared" si="53"/>
        <v>0.92857142857142871</v>
      </c>
      <c r="CV32">
        <f t="shared" si="53"/>
        <v>0.71879194630872489</v>
      </c>
      <c r="CW32">
        <f t="shared" si="53"/>
        <v>1.25764192139738</v>
      </c>
      <c r="CX32">
        <f t="shared" si="53"/>
        <v>2.0289855072463765</v>
      </c>
      <c r="CY32">
        <f t="shared" si="53"/>
        <v>2.4347826086956523</v>
      </c>
      <c r="CZ32">
        <f t="shared" si="53"/>
        <v>2.011206896551724</v>
      </c>
      <c r="DA32">
        <f t="shared" si="53"/>
        <v>2.3884297520661155</v>
      </c>
      <c r="DB32">
        <f t="shared" si="53"/>
        <v>2.4322033898305082</v>
      </c>
      <c r="DC32">
        <f t="shared" si="53"/>
        <v>1.7073170731707317</v>
      </c>
      <c r="DD32">
        <f t="shared" ref="DD32:DI32" si="54">(DD20/DD21)</f>
        <v>2.6875</v>
      </c>
      <c r="DE32">
        <f t="shared" si="54"/>
        <v>1.853448275862069</v>
      </c>
      <c r="DF32">
        <f t="shared" si="54"/>
        <v>1.1041666666666667</v>
      </c>
      <c r="DG32">
        <f t="shared" si="54"/>
        <v>1.4074074074074072</v>
      </c>
      <c r="DH32">
        <f t="shared" si="54"/>
        <v>2.0656934306569346</v>
      </c>
      <c r="DI32">
        <f t="shared" si="54"/>
        <v>1.7073170731707317</v>
      </c>
    </row>
    <row r="33" spans="1:114" x14ac:dyDescent="0.25">
      <c r="A33" t="s">
        <v>91</v>
      </c>
      <c r="B33">
        <f>(B23-B24)/(B23+B24)</f>
        <v>0.63043478260869568</v>
      </c>
      <c r="C33">
        <f t="shared" ref="C33:BI33" si="55">(C23-C24)/(C23+C24)</f>
        <v>0.35135135135135137</v>
      </c>
      <c r="D33">
        <f t="shared" si="55"/>
        <v>0.92771084337349397</v>
      </c>
      <c r="E33">
        <f t="shared" si="55"/>
        <v>0.68421052631578949</v>
      </c>
      <c r="F33">
        <f t="shared" si="55"/>
        <v>0.4049586776859504</v>
      </c>
      <c r="G33">
        <f t="shared" si="55"/>
        <v>0.44144144144144143</v>
      </c>
      <c r="H33">
        <f t="shared" si="55"/>
        <v>0.48514851485148514</v>
      </c>
      <c r="I33">
        <f t="shared" si="55"/>
        <v>0.53846153846153844</v>
      </c>
      <c r="J33">
        <f t="shared" si="55"/>
        <v>0.60493827160493829</v>
      </c>
      <c r="K33">
        <f t="shared" si="55"/>
        <v>0.6901408450704225</v>
      </c>
      <c r="L33">
        <f t="shared" si="55"/>
        <v>0.80327868852459017</v>
      </c>
      <c r="M33">
        <f t="shared" si="55"/>
        <v>0.96078431372549022</v>
      </c>
      <c r="N33">
        <f t="shared" si="55"/>
        <v>0.8867924528301887</v>
      </c>
      <c r="O33">
        <f t="shared" si="55"/>
        <v>0.81818181818181823</v>
      </c>
      <c r="P33">
        <f t="shared" si="55"/>
        <v>0.75438596491228072</v>
      </c>
      <c r="Q33">
        <f t="shared" si="55"/>
        <v>0.69491525423728817</v>
      </c>
      <c r="R33">
        <f t="shared" si="55"/>
        <v>0.63934426229508201</v>
      </c>
      <c r="S33">
        <f t="shared" si="55"/>
        <v>0.58730158730158732</v>
      </c>
      <c r="T33">
        <f t="shared" si="55"/>
        <v>0.53846153846153844</v>
      </c>
      <c r="U33">
        <f t="shared" si="55"/>
        <v>0.4925373134328358</v>
      </c>
      <c r="V33">
        <f t="shared" si="55"/>
        <v>0.44927536231884058</v>
      </c>
      <c r="W33">
        <f t="shared" si="55"/>
        <v>0.40845070422535212</v>
      </c>
      <c r="X33">
        <f t="shared" si="55"/>
        <v>0.36986301369863012</v>
      </c>
      <c r="Y33">
        <f t="shared" si="55"/>
        <v>0.33333333333333331</v>
      </c>
      <c r="Z33">
        <f t="shared" si="55"/>
        <v>0.29870129870129869</v>
      </c>
      <c r="AA33">
        <f t="shared" si="55"/>
        <v>0.26582278481012656</v>
      </c>
      <c r="AB33">
        <f t="shared" si="55"/>
        <v>0.23456790123456789</v>
      </c>
      <c r="AC33">
        <f t="shared" si="55"/>
        <v>0.20481927710843373</v>
      </c>
      <c r="AD33">
        <f t="shared" si="55"/>
        <v>0.33333333333333331</v>
      </c>
      <c r="AE33">
        <f t="shared" si="55"/>
        <v>0.4925373134328358</v>
      </c>
      <c r="AF33">
        <f t="shared" si="55"/>
        <v>0.69491525423728817</v>
      </c>
      <c r="AG33">
        <f t="shared" si="55"/>
        <v>0.35135135135135137</v>
      </c>
      <c r="AH33">
        <f t="shared" si="55"/>
        <v>0.53846153846153844</v>
      </c>
      <c r="AI33">
        <f t="shared" si="55"/>
        <v>0.7857142857142857</v>
      </c>
      <c r="AJ33">
        <f t="shared" si="55"/>
        <v>0.23287671232876711</v>
      </c>
      <c r="AK33">
        <f t="shared" si="55"/>
        <v>0.26984126984126983</v>
      </c>
      <c r="AL33">
        <f t="shared" si="55"/>
        <v>0.32075471698113206</v>
      </c>
      <c r="AM33">
        <f t="shared" si="55"/>
        <v>0.39534883720930231</v>
      </c>
      <c r="AN33">
        <f t="shared" si="55"/>
        <v>0.51515151515151514</v>
      </c>
      <c r="AO33">
        <f t="shared" si="55"/>
        <v>0.19047619047619047</v>
      </c>
      <c r="AP33">
        <f t="shared" si="55"/>
        <v>0.4049586776859504</v>
      </c>
      <c r="AQ33">
        <f t="shared" si="55"/>
        <v>0.4049586776859504</v>
      </c>
      <c r="AR33">
        <f t="shared" si="55"/>
        <v>0.4049586776859504</v>
      </c>
      <c r="AS33">
        <f t="shared" si="55"/>
        <v>0.37404580152671757</v>
      </c>
      <c r="AT33">
        <f t="shared" si="55"/>
        <v>0.3475177304964539</v>
      </c>
      <c r="AU33">
        <f t="shared" si="55"/>
        <v>0.32450331125827814</v>
      </c>
      <c r="AV33">
        <f t="shared" si="55"/>
        <v>0.30434782608695654</v>
      </c>
      <c r="AW33">
        <f t="shared" si="55"/>
        <v>0.28654970760233917</v>
      </c>
      <c r="AX33">
        <f t="shared" si="55"/>
        <v>0.27071823204419887</v>
      </c>
      <c r="AY33">
        <f t="shared" si="55"/>
        <v>0.25654450261780104</v>
      </c>
      <c r="AZ33">
        <f t="shared" si="55"/>
        <v>0.24378109452736318</v>
      </c>
      <c r="BA33">
        <f t="shared" si="55"/>
        <v>0.23222748815165878</v>
      </c>
      <c r="BB33">
        <f t="shared" si="55"/>
        <v>0.23222748815165878</v>
      </c>
      <c r="BC33">
        <f t="shared" si="55"/>
        <v>0.23222748815165878</v>
      </c>
      <c r="BD33">
        <f t="shared" si="55"/>
        <v>0.23222748815165878</v>
      </c>
      <c r="BE33">
        <f t="shared" si="55"/>
        <v>0.23222748815165878</v>
      </c>
      <c r="BF33">
        <f t="shared" si="55"/>
        <v>0.39037433155080214</v>
      </c>
      <c r="BG33">
        <f t="shared" si="55"/>
        <v>0.41242937853107342</v>
      </c>
      <c r="BH33">
        <f t="shared" si="55"/>
        <v>0.43712574850299402</v>
      </c>
      <c r="BI33">
        <f t="shared" si="55"/>
        <v>0.46496815286624205</v>
      </c>
      <c r="BJ33">
        <f t="shared" ref="BJ33:BP33" si="56">(BJ23-BJ24)/(BJ23+BJ24)</f>
        <v>0.49659863945578231</v>
      </c>
      <c r="BK33">
        <f t="shared" si="56"/>
        <v>0.53284671532846717</v>
      </c>
      <c r="BL33">
        <f t="shared" si="56"/>
        <v>0.57480314960629919</v>
      </c>
      <c r="BM33">
        <f t="shared" si="56"/>
        <v>0.62393162393162394</v>
      </c>
      <c r="BN33">
        <f t="shared" si="56"/>
        <v>0.68224299065420557</v>
      </c>
      <c r="BO33">
        <f t="shared" si="56"/>
        <v>0.75257731958762886</v>
      </c>
      <c r="BP33">
        <f t="shared" si="56"/>
        <v>0.39784946236559138</v>
      </c>
      <c r="BQ33">
        <f t="shared" ref="BQ33:BY33" si="57">(BQ23-BQ24)/(BQ23+BQ24)</f>
        <v>0.42045454545454547</v>
      </c>
      <c r="BR33">
        <f t="shared" si="57"/>
        <v>0.44578313253012047</v>
      </c>
      <c r="BS33">
        <f t="shared" si="57"/>
        <v>0.47435897435897434</v>
      </c>
      <c r="BT33">
        <f t="shared" si="57"/>
        <v>0.50684931506849318</v>
      </c>
      <c r="BU33">
        <f t="shared" si="57"/>
        <v>0.54411764705882348</v>
      </c>
      <c r="BV33">
        <f t="shared" si="57"/>
        <v>0.58730158730158732</v>
      </c>
      <c r="BW33">
        <f t="shared" si="57"/>
        <v>0.63793103448275867</v>
      </c>
      <c r="BX33">
        <f t="shared" si="57"/>
        <v>0.69811320754716977</v>
      </c>
      <c r="BY33">
        <f t="shared" si="57"/>
        <v>0.77083333333333337</v>
      </c>
      <c r="BZ33">
        <f t="shared" ref="BZ33:DC33" si="58">(BZ23-BZ24)/(BZ23+BZ24)</f>
        <v>0.67597765363128492</v>
      </c>
      <c r="CA33">
        <f t="shared" si="58"/>
        <v>0.19521912350597609</v>
      </c>
      <c r="CB33">
        <f t="shared" si="58"/>
        <v>0.83908045977011492</v>
      </c>
      <c r="CC33">
        <f t="shared" si="58"/>
        <v>0.94805194805194803</v>
      </c>
      <c r="CD33">
        <f t="shared" si="58"/>
        <v>0.875</v>
      </c>
      <c r="CE33">
        <f t="shared" si="58"/>
        <v>0.80722891566265065</v>
      </c>
      <c r="CF33">
        <f t="shared" si="58"/>
        <v>0.7441860465116279</v>
      </c>
      <c r="CG33">
        <f t="shared" si="58"/>
        <v>0.6853932584269663</v>
      </c>
      <c r="CH33">
        <f t="shared" si="58"/>
        <v>0.63043478260869568</v>
      </c>
      <c r="CI33">
        <f t="shared" si="58"/>
        <v>0.57894736842105265</v>
      </c>
      <c r="CJ33">
        <f t="shared" si="58"/>
        <v>0.53061224489795922</v>
      </c>
      <c r="CK33">
        <f t="shared" si="58"/>
        <v>0.48514851485148514</v>
      </c>
      <c r="CL33">
        <f t="shared" si="58"/>
        <v>0.44230769230769229</v>
      </c>
      <c r="CM33">
        <f t="shared" si="58"/>
        <v>0.40186915887850466</v>
      </c>
      <c r="CN33">
        <f t="shared" si="58"/>
        <v>0.36363636363636365</v>
      </c>
      <c r="CO33">
        <f t="shared" si="58"/>
        <v>0.4</v>
      </c>
      <c r="CP33">
        <f t="shared" si="58"/>
        <v>0.44444444444444442</v>
      </c>
      <c r="CQ33">
        <f t="shared" si="58"/>
        <v>0.5</v>
      </c>
      <c r="CR33">
        <f t="shared" si="58"/>
        <v>0.5714285714285714</v>
      </c>
      <c r="CS33">
        <f t="shared" si="58"/>
        <v>0.66666666666666663</v>
      </c>
      <c r="CT33">
        <f t="shared" si="58"/>
        <v>0.8</v>
      </c>
      <c r="CU33">
        <f t="shared" si="58"/>
        <v>0.69811320754716977</v>
      </c>
      <c r="CV33">
        <f t="shared" si="58"/>
        <v>3.8062283737024222E-2</v>
      </c>
      <c r="CW33">
        <f t="shared" si="58"/>
        <v>0.14503816793893129</v>
      </c>
      <c r="CX33">
        <f t="shared" si="58"/>
        <v>0.73010380622837379</v>
      </c>
      <c r="CY33">
        <f t="shared" si="58"/>
        <v>0.57181571815718168</v>
      </c>
      <c r="CZ33">
        <f t="shared" si="58"/>
        <v>0.96078431372549022</v>
      </c>
      <c r="DA33">
        <f t="shared" si="58"/>
        <v>0.89473684210526316</v>
      </c>
      <c r="DB33">
        <f t="shared" si="58"/>
        <v>0.89473684210526316</v>
      </c>
      <c r="DC33">
        <f t="shared" si="58"/>
        <v>0.91489361702127658</v>
      </c>
      <c r="DD33">
        <f t="shared" ref="DD33:DJ33" si="59">(DD23-DD24)/(DD23+DD24)</f>
        <v>0.19402985074626866</v>
      </c>
      <c r="DE33">
        <f t="shared" si="59"/>
        <v>9.8901098901098897E-2</v>
      </c>
      <c r="DF33">
        <f t="shared" si="59"/>
        <v>0.89189189189189189</v>
      </c>
      <c r="DG33">
        <f t="shared" si="59"/>
        <v>0.95121951219512191</v>
      </c>
      <c r="DH33">
        <f t="shared" si="59"/>
        <v>0.96078431372549022</v>
      </c>
      <c r="DI33">
        <f t="shared" si="59"/>
        <v>0.91489361702127658</v>
      </c>
      <c r="DJ33">
        <f t="shared" si="59"/>
        <v>0.75438596491228072</v>
      </c>
    </row>
    <row r="34" spans="1:114" x14ac:dyDescent="0.25">
      <c r="A34" t="s">
        <v>90</v>
      </c>
      <c r="B34">
        <f>B33</f>
        <v>0.63043478260869568</v>
      </c>
      <c r="C34">
        <f t="shared" ref="C34:AR34" si="60">C33</f>
        <v>0.35135135135135137</v>
      </c>
      <c r="D34">
        <f t="shared" si="60"/>
        <v>0.92771084337349397</v>
      </c>
      <c r="E34">
        <f t="shared" si="60"/>
        <v>0.68421052631578949</v>
      </c>
      <c r="F34">
        <f t="shared" si="60"/>
        <v>0.4049586776859504</v>
      </c>
      <c r="G34">
        <f t="shared" si="60"/>
        <v>0.44144144144144143</v>
      </c>
      <c r="H34">
        <f t="shared" si="60"/>
        <v>0.48514851485148514</v>
      </c>
      <c r="I34">
        <f t="shared" si="60"/>
        <v>0.53846153846153844</v>
      </c>
      <c r="J34">
        <f t="shared" si="60"/>
        <v>0.60493827160493829</v>
      </c>
      <c r="K34">
        <f t="shared" si="60"/>
        <v>0.6901408450704225</v>
      </c>
      <c r="L34">
        <f t="shared" si="60"/>
        <v>0.80327868852459017</v>
      </c>
      <c r="M34">
        <f t="shared" si="60"/>
        <v>0.96078431372549022</v>
      </c>
      <c r="N34">
        <f t="shared" si="60"/>
        <v>0.8867924528301887</v>
      </c>
      <c r="O34">
        <f t="shared" si="60"/>
        <v>0.81818181818181823</v>
      </c>
      <c r="P34">
        <f t="shared" si="60"/>
        <v>0.75438596491228072</v>
      </c>
      <c r="Q34">
        <f t="shared" si="60"/>
        <v>0.69491525423728817</v>
      </c>
      <c r="R34">
        <f t="shared" si="60"/>
        <v>0.63934426229508201</v>
      </c>
      <c r="S34">
        <f t="shared" si="60"/>
        <v>0.58730158730158732</v>
      </c>
      <c r="T34">
        <f t="shared" si="60"/>
        <v>0.53846153846153844</v>
      </c>
      <c r="U34">
        <f t="shared" si="60"/>
        <v>0.4925373134328358</v>
      </c>
      <c r="V34">
        <f t="shared" si="60"/>
        <v>0.44927536231884058</v>
      </c>
      <c r="W34">
        <f t="shared" si="60"/>
        <v>0.40845070422535212</v>
      </c>
      <c r="X34">
        <f t="shared" si="60"/>
        <v>0.36986301369863012</v>
      </c>
      <c r="Y34">
        <f t="shared" si="60"/>
        <v>0.33333333333333331</v>
      </c>
      <c r="Z34">
        <f t="shared" si="60"/>
        <v>0.29870129870129869</v>
      </c>
      <c r="AA34">
        <f t="shared" si="60"/>
        <v>0.26582278481012656</v>
      </c>
      <c r="AB34">
        <f t="shared" si="60"/>
        <v>0.23456790123456789</v>
      </c>
      <c r="AC34">
        <f t="shared" si="60"/>
        <v>0.20481927710843373</v>
      </c>
      <c r="AD34">
        <f t="shared" si="60"/>
        <v>0.33333333333333331</v>
      </c>
      <c r="AE34">
        <f t="shared" si="60"/>
        <v>0.4925373134328358</v>
      </c>
      <c r="AF34">
        <f t="shared" si="60"/>
        <v>0.69491525423728817</v>
      </c>
      <c r="AG34">
        <f t="shared" si="60"/>
        <v>0.35135135135135137</v>
      </c>
      <c r="AH34">
        <f t="shared" si="60"/>
        <v>0.53846153846153844</v>
      </c>
      <c r="AI34">
        <f t="shared" si="60"/>
        <v>0.7857142857142857</v>
      </c>
      <c r="AJ34">
        <f t="shared" si="60"/>
        <v>0.23287671232876711</v>
      </c>
      <c r="AK34">
        <f t="shared" si="60"/>
        <v>0.26984126984126983</v>
      </c>
      <c r="AL34">
        <f t="shared" si="60"/>
        <v>0.32075471698113206</v>
      </c>
      <c r="AM34">
        <f t="shared" si="60"/>
        <v>0.39534883720930231</v>
      </c>
      <c r="AN34">
        <f t="shared" si="60"/>
        <v>0.51515151515151514</v>
      </c>
      <c r="AO34">
        <f t="shared" si="60"/>
        <v>0.19047619047619047</v>
      </c>
      <c r="AP34">
        <f t="shared" si="60"/>
        <v>0.4049586776859504</v>
      </c>
      <c r="AQ34">
        <f t="shared" si="60"/>
        <v>0.4049586776859504</v>
      </c>
      <c r="AR34">
        <f t="shared" si="60"/>
        <v>0.4049586776859504</v>
      </c>
      <c r="AS34">
        <f t="shared" ref="AS34:BX34" si="61">AS33</f>
        <v>0.37404580152671757</v>
      </c>
      <c r="AT34">
        <f t="shared" si="61"/>
        <v>0.3475177304964539</v>
      </c>
      <c r="AU34">
        <f t="shared" si="61"/>
        <v>0.32450331125827814</v>
      </c>
      <c r="AV34">
        <f t="shared" si="61"/>
        <v>0.30434782608695654</v>
      </c>
      <c r="AW34">
        <f t="shared" si="61"/>
        <v>0.28654970760233917</v>
      </c>
      <c r="AX34">
        <f t="shared" si="61"/>
        <v>0.27071823204419887</v>
      </c>
      <c r="AY34">
        <f t="shared" si="61"/>
        <v>0.25654450261780104</v>
      </c>
      <c r="AZ34">
        <f t="shared" si="61"/>
        <v>0.24378109452736318</v>
      </c>
      <c r="BA34">
        <f t="shared" si="61"/>
        <v>0.23222748815165878</v>
      </c>
      <c r="BB34">
        <f t="shared" si="61"/>
        <v>0.23222748815165878</v>
      </c>
      <c r="BC34">
        <f t="shared" si="61"/>
        <v>0.23222748815165878</v>
      </c>
      <c r="BD34">
        <f t="shared" si="61"/>
        <v>0.23222748815165878</v>
      </c>
      <c r="BE34">
        <f t="shared" si="61"/>
        <v>0.23222748815165878</v>
      </c>
      <c r="BF34">
        <f t="shared" si="61"/>
        <v>0.39037433155080214</v>
      </c>
      <c r="BG34">
        <f t="shared" si="61"/>
        <v>0.41242937853107342</v>
      </c>
      <c r="BH34">
        <f t="shared" si="61"/>
        <v>0.43712574850299402</v>
      </c>
      <c r="BI34">
        <f t="shared" si="61"/>
        <v>0.46496815286624205</v>
      </c>
      <c r="BJ34">
        <f t="shared" si="61"/>
        <v>0.49659863945578231</v>
      </c>
      <c r="BK34">
        <f t="shared" si="61"/>
        <v>0.53284671532846717</v>
      </c>
      <c r="BL34">
        <f t="shared" si="61"/>
        <v>0.57480314960629919</v>
      </c>
      <c r="BM34">
        <f t="shared" si="61"/>
        <v>0.62393162393162394</v>
      </c>
      <c r="BN34">
        <f t="shared" si="61"/>
        <v>0.68224299065420557</v>
      </c>
      <c r="BO34">
        <f t="shared" si="61"/>
        <v>0.75257731958762886</v>
      </c>
      <c r="BP34">
        <f t="shared" si="61"/>
        <v>0.39784946236559138</v>
      </c>
      <c r="BQ34">
        <f t="shared" si="61"/>
        <v>0.42045454545454547</v>
      </c>
      <c r="BR34">
        <f t="shared" si="61"/>
        <v>0.44578313253012047</v>
      </c>
      <c r="BS34">
        <f t="shared" si="61"/>
        <v>0.47435897435897434</v>
      </c>
      <c r="BT34">
        <f t="shared" si="61"/>
        <v>0.50684931506849318</v>
      </c>
      <c r="BU34">
        <f t="shared" si="61"/>
        <v>0.54411764705882348</v>
      </c>
      <c r="BV34">
        <f t="shared" si="61"/>
        <v>0.58730158730158732</v>
      </c>
      <c r="BW34">
        <f t="shared" si="61"/>
        <v>0.63793103448275867</v>
      </c>
      <c r="BX34">
        <f t="shared" si="61"/>
        <v>0.69811320754716977</v>
      </c>
      <c r="BY34">
        <f t="shared" ref="BY34:DC34" si="62">BY33</f>
        <v>0.77083333333333337</v>
      </c>
      <c r="BZ34">
        <f t="shared" si="62"/>
        <v>0.67597765363128492</v>
      </c>
      <c r="CA34">
        <f t="shared" si="62"/>
        <v>0.19521912350597609</v>
      </c>
      <c r="CB34">
        <f t="shared" si="62"/>
        <v>0.83908045977011492</v>
      </c>
      <c r="CC34">
        <f t="shared" si="62"/>
        <v>0.94805194805194803</v>
      </c>
      <c r="CD34">
        <f t="shared" si="62"/>
        <v>0.875</v>
      </c>
      <c r="CE34">
        <f t="shared" si="62"/>
        <v>0.80722891566265065</v>
      </c>
      <c r="CF34">
        <f t="shared" si="62"/>
        <v>0.7441860465116279</v>
      </c>
      <c r="CG34">
        <f t="shared" si="62"/>
        <v>0.6853932584269663</v>
      </c>
      <c r="CH34">
        <f t="shared" si="62"/>
        <v>0.63043478260869568</v>
      </c>
      <c r="CI34">
        <f t="shared" si="62"/>
        <v>0.57894736842105265</v>
      </c>
      <c r="CJ34">
        <f t="shared" si="62"/>
        <v>0.53061224489795922</v>
      </c>
      <c r="CK34">
        <f t="shared" si="62"/>
        <v>0.48514851485148514</v>
      </c>
      <c r="CL34">
        <f t="shared" si="62"/>
        <v>0.44230769230769229</v>
      </c>
      <c r="CM34">
        <f t="shared" si="62"/>
        <v>0.40186915887850466</v>
      </c>
      <c r="CN34">
        <f t="shared" si="62"/>
        <v>0.36363636363636365</v>
      </c>
      <c r="CO34">
        <f t="shared" si="62"/>
        <v>0.4</v>
      </c>
      <c r="CP34">
        <f t="shared" si="62"/>
        <v>0.44444444444444442</v>
      </c>
      <c r="CQ34">
        <f t="shared" si="62"/>
        <v>0.5</v>
      </c>
      <c r="CR34">
        <f t="shared" si="62"/>
        <v>0.5714285714285714</v>
      </c>
      <c r="CS34">
        <f t="shared" si="62"/>
        <v>0.66666666666666663</v>
      </c>
      <c r="CT34">
        <f t="shared" si="62"/>
        <v>0.8</v>
      </c>
      <c r="CU34">
        <f t="shared" si="62"/>
        <v>0.69811320754716977</v>
      </c>
      <c r="CV34">
        <f t="shared" si="62"/>
        <v>3.8062283737024222E-2</v>
      </c>
      <c r="CW34">
        <f t="shared" si="62"/>
        <v>0.14503816793893129</v>
      </c>
      <c r="CX34">
        <f t="shared" si="62"/>
        <v>0.73010380622837379</v>
      </c>
      <c r="CY34">
        <f t="shared" si="62"/>
        <v>0.57181571815718168</v>
      </c>
      <c r="CZ34">
        <f t="shared" si="62"/>
        <v>0.96078431372549022</v>
      </c>
      <c r="DA34">
        <f t="shared" si="62"/>
        <v>0.89473684210526316</v>
      </c>
      <c r="DB34">
        <f t="shared" si="62"/>
        <v>0.89473684210526316</v>
      </c>
      <c r="DC34">
        <f t="shared" si="62"/>
        <v>0.91489361702127658</v>
      </c>
      <c r="DD34">
        <f t="shared" ref="DD34:DI34" si="63">DD33</f>
        <v>0.19402985074626866</v>
      </c>
      <c r="DE34">
        <f t="shared" si="63"/>
        <v>9.8901098901098897E-2</v>
      </c>
      <c r="DF34">
        <f t="shared" si="63"/>
        <v>0.89189189189189189</v>
      </c>
      <c r="DG34">
        <f t="shared" si="63"/>
        <v>0.95121951219512191</v>
      </c>
      <c r="DH34">
        <f t="shared" si="63"/>
        <v>0.96078431372549022</v>
      </c>
      <c r="DI34">
        <f t="shared" si="63"/>
        <v>0.91489361702127658</v>
      </c>
    </row>
    <row r="35" spans="1:114" x14ac:dyDescent="0.25">
      <c r="A35" t="s">
        <v>64</v>
      </c>
      <c r="B35">
        <f>B22^(5/3)</f>
        <v>147.36125994561544</v>
      </c>
      <c r="C35">
        <f t="shared" ref="C35:BI35" si="64">C22^(5/3)</f>
        <v>147.36125994561544</v>
      </c>
      <c r="D35">
        <f t="shared" si="64"/>
        <v>147.36125994561544</v>
      </c>
      <c r="E35">
        <f t="shared" si="64"/>
        <v>112.39531331378515</v>
      </c>
      <c r="F35">
        <f t="shared" si="64"/>
        <v>213.7469933345871</v>
      </c>
      <c r="G35">
        <f t="shared" si="64"/>
        <v>213.7469933345871</v>
      </c>
      <c r="H35">
        <f t="shared" si="64"/>
        <v>213.7469933345871</v>
      </c>
      <c r="I35">
        <f t="shared" si="64"/>
        <v>213.7469933345871</v>
      </c>
      <c r="J35">
        <f t="shared" si="64"/>
        <v>213.7469933345871</v>
      </c>
      <c r="K35">
        <f t="shared" si="64"/>
        <v>213.7469933345871</v>
      </c>
      <c r="L35">
        <f t="shared" si="64"/>
        <v>213.7469933345871</v>
      </c>
      <c r="M35">
        <f t="shared" si="64"/>
        <v>213.7469933345871</v>
      </c>
      <c r="N35">
        <f t="shared" si="64"/>
        <v>199.68804701298282</v>
      </c>
      <c r="O35">
        <f t="shared" si="64"/>
        <v>186.01432617907153</v>
      </c>
      <c r="P35">
        <f t="shared" si="64"/>
        <v>172.73133703187324</v>
      </c>
      <c r="Q35">
        <f t="shared" si="64"/>
        <v>159.84491483142523</v>
      </c>
      <c r="R35">
        <f t="shared" si="64"/>
        <v>147.36125994561544</v>
      </c>
      <c r="S35">
        <f t="shared" si="64"/>
        <v>135.28697981913788</v>
      </c>
      <c r="T35">
        <f t="shared" si="64"/>
        <v>123.62913819575981</v>
      </c>
      <c r="U35">
        <f t="shared" si="64"/>
        <v>112.39531331378515</v>
      </c>
      <c r="V35">
        <f t="shared" si="64"/>
        <v>101.59366732596476</v>
      </c>
      <c r="W35">
        <f t="shared" si="64"/>
        <v>91.233029933601046</v>
      </c>
      <c r="X35">
        <f t="shared" si="64"/>
        <v>81.323000269891821</v>
      </c>
      <c r="Y35">
        <f t="shared" si="64"/>
        <v>71.874072577825331</v>
      </c>
      <c r="Z35">
        <f t="shared" si="64"/>
        <v>62.897793461013549</v>
      </c>
      <c r="AA35">
        <f t="shared" si="64"/>
        <v>54.406961875735732</v>
      </c>
      <c r="AB35">
        <f t="shared" si="64"/>
        <v>46.415888336127807</v>
      </c>
      <c r="AC35">
        <f t="shared" si="64"/>
        <v>38.940738398300049</v>
      </c>
      <c r="AD35">
        <f t="shared" si="64"/>
        <v>38.940738398300049</v>
      </c>
      <c r="AE35">
        <f t="shared" si="64"/>
        <v>38.940738398300049</v>
      </c>
      <c r="AF35">
        <f t="shared" si="64"/>
        <v>38.940738398300049</v>
      </c>
      <c r="AG35">
        <f t="shared" si="64"/>
        <v>38.940738398300049</v>
      </c>
      <c r="AH35">
        <f t="shared" si="64"/>
        <v>38.940738398300049</v>
      </c>
      <c r="AI35" s="3">
        <f t="shared" si="64"/>
        <v>38.940738398300049</v>
      </c>
      <c r="AJ35" s="2">
        <f t="shared" si="64"/>
        <v>38.940738398300049</v>
      </c>
      <c r="AK35" s="2">
        <f t="shared" si="64"/>
        <v>38.940738398300049</v>
      </c>
      <c r="AL35" s="2">
        <f t="shared" si="64"/>
        <v>38.940738398300049</v>
      </c>
      <c r="AM35" s="2">
        <f t="shared" si="64"/>
        <v>38.940738398300049</v>
      </c>
      <c r="AN35" s="2">
        <f t="shared" si="64"/>
        <v>38.940738398300049</v>
      </c>
      <c r="AO35" s="2">
        <f t="shared" si="64"/>
        <v>19.81156349336776</v>
      </c>
      <c r="AP35" s="2">
        <f t="shared" si="64"/>
        <v>213.7469933345871</v>
      </c>
      <c r="AQ35" s="2">
        <f t="shared" si="64"/>
        <v>213.7469933345871</v>
      </c>
      <c r="AR35" s="2">
        <f t="shared" si="64"/>
        <v>213.7469933345871</v>
      </c>
      <c r="AS35" s="2">
        <f t="shared" si="64"/>
        <v>213.7469933345871</v>
      </c>
      <c r="AT35" s="2">
        <f t="shared" si="64"/>
        <v>213.7469933345871</v>
      </c>
      <c r="AU35" s="2">
        <f t="shared" si="64"/>
        <v>213.7469933345871</v>
      </c>
      <c r="AV35" s="2">
        <f t="shared" si="64"/>
        <v>213.7469933345871</v>
      </c>
      <c r="AW35" s="2">
        <f t="shared" si="64"/>
        <v>213.7469933345871</v>
      </c>
      <c r="AX35" s="2">
        <f t="shared" si="64"/>
        <v>213.7469933345871</v>
      </c>
      <c r="AY35" s="2">
        <f t="shared" si="64"/>
        <v>213.7469933345871</v>
      </c>
      <c r="AZ35" s="2">
        <f t="shared" si="64"/>
        <v>213.7469933345871</v>
      </c>
      <c r="BA35" s="2">
        <f t="shared" si="64"/>
        <v>213.7469933345871</v>
      </c>
      <c r="BB35" s="2">
        <f t="shared" si="64"/>
        <v>213.7469933345871</v>
      </c>
      <c r="BC35" s="2">
        <f t="shared" si="64"/>
        <v>213.7469933345871</v>
      </c>
      <c r="BD35" s="2">
        <f t="shared" si="64"/>
        <v>213.7469933345871</v>
      </c>
      <c r="BE35" s="2">
        <f t="shared" si="64"/>
        <v>213.7469933345871</v>
      </c>
      <c r="BF35" s="2">
        <f t="shared" si="64"/>
        <v>213.7469933345871</v>
      </c>
      <c r="BG35" s="2">
        <f t="shared" si="64"/>
        <v>213.7469933345871</v>
      </c>
      <c r="BH35" s="2">
        <f t="shared" si="64"/>
        <v>213.7469933345871</v>
      </c>
      <c r="BI35" s="2">
        <f t="shared" si="64"/>
        <v>213.7469933345871</v>
      </c>
      <c r="BJ35" s="2">
        <f t="shared" ref="BJ35:BO35" si="65">BJ22^(5/3)</f>
        <v>213.7469933345871</v>
      </c>
      <c r="BK35" s="2">
        <f t="shared" si="65"/>
        <v>213.7469933345871</v>
      </c>
      <c r="BL35" s="2">
        <f t="shared" si="65"/>
        <v>213.7469933345871</v>
      </c>
      <c r="BM35" s="2">
        <f t="shared" si="65"/>
        <v>213.7469933345871</v>
      </c>
      <c r="BN35" s="2">
        <f t="shared" si="65"/>
        <v>213.7469933345871</v>
      </c>
      <c r="BO35" s="2">
        <f t="shared" si="65"/>
        <v>213.7469933345871</v>
      </c>
      <c r="BP35" s="2">
        <f t="shared" ref="BP35:BY35" si="66">BP22^(5/3)</f>
        <v>213.7469933345871</v>
      </c>
      <c r="BQ35" s="2">
        <f t="shared" si="66"/>
        <v>213.7469933345871</v>
      </c>
      <c r="BR35" s="2">
        <f t="shared" si="66"/>
        <v>213.7469933345871</v>
      </c>
      <c r="BS35" s="2">
        <f t="shared" si="66"/>
        <v>213.7469933345871</v>
      </c>
      <c r="BT35" s="2">
        <f t="shared" si="66"/>
        <v>213.7469933345871</v>
      </c>
      <c r="BU35" s="2">
        <f t="shared" si="66"/>
        <v>213.7469933345871</v>
      </c>
      <c r="BV35" s="2">
        <f t="shared" si="66"/>
        <v>213.7469933345871</v>
      </c>
      <c r="BW35" s="2">
        <f t="shared" si="66"/>
        <v>213.7469933345871</v>
      </c>
      <c r="BX35" s="2">
        <f t="shared" si="66"/>
        <v>213.7469933345871</v>
      </c>
      <c r="BY35" s="2">
        <f t="shared" si="66"/>
        <v>213.7469933345871</v>
      </c>
      <c r="BZ35" s="2">
        <f t="shared" ref="BZ35:DC35" si="67">BZ22^(5/3)</f>
        <v>213.7469933345871</v>
      </c>
      <c r="CA35" s="2">
        <f t="shared" si="67"/>
        <v>213.7469933345871</v>
      </c>
      <c r="CB35" s="2">
        <f t="shared" si="67"/>
        <v>213.7469933345871</v>
      </c>
      <c r="CC35" s="2">
        <f t="shared" si="67"/>
        <v>213.7469933345871</v>
      </c>
      <c r="CD35" s="2">
        <f t="shared" si="67"/>
        <v>199.68804701298282</v>
      </c>
      <c r="CE35" s="2">
        <f t="shared" si="67"/>
        <v>186.01432617907153</v>
      </c>
      <c r="CF35" s="2">
        <f t="shared" si="67"/>
        <v>172.73133703187324</v>
      </c>
      <c r="CG35" s="2">
        <f t="shared" si="67"/>
        <v>159.84491483142523</v>
      </c>
      <c r="CH35" s="2">
        <f t="shared" si="67"/>
        <v>147.36125994561544</v>
      </c>
      <c r="CI35" s="2">
        <f t="shared" si="67"/>
        <v>135.28697981913788</v>
      </c>
      <c r="CJ35" s="2">
        <f t="shared" si="67"/>
        <v>123.62913819575981</v>
      </c>
      <c r="CK35" s="2">
        <f t="shared" si="67"/>
        <v>112.39531331378515</v>
      </c>
      <c r="CL35" s="2">
        <f t="shared" si="67"/>
        <v>101.59366732596476</v>
      </c>
      <c r="CM35" s="2">
        <f t="shared" si="67"/>
        <v>91.233029933601046</v>
      </c>
      <c r="CN35" s="2">
        <f t="shared" si="67"/>
        <v>81.323000269891821</v>
      </c>
      <c r="CO35" s="2">
        <f t="shared" si="67"/>
        <v>81.323000269891821</v>
      </c>
      <c r="CP35" s="2">
        <f t="shared" si="67"/>
        <v>81.323000269891821</v>
      </c>
      <c r="CQ35" s="2">
        <f t="shared" si="67"/>
        <v>81.323000269891821</v>
      </c>
      <c r="CR35" s="2">
        <f t="shared" si="67"/>
        <v>81.323000269891821</v>
      </c>
      <c r="CS35" s="2">
        <f t="shared" si="67"/>
        <v>81.323000269891821</v>
      </c>
      <c r="CT35" s="2">
        <f t="shared" si="67"/>
        <v>81.323000269891821</v>
      </c>
      <c r="CU35" s="2">
        <f t="shared" si="67"/>
        <v>71.874072577825331</v>
      </c>
      <c r="CV35" s="2">
        <f t="shared" si="67"/>
        <v>19.81156349336776</v>
      </c>
      <c r="CW35" s="2">
        <f t="shared" si="67"/>
        <v>46.415888336127807</v>
      </c>
      <c r="CX35" s="2">
        <f t="shared" si="67"/>
        <v>167.52884149687941</v>
      </c>
      <c r="CY35" s="2">
        <f t="shared" si="67"/>
        <v>167.52884149687941</v>
      </c>
      <c r="CZ35" s="2">
        <f t="shared" si="67"/>
        <v>213.7469933345871</v>
      </c>
      <c r="DA35" s="2">
        <f t="shared" si="67"/>
        <v>228.18595683855739</v>
      </c>
      <c r="DB35" s="2">
        <f t="shared" si="67"/>
        <v>228.18595683855739</v>
      </c>
      <c r="DC35" s="2">
        <f t="shared" si="67"/>
        <v>172.73133703187324</v>
      </c>
      <c r="DD35" s="2">
        <f t="shared" ref="DD35:DI35" si="68">DD22^(5/3)</f>
        <v>25.615139970160801</v>
      </c>
      <c r="DE35" s="2">
        <f t="shared" si="68"/>
        <v>14.620088691064328</v>
      </c>
      <c r="DF35" s="2">
        <f t="shared" si="68"/>
        <v>112.39531331378515</v>
      </c>
      <c r="DG35" s="2">
        <f t="shared" si="68"/>
        <v>147.36125994561544</v>
      </c>
      <c r="DH35" s="2">
        <f t="shared" si="68"/>
        <v>213.7469933345871</v>
      </c>
      <c r="DI35" s="2">
        <f t="shared" si="68"/>
        <v>172.73133703187324</v>
      </c>
    </row>
    <row r="36" spans="1:114" x14ac:dyDescent="0.25">
      <c r="A36" t="s">
        <v>101</v>
      </c>
      <c r="B36">
        <f>-(B20/B21)/(B33)+10</f>
        <v>6.8438549955791341</v>
      </c>
      <c r="C36">
        <f t="shared" ref="C36:BI36" si="69">-(C20/C21)/(C33)+10</f>
        <v>2.0897435897435894</v>
      </c>
      <c r="D36">
        <f t="shared" si="69"/>
        <v>8.4138348697934191</v>
      </c>
      <c r="E36">
        <f t="shared" si="69"/>
        <v>7.9375244045294808</v>
      </c>
      <c r="F36">
        <f t="shared" si="69"/>
        <v>1.1834406766508874</v>
      </c>
      <c r="G36">
        <f t="shared" si="69"/>
        <v>1.778501055594651</v>
      </c>
      <c r="H36">
        <f t="shared" si="69"/>
        <v>2.7468232576049294</v>
      </c>
      <c r="I36">
        <f t="shared" si="69"/>
        <v>3.8159057437407951</v>
      </c>
      <c r="J36">
        <f t="shared" si="69"/>
        <v>4.9200871359779867</v>
      </c>
      <c r="K36">
        <f t="shared" si="69"/>
        <v>5.9661123708742752</v>
      </c>
      <c r="L36">
        <f t="shared" si="69"/>
        <v>6.9718698290126859</v>
      </c>
      <c r="M36">
        <f t="shared" si="69"/>
        <v>7.8322847936166955</v>
      </c>
      <c r="N36">
        <f t="shared" si="69"/>
        <v>7.651415773476244</v>
      </c>
      <c r="O36">
        <f t="shared" si="69"/>
        <v>7.4636591478696737</v>
      </c>
      <c r="P36">
        <f t="shared" si="69"/>
        <v>7.2795904199930579</v>
      </c>
      <c r="Q36">
        <f t="shared" si="69"/>
        <v>7.1006323396567304</v>
      </c>
      <c r="R36">
        <f t="shared" si="69"/>
        <v>6.8717948717948723</v>
      </c>
      <c r="S36">
        <f t="shared" si="69"/>
        <v>6.7437364371670938</v>
      </c>
      <c r="T36">
        <f t="shared" si="69"/>
        <v>6.5432742440041709</v>
      </c>
      <c r="U36">
        <f t="shared" si="69"/>
        <v>6.3921953346413778</v>
      </c>
      <c r="V36">
        <f t="shared" si="69"/>
        <v>6.2587508579272475</v>
      </c>
      <c r="W36">
        <f t="shared" si="69"/>
        <v>6.1034482758620694</v>
      </c>
      <c r="X36">
        <f t="shared" si="69"/>
        <v>6.0007716049382713</v>
      </c>
      <c r="Y36">
        <f t="shared" si="69"/>
        <v>5.8541666666666661</v>
      </c>
      <c r="Z36">
        <f t="shared" si="69"/>
        <v>5.7808219178082192</v>
      </c>
      <c r="AA36">
        <f t="shared" si="69"/>
        <v>5.7297297297297298</v>
      </c>
      <c r="AB36">
        <f t="shared" si="69"/>
        <v>5.6796185093606502</v>
      </c>
      <c r="AC36">
        <f t="shared" si="69"/>
        <v>5.5794912559618446</v>
      </c>
      <c r="AD36">
        <f t="shared" si="69"/>
        <v>7.590551181102362</v>
      </c>
      <c r="AE36">
        <f t="shared" si="69"/>
        <v>8.5418732782369151</v>
      </c>
      <c r="AF36">
        <f t="shared" si="69"/>
        <v>9.0802112144832794</v>
      </c>
      <c r="AG36">
        <f t="shared" si="69"/>
        <v>8.0958829902491871</v>
      </c>
      <c r="AH36">
        <f t="shared" si="69"/>
        <v>9.0714285714285712</v>
      </c>
      <c r="AI36">
        <f t="shared" si="69"/>
        <v>9.532670454545455</v>
      </c>
      <c r="AJ36">
        <f t="shared" si="69"/>
        <v>6.230354737314773</v>
      </c>
      <c r="AK36">
        <f t="shared" si="69"/>
        <v>6.965010141987829</v>
      </c>
      <c r="AL36">
        <f t="shared" si="69"/>
        <v>7.6066547831253715</v>
      </c>
      <c r="AM36">
        <f t="shared" si="69"/>
        <v>8.2109038737446198</v>
      </c>
      <c r="AN36">
        <f t="shared" si="69"/>
        <v>8.7647058823529402</v>
      </c>
      <c r="AO36">
        <f t="shared" si="69"/>
        <v>7.120967741935484</v>
      </c>
      <c r="AP36">
        <f t="shared" si="69"/>
        <v>-0.74677551020408295</v>
      </c>
      <c r="AQ36">
        <f t="shared" si="69"/>
        <v>0.43546996263293991</v>
      </c>
      <c r="AR36">
        <f t="shared" si="69"/>
        <v>3.1530612244897966</v>
      </c>
      <c r="AS36">
        <f t="shared" si="69"/>
        <v>-1.4980070153061202</v>
      </c>
      <c r="AT36">
        <f t="shared" si="69"/>
        <v>-2.0697278911564627</v>
      </c>
      <c r="AU36">
        <f t="shared" si="69"/>
        <v>-3.0025016458196188</v>
      </c>
      <c r="AV36">
        <f t="shared" si="69"/>
        <v>-4.5614512471655324</v>
      </c>
      <c r="AW36">
        <f t="shared" si="69"/>
        <v>-6.7532291397571669</v>
      </c>
      <c r="AX36">
        <f t="shared" si="69"/>
        <v>-6.7054574638844286</v>
      </c>
      <c r="AY36">
        <f t="shared" si="69"/>
        <v>-7.6554621848739508</v>
      </c>
      <c r="AZ36">
        <f t="shared" si="69"/>
        <v>-8.0736535215590024</v>
      </c>
      <c r="BA36">
        <f t="shared" si="69"/>
        <v>-10.406353674474715</v>
      </c>
      <c r="BB36">
        <f t="shared" si="69"/>
        <v>-14.330652458027544</v>
      </c>
      <c r="BC36">
        <f t="shared" si="69"/>
        <v>-14.073275024295434</v>
      </c>
      <c r="BD36">
        <f t="shared" si="69"/>
        <v>-14.843014128728413</v>
      </c>
      <c r="BE36">
        <f t="shared" si="69"/>
        <v>-15.505494505494507</v>
      </c>
      <c r="BF36">
        <f t="shared" si="69"/>
        <v>-1.6753231719081612</v>
      </c>
      <c r="BG36">
        <f t="shared" si="69"/>
        <v>-0.34982387475538168</v>
      </c>
      <c r="BH36">
        <f t="shared" si="69"/>
        <v>0.22929202406862359</v>
      </c>
      <c r="BI36">
        <f t="shared" si="69"/>
        <v>1.031643835616439</v>
      </c>
      <c r="BJ36">
        <f t="shared" ref="BJ36:BO36" si="70">-(BJ20/BJ21)/(BJ33)+10</f>
        <v>1.9946647440519101</v>
      </c>
      <c r="BK36">
        <f t="shared" si="70"/>
        <v>3.0711236847329761</v>
      </c>
      <c r="BL36">
        <f t="shared" si="70"/>
        <v>3.8226134417808213</v>
      </c>
      <c r="BM36">
        <f t="shared" si="70"/>
        <v>4.7319784415001118</v>
      </c>
      <c r="BN36">
        <f t="shared" si="70"/>
        <v>5.4600557643350704</v>
      </c>
      <c r="BO36">
        <f t="shared" si="70"/>
        <v>6.3137428192664604</v>
      </c>
      <c r="BP36">
        <f t="shared" ref="BP36:BY36" si="71">-(BP20/BP21)/(BP33)+10</f>
        <v>0.20777027027027017</v>
      </c>
      <c r="BQ36">
        <f t="shared" si="71"/>
        <v>1.207590569292698</v>
      </c>
      <c r="BR36">
        <f t="shared" si="71"/>
        <v>1.4306784660766958</v>
      </c>
      <c r="BS36">
        <f t="shared" si="71"/>
        <v>2.0879233664043797</v>
      </c>
      <c r="BT36">
        <f t="shared" si="71"/>
        <v>3.4213873316040493</v>
      </c>
      <c r="BU36">
        <f t="shared" si="71"/>
        <v>3.8527493010251632</v>
      </c>
      <c r="BV36">
        <f t="shared" si="71"/>
        <v>4.8561708561708565</v>
      </c>
      <c r="BW36">
        <f t="shared" si="71"/>
        <v>5.3340371621621623</v>
      </c>
      <c r="BX36">
        <f t="shared" si="71"/>
        <v>6.2106169914934855</v>
      </c>
      <c r="BY36">
        <f t="shared" si="71"/>
        <v>6.7849588719153946</v>
      </c>
      <c r="BZ36">
        <f t="shared" ref="BZ36:DC36" si="72">-(BZ20/BZ21)/(BZ33)+10</f>
        <v>5.9173337936689467</v>
      </c>
      <c r="CA36">
        <f t="shared" si="72"/>
        <v>-17.785086985613919</v>
      </c>
      <c r="CB36">
        <f t="shared" si="72"/>
        <v>6.9242424242424239</v>
      </c>
      <c r="CC36">
        <f t="shared" si="72"/>
        <v>7.6225266362252659</v>
      </c>
      <c r="CD36">
        <f t="shared" si="72"/>
        <v>7.4375939849624064</v>
      </c>
      <c r="CE36">
        <f t="shared" si="72"/>
        <v>7.2289866457187753</v>
      </c>
      <c r="CF36">
        <f t="shared" si="72"/>
        <v>7.0310863874345557</v>
      </c>
      <c r="CG36">
        <f t="shared" si="72"/>
        <v>6.8476174297120522</v>
      </c>
      <c r="CH36">
        <f t="shared" si="72"/>
        <v>6.5687840290381123</v>
      </c>
      <c r="CI36">
        <f t="shared" si="72"/>
        <v>6.4208059981255854</v>
      </c>
      <c r="CJ36">
        <f t="shared" si="72"/>
        <v>6.2875918051797441</v>
      </c>
      <c r="CK36">
        <f t="shared" si="72"/>
        <v>6.0847092605886575</v>
      </c>
      <c r="CL36">
        <f t="shared" si="72"/>
        <v>5.896521739130435</v>
      </c>
      <c r="CM36">
        <f t="shared" si="72"/>
        <v>5.779525763793889</v>
      </c>
      <c r="CN36">
        <f t="shared" si="72"/>
        <v>5.5618811881188117</v>
      </c>
      <c r="CO36">
        <f t="shared" si="72"/>
        <v>6.189839572192513</v>
      </c>
      <c r="CP36">
        <f t="shared" si="72"/>
        <v>6.85</v>
      </c>
      <c r="CQ36">
        <f t="shared" si="72"/>
        <v>7.3797468354430382</v>
      </c>
      <c r="CR36">
        <f t="shared" si="72"/>
        <v>7.875</v>
      </c>
      <c r="CS36">
        <f t="shared" si="72"/>
        <v>8.3818897637795278</v>
      </c>
      <c r="CT36">
        <f t="shared" si="72"/>
        <v>8.8063063063063058</v>
      </c>
      <c r="CU36">
        <f t="shared" si="72"/>
        <v>8.6698841698841704</v>
      </c>
      <c r="CV36">
        <f t="shared" si="72"/>
        <v>-8.8846247712019526</v>
      </c>
      <c r="CW36">
        <f t="shared" si="72"/>
        <v>1.328889910365433</v>
      </c>
      <c r="CX36">
        <f t="shared" si="72"/>
        <v>7.2209629782265274</v>
      </c>
      <c r="CY36">
        <f t="shared" si="72"/>
        <v>5.7420152483000209</v>
      </c>
      <c r="CZ36">
        <f t="shared" si="72"/>
        <v>7.9067030260380022</v>
      </c>
      <c r="DA36">
        <f t="shared" si="72"/>
        <v>7.3305785123966949</v>
      </c>
      <c r="DB36">
        <f t="shared" si="72"/>
        <v>7.281655034895314</v>
      </c>
      <c r="DC36">
        <f t="shared" si="72"/>
        <v>8.1338627339761764</v>
      </c>
      <c r="DD36">
        <f t="shared" ref="DD36:DI36" si="73">-(DD20/DD21)/(DD33)+10</f>
        <v>-3.8509615384615383</v>
      </c>
      <c r="DE36">
        <f t="shared" si="73"/>
        <v>-8.7404214559386979</v>
      </c>
      <c r="DF36">
        <f t="shared" si="73"/>
        <v>8.7619949494949498</v>
      </c>
      <c r="DG36">
        <f t="shared" si="73"/>
        <v>8.5204178537511872</v>
      </c>
      <c r="DH36">
        <f t="shared" si="73"/>
        <v>7.8499925517652311</v>
      </c>
      <c r="DI36">
        <f t="shared" si="73"/>
        <v>8.1338627339761764</v>
      </c>
    </row>
    <row r="37" spans="1:114" x14ac:dyDescent="0.25">
      <c r="A37" t="s">
        <v>123</v>
      </c>
      <c r="B37">
        <f t="shared" ref="B37:BL37" si="74">(B21/B22)*(B33^(0.8))/(B25+B26)</f>
        <v>0.2246960790049104</v>
      </c>
      <c r="C37">
        <f t="shared" si="74"/>
        <v>0.24037333317133514</v>
      </c>
      <c r="D37">
        <f t="shared" si="74"/>
        <v>0.22719429840069905</v>
      </c>
      <c r="E37">
        <f t="shared" si="74"/>
        <v>0.21384993103619448</v>
      </c>
      <c r="F37">
        <f t="shared" si="74"/>
        <v>0.25521976939428359</v>
      </c>
      <c r="G37">
        <f t="shared" si="74"/>
        <v>0.2412217487330908</v>
      </c>
      <c r="H37">
        <f t="shared" si="74"/>
        <v>0.23771994526473655</v>
      </c>
      <c r="I37">
        <f t="shared" si="74"/>
        <v>0.23645879700413849</v>
      </c>
      <c r="J37">
        <f t="shared" si="74"/>
        <v>0.23813259624236804</v>
      </c>
      <c r="K37">
        <f t="shared" si="74"/>
        <v>0.24082146567922008</v>
      </c>
      <c r="L37">
        <f t="shared" si="74"/>
        <v>0.24841894157353564</v>
      </c>
      <c r="M37">
        <f t="shared" si="74"/>
        <v>0.25762165138112803</v>
      </c>
      <c r="N37">
        <f t="shared" si="74"/>
        <v>0.25169117849421668</v>
      </c>
      <c r="O37">
        <f t="shared" si="74"/>
        <v>0.24624854252415032</v>
      </c>
      <c r="P37">
        <f t="shared" si="74"/>
        <v>0.2430675602230746</v>
      </c>
      <c r="Q37">
        <f t="shared" si="74"/>
        <v>0.24023150062898904</v>
      </c>
      <c r="R37">
        <f t="shared" si="74"/>
        <v>0.23422466401686493</v>
      </c>
      <c r="S37">
        <f t="shared" si="74"/>
        <v>0.23551897915289519</v>
      </c>
      <c r="T37">
        <f t="shared" si="74"/>
        <v>0.23192193005130995</v>
      </c>
      <c r="U37">
        <f t="shared" si="74"/>
        <v>0.23199957694762549</v>
      </c>
      <c r="V37">
        <f t="shared" si="74"/>
        <v>0.23231605102112715</v>
      </c>
      <c r="W37">
        <f t="shared" si="74"/>
        <v>0.23124843858001642</v>
      </c>
      <c r="X37">
        <f t="shared" si="74"/>
        <v>0.23207971580904449</v>
      </c>
      <c r="Y37">
        <f t="shared" si="74"/>
        <v>0.22998109654440319</v>
      </c>
      <c r="Z37">
        <f t="shared" si="74"/>
        <v>0.23138292281249737</v>
      </c>
      <c r="AA37">
        <f t="shared" si="74"/>
        <v>0.23308417970358589</v>
      </c>
      <c r="AB37">
        <f t="shared" si="74"/>
        <v>0.23354530359649273</v>
      </c>
      <c r="AC37">
        <f t="shared" si="74"/>
        <v>0.23125220023193235</v>
      </c>
      <c r="AD37">
        <f t="shared" si="74"/>
        <v>0.19531830781626006</v>
      </c>
      <c r="AE37">
        <f t="shared" si="74"/>
        <v>0.17339696598403664</v>
      </c>
      <c r="AF37">
        <f t="shared" si="74"/>
        <v>0.16110339647119359</v>
      </c>
      <c r="AG37">
        <f t="shared" si="74"/>
        <v>0.22778120327213611</v>
      </c>
      <c r="AH37">
        <f t="shared" si="74"/>
        <v>0.22684334764142727</v>
      </c>
      <c r="AI37">
        <f t="shared" si="74"/>
        <v>0.23453581716907529</v>
      </c>
      <c r="AJ37">
        <f t="shared" si="74"/>
        <v>0.22682955436592134</v>
      </c>
      <c r="AK37">
        <f t="shared" si="74"/>
        <v>0.22598113296462902</v>
      </c>
      <c r="AL37">
        <f t="shared" si="74"/>
        <v>0.22146297563623873</v>
      </c>
      <c r="AM37">
        <f t="shared" si="74"/>
        <v>0.21683317043992281</v>
      </c>
      <c r="AN37">
        <f t="shared" si="74"/>
        <v>0.21568473821083514</v>
      </c>
      <c r="AO37">
        <f t="shared" si="74"/>
        <v>0.1828191718617308</v>
      </c>
      <c r="AP37">
        <f t="shared" si="74"/>
        <v>0.2426043435306878</v>
      </c>
      <c r="AQ37">
        <f t="shared" si="74"/>
        <v>0.27559853425086134</v>
      </c>
      <c r="AR37">
        <f t="shared" si="74"/>
        <v>0.34158691569120847</v>
      </c>
      <c r="AS37">
        <f t="shared" si="74"/>
        <v>0.23313624029237071</v>
      </c>
      <c r="AT37">
        <f t="shared" si="74"/>
        <v>0.24728857805904306</v>
      </c>
      <c r="AU37">
        <f t="shared" si="74"/>
        <v>0.2519805361619048</v>
      </c>
      <c r="AV37">
        <f t="shared" si="74"/>
        <v>0.2432409621704632</v>
      </c>
      <c r="AW37">
        <f t="shared" si="74"/>
        <v>0.23252896256313893</v>
      </c>
      <c r="AX37">
        <f t="shared" si="74"/>
        <v>0.2503191052395653</v>
      </c>
      <c r="AY37">
        <f t="shared" si="74"/>
        <v>0.25190208842770229</v>
      </c>
      <c r="AZ37">
        <f t="shared" si="74"/>
        <v>0.25799002193186776</v>
      </c>
      <c r="BA37">
        <f t="shared" si="74"/>
        <v>0.25251485328321688</v>
      </c>
      <c r="BB37">
        <f t="shared" si="74"/>
        <v>0.25251485328321688</v>
      </c>
      <c r="BC37">
        <f t="shared" si="74"/>
        <v>0.2612222620171209</v>
      </c>
      <c r="BD37">
        <f t="shared" si="74"/>
        <v>0.25873443095029119</v>
      </c>
      <c r="BE37">
        <f t="shared" si="74"/>
        <v>0.25873443095029119</v>
      </c>
      <c r="BF37">
        <f t="shared" si="74"/>
        <v>0.22302425254688021</v>
      </c>
      <c r="BG37">
        <f t="shared" si="74"/>
        <v>0.2297663662633502</v>
      </c>
      <c r="BH37">
        <f t="shared" si="74"/>
        <v>0.22076431810690486</v>
      </c>
      <c r="BI37">
        <f t="shared" si="74"/>
        <v>0.21676969048327241</v>
      </c>
      <c r="BJ37">
        <f t="shared" si="74"/>
        <v>0.2170641075082835</v>
      </c>
      <c r="BK37">
        <f t="shared" si="74"/>
        <v>0.22239737303754936</v>
      </c>
      <c r="BL37">
        <f t="shared" si="74"/>
        <v>0.21917651301595276</v>
      </c>
      <c r="BM37">
        <f>(BM21/BM22)*(BM33^(0.8))/(BM25+BM26)</f>
        <v>0.22306845619961793</v>
      </c>
      <c r="BN37">
        <f>(BN21/BN22)*(BN33^(0.8))/(BN25+BN26)</f>
        <v>0.22192102094680269</v>
      </c>
      <c r="BO37">
        <f>(BO21/BO22)*(BO33^(0.8))/(BO25+BO26)</f>
        <v>0.23048325101984168</v>
      </c>
      <c r="BP37">
        <f t="shared" ref="BP37:BY37" si="75">(BP21/BP22)*(BP33^(0.8))/(BP25+BP26)</f>
        <v>0.24493169129583181</v>
      </c>
      <c r="BQ37">
        <f t="shared" si="75"/>
        <v>0.25066968949747803</v>
      </c>
      <c r="BR37">
        <f t="shared" si="75"/>
        <v>0.23683034092548286</v>
      </c>
      <c r="BS37">
        <f t="shared" si="75"/>
        <v>0.23201257082813306</v>
      </c>
      <c r="BT37">
        <f t="shared" si="75"/>
        <v>0.25006007096810096</v>
      </c>
      <c r="BU37">
        <f t="shared" si="75"/>
        <v>0.23762437281297533</v>
      </c>
      <c r="BV37">
        <f t="shared" si="75"/>
        <v>0.24911146135607451</v>
      </c>
      <c r="BW37">
        <f t="shared" si="75"/>
        <v>0.23823067777349929</v>
      </c>
      <c r="BX37">
        <f t="shared" si="75"/>
        <v>0.25104590500032659</v>
      </c>
      <c r="BY37">
        <f t="shared" si="75"/>
        <v>0.24902042040582406</v>
      </c>
      <c r="BZ37">
        <f t="shared" ref="BZ37:DC37" si="76">(BZ21/BZ22)*(BZ33^(0.8))/(BZ25+BZ26)</f>
        <v>0.22399309593722511</v>
      </c>
      <c r="CA37">
        <f t="shared" si="76"/>
        <v>0.2641603945032705</v>
      </c>
      <c r="CB37">
        <f t="shared" si="76"/>
        <v>0.22942820794287211</v>
      </c>
      <c r="CC37">
        <f t="shared" si="76"/>
        <v>0.24147170506756968</v>
      </c>
      <c r="CD37">
        <f t="shared" si="76"/>
        <v>0.23715241247028432</v>
      </c>
      <c r="CE37">
        <f t="shared" si="76"/>
        <v>0.23200742206795624</v>
      </c>
      <c r="CF37">
        <f t="shared" si="76"/>
        <v>0.22847287668544189</v>
      </c>
      <c r="CG37">
        <f t="shared" si="76"/>
        <v>0.22644806930734182</v>
      </c>
      <c r="CH37">
        <f t="shared" si="76"/>
        <v>0.21893464108170757</v>
      </c>
      <c r="CI37">
        <f t="shared" si="76"/>
        <v>0.21980529068327923</v>
      </c>
      <c r="CJ37">
        <f t="shared" si="76"/>
        <v>0.22196327851087105</v>
      </c>
      <c r="CK37">
        <f t="shared" si="76"/>
        <v>0.21876743020570924</v>
      </c>
      <c r="CL37">
        <f t="shared" si="76"/>
        <v>0.21695434495801155</v>
      </c>
      <c r="CM37">
        <f t="shared" si="76"/>
        <v>0.21861773777165114</v>
      </c>
      <c r="CN37">
        <f t="shared" si="76"/>
        <v>0.214109493440332</v>
      </c>
      <c r="CO37">
        <f t="shared" si="76"/>
        <v>0.21391454205193108</v>
      </c>
      <c r="CP37">
        <f t="shared" si="76"/>
        <v>0.21779241157864324</v>
      </c>
      <c r="CQ37">
        <f t="shared" si="76"/>
        <v>0.21606469058277566</v>
      </c>
      <c r="CR37">
        <f t="shared" si="76"/>
        <v>0.21303369804193228</v>
      </c>
      <c r="CS37">
        <f t="shared" si="76"/>
        <v>0.21861573800334555</v>
      </c>
      <c r="CT37">
        <f t="shared" si="76"/>
        <v>0.22107807683358349</v>
      </c>
      <c r="CU37">
        <f t="shared" si="76"/>
        <v>0.21542400674254195</v>
      </c>
      <c r="CV37">
        <f t="shared" si="76"/>
        <v>0.27259767726706968</v>
      </c>
      <c r="CW37">
        <f t="shared" si="76"/>
        <v>0.24433817791079704</v>
      </c>
      <c r="CX37">
        <f t="shared" si="76"/>
        <v>0.24837222599314501</v>
      </c>
      <c r="CY37">
        <f t="shared" si="76"/>
        <v>0.20426794082184307</v>
      </c>
      <c r="CZ37">
        <f t="shared" si="76"/>
        <v>0.22469256812188604</v>
      </c>
      <c r="DA37">
        <f t="shared" si="76"/>
        <v>0.21288167712757058</v>
      </c>
      <c r="DB37">
        <f t="shared" si="76"/>
        <v>0.20760361901696966</v>
      </c>
      <c r="DC37">
        <f t="shared" si="76"/>
        <v>0.26034480321076081</v>
      </c>
      <c r="DD37">
        <f t="shared" ref="DD37:DI37" si="77">(DD21/DD22)*(DD33^(0.8))/(DD25+DD26)</f>
        <v>3.6937545458887625E-2</v>
      </c>
      <c r="DE37">
        <f t="shared" si="77"/>
        <v>3.6445916730386073E-2</v>
      </c>
      <c r="DF37">
        <f t="shared" si="77"/>
        <v>0.25765708473123233</v>
      </c>
      <c r="DG37">
        <f t="shared" si="77"/>
        <v>0.25941098599287515</v>
      </c>
      <c r="DH37">
        <f t="shared" si="77"/>
        <v>0.2653696709715378</v>
      </c>
      <c r="DI37">
        <f t="shared" si="77"/>
        <v>0.26034480321076081</v>
      </c>
    </row>
    <row r="38" spans="1:114" x14ac:dyDescent="0.25">
      <c r="A38" t="s">
        <v>88</v>
      </c>
      <c r="B38">
        <f>10^3/(2*3.14*SQRT(B20*B21))</f>
        <v>5.7890484964258189</v>
      </c>
      <c r="C38">
        <f t="shared" ref="C38:AO38" si="78">10^3/(2*3.14*SQRT(C20*C21))</f>
        <v>4.3025040422165013</v>
      </c>
      <c r="D38">
        <f t="shared" si="78"/>
        <v>6.8014660053152003</v>
      </c>
      <c r="E38">
        <f t="shared" si="78"/>
        <v>6.8043218078804069</v>
      </c>
      <c r="F38">
        <f t="shared" si="78"/>
        <v>3.204274295277199</v>
      </c>
      <c r="G38">
        <f t="shared" si="78"/>
        <v>3.6028013604690794</v>
      </c>
      <c r="H38">
        <f t="shared" si="78"/>
        <v>4.0040824536402448</v>
      </c>
      <c r="I38">
        <f t="shared" si="78"/>
        <v>4.4980391621693512</v>
      </c>
      <c r="J38">
        <f t="shared" si="78"/>
        <v>5.1031307051048023</v>
      </c>
      <c r="K38">
        <f t="shared" si="78"/>
        <v>5.8910753557327213</v>
      </c>
      <c r="L38">
        <f t="shared" si="78"/>
        <v>6.8985568592096111</v>
      </c>
      <c r="M38">
        <f t="shared" si="78"/>
        <v>8.2961128542778546</v>
      </c>
      <c r="N38">
        <f t="shared" si="78"/>
        <v>8.2961128542778546</v>
      </c>
      <c r="O38">
        <f t="shared" si="78"/>
        <v>8.3111284554408051</v>
      </c>
      <c r="P38">
        <f t="shared" si="78"/>
        <v>8.295099698576804</v>
      </c>
      <c r="Q38">
        <f t="shared" si="78"/>
        <v>8.3097703169473132</v>
      </c>
      <c r="R38">
        <f t="shared" si="78"/>
        <v>8.4027329259738028</v>
      </c>
      <c r="S38">
        <f t="shared" si="78"/>
        <v>8.4048395487441674</v>
      </c>
      <c r="T38">
        <f t="shared" si="78"/>
        <v>8.5194190849816458</v>
      </c>
      <c r="U38">
        <f t="shared" si="78"/>
        <v>8.5937849057340596</v>
      </c>
      <c r="V38">
        <f t="shared" si="78"/>
        <v>8.7107716084372875</v>
      </c>
      <c r="W38">
        <f t="shared" si="78"/>
        <v>8.8887760515752152</v>
      </c>
      <c r="X38">
        <f t="shared" si="78"/>
        <v>9.0922068713844428</v>
      </c>
      <c r="Y38">
        <f t="shared" si="78"/>
        <v>9.4065977310023356</v>
      </c>
      <c r="Z38">
        <f t="shared" si="78"/>
        <v>9.7152731800035834</v>
      </c>
      <c r="AA38">
        <f t="shared" si="78"/>
        <v>10.098453213213396</v>
      </c>
      <c r="AB38">
        <f t="shared" si="78"/>
        <v>10.615947165212212</v>
      </c>
      <c r="AC38">
        <f t="shared" si="78"/>
        <v>11.307252733331927</v>
      </c>
      <c r="AD38">
        <f t="shared" si="78"/>
        <v>13.990666680616611</v>
      </c>
      <c r="AE38">
        <f t="shared" si="78"/>
        <v>17.081675527799604</v>
      </c>
      <c r="AF38">
        <f t="shared" si="78"/>
        <v>20.533294891899047</v>
      </c>
      <c r="AG38">
        <f t="shared" si="78"/>
        <v>13.70990297907354</v>
      </c>
      <c r="AH38">
        <f t="shared" si="78"/>
        <v>16.805465851947606</v>
      </c>
      <c r="AI38">
        <f t="shared" si="78"/>
        <v>20.529881494004645</v>
      </c>
      <c r="AJ38">
        <f t="shared" si="78"/>
        <v>12.973459137189257</v>
      </c>
      <c r="AK38">
        <f t="shared" si="78"/>
        <v>15.168741803565847</v>
      </c>
      <c r="AL38">
        <f t="shared" si="78"/>
        <v>18.357602544216416</v>
      </c>
      <c r="AM38">
        <f t="shared" si="78"/>
        <v>23.0897607709292</v>
      </c>
      <c r="AN38">
        <f t="shared" si="78"/>
        <v>30.244314347037673</v>
      </c>
      <c r="AO38">
        <f t="shared" si="78"/>
        <v>17.341036698607969</v>
      </c>
      <c r="AP38">
        <f t="shared" ref="AP38:BC38" si="79">10^3/(2*3.14*SQRT(AP20*AP21))</f>
        <v>6.1064091468739674</v>
      </c>
      <c r="AQ38">
        <f t="shared" si="79"/>
        <v>11.395800429371228</v>
      </c>
      <c r="AR38">
        <f t="shared" si="79"/>
        <v>21.733721752890688</v>
      </c>
      <c r="AS38">
        <f t="shared" si="79"/>
        <v>2.9993470077573257</v>
      </c>
      <c r="AT38">
        <f t="shared" si="79"/>
        <v>2.6996697809552792</v>
      </c>
      <c r="AU38">
        <f t="shared" si="79"/>
        <v>2.5006657008001612</v>
      </c>
      <c r="AV38">
        <f t="shared" si="79"/>
        <v>2.4012776032993357</v>
      </c>
      <c r="AW38">
        <f t="shared" si="79"/>
        <v>2.2998738992714243</v>
      </c>
      <c r="AX38">
        <f t="shared" si="79"/>
        <v>2.1033057991887083</v>
      </c>
      <c r="AY38">
        <f t="shared" si="79"/>
        <v>2.0005428228965765</v>
      </c>
      <c r="AZ38">
        <f t="shared" si="79"/>
        <v>1.9012729659785903</v>
      </c>
      <c r="BA38">
        <f t="shared" si="79"/>
        <v>1.8016681686435032</v>
      </c>
      <c r="BB38">
        <f t="shared" si="79"/>
        <v>3.2999748373915372</v>
      </c>
      <c r="BC38">
        <f t="shared" si="79"/>
        <v>6.4139660394498934</v>
      </c>
      <c r="BD38">
        <f t="shared" ref="BD38:BY38" si="80">10^3/(2*3.14*SQRT(BD20*BD21))</f>
        <v>12.749056831615217</v>
      </c>
      <c r="BE38">
        <f t="shared" si="80"/>
        <v>25.164790654498965</v>
      </c>
      <c r="BF38">
        <f t="shared" si="80"/>
        <v>2.1010525804652249</v>
      </c>
      <c r="BG38">
        <f t="shared" si="80"/>
        <v>2.2020695691216088</v>
      </c>
      <c r="BH38">
        <f t="shared" si="80"/>
        <v>2.4003198280189406</v>
      </c>
      <c r="BI38">
        <f t="shared" si="80"/>
        <v>2.5992680831974084</v>
      </c>
      <c r="BJ38">
        <f t="shared" si="80"/>
        <v>2.8022247936747582</v>
      </c>
      <c r="BK38">
        <f t="shared" si="80"/>
        <v>3.0026085935437865</v>
      </c>
      <c r="BL38">
        <f t="shared" si="80"/>
        <v>3.3009460927879144</v>
      </c>
      <c r="BM38">
        <f t="shared" si="80"/>
        <v>3.5996332847140105</v>
      </c>
      <c r="BN38">
        <f t="shared" si="80"/>
        <v>4.0034749614193395</v>
      </c>
      <c r="BO38">
        <f t="shared" si="80"/>
        <v>4.4056728388508368</v>
      </c>
      <c r="BP38">
        <f t="shared" si="80"/>
        <v>2.1009172517951287</v>
      </c>
      <c r="BQ38">
        <f t="shared" si="80"/>
        <v>2.2026172375931408</v>
      </c>
      <c r="BR38">
        <f t="shared" si="80"/>
        <v>2.4032869208732053</v>
      </c>
      <c r="BS38">
        <f t="shared" si="80"/>
        <v>2.6010845558717413</v>
      </c>
      <c r="BT38">
        <f t="shared" si="80"/>
        <v>2.6997978269695526</v>
      </c>
      <c r="BU38">
        <f t="shared" si="80"/>
        <v>3.0023097054340782</v>
      </c>
      <c r="BV38">
        <f t="shared" si="80"/>
        <v>3.2033210561655223</v>
      </c>
      <c r="BW38">
        <f t="shared" si="80"/>
        <v>3.6053122810619933</v>
      </c>
      <c r="BX38">
        <f t="shared" si="80"/>
        <v>3.9004925779240032</v>
      </c>
      <c r="BY38">
        <f t="shared" si="80"/>
        <v>4.3978358014817474</v>
      </c>
      <c r="BZ38">
        <f t="shared" ref="BZ38:DC38" si="81">10^3/(2*3.14*SQRT(BZ20*BZ21))</f>
        <v>2.5026693543180842</v>
      </c>
      <c r="CA38">
        <f t="shared" si="81"/>
        <v>1.4010494843355057</v>
      </c>
      <c r="CB38">
        <f t="shared" si="81"/>
        <v>5.006074530069891</v>
      </c>
      <c r="CC38">
        <f t="shared" si="81"/>
        <v>5.6118319152118827</v>
      </c>
      <c r="CD38">
        <f t="shared" si="81"/>
        <v>5.5970444536321953</v>
      </c>
      <c r="CE38">
        <f t="shared" si="81"/>
        <v>5.6036253429760094</v>
      </c>
      <c r="CF38">
        <f t="shared" si="81"/>
        <v>5.6087676235429829</v>
      </c>
      <c r="CG38">
        <f t="shared" si="81"/>
        <v>5.6129823201115885</v>
      </c>
      <c r="CH38">
        <f t="shared" si="81"/>
        <v>5.6982650320637571</v>
      </c>
      <c r="CI38">
        <f t="shared" si="81"/>
        <v>5.7019901763999883</v>
      </c>
      <c r="CJ38">
        <f t="shared" si="81"/>
        <v>5.701259180130636</v>
      </c>
      <c r="CK38">
        <f t="shared" si="81"/>
        <v>5.8058781665578909</v>
      </c>
      <c r="CL38">
        <f t="shared" si="81"/>
        <v>5.9097899603917634</v>
      </c>
      <c r="CM38">
        <f t="shared" si="81"/>
        <v>5.9935926505171659</v>
      </c>
      <c r="CN38">
        <f t="shared" si="81"/>
        <v>6.2052012528553249</v>
      </c>
      <c r="CO38">
        <f t="shared" si="81"/>
        <v>6.8975859835649187</v>
      </c>
      <c r="CP38">
        <f t="shared" si="81"/>
        <v>7.6902115989855924</v>
      </c>
      <c r="CQ38">
        <f t="shared" si="81"/>
        <v>8.804944849190024</v>
      </c>
      <c r="CR38">
        <f t="shared" si="81"/>
        <v>10.32171534318733</v>
      </c>
      <c r="CS38">
        <f t="shared" si="81"/>
        <v>12.071971798478852</v>
      </c>
      <c r="CT38">
        <f t="shared" si="81"/>
        <v>14.679995898371951</v>
      </c>
      <c r="CU38">
        <f t="shared" si="81"/>
        <v>14.754166334814913</v>
      </c>
      <c r="CV38">
        <f t="shared" si="81"/>
        <v>4.2017598991407326</v>
      </c>
      <c r="CW38">
        <f t="shared" si="81"/>
        <v>6.2004951368895656</v>
      </c>
      <c r="CX38">
        <f t="shared" si="81"/>
        <v>8.1006859828471303</v>
      </c>
      <c r="CY38">
        <f t="shared" si="81"/>
        <v>7.3948807401188006</v>
      </c>
      <c r="CZ38">
        <f t="shared" si="81"/>
        <v>9.679523805475382</v>
      </c>
      <c r="DA38">
        <f t="shared" si="81"/>
        <v>8.5152764058721342</v>
      </c>
      <c r="DB38">
        <f t="shared" si="81"/>
        <v>8.6528346406631957</v>
      </c>
      <c r="DC38">
        <f t="shared" si="81"/>
        <v>9.9078210316687549</v>
      </c>
      <c r="DD38">
        <f t="shared" ref="DD38:DI38" si="82">10^3/(2*3.14*SQRT(DD20*DD21))</f>
        <v>10.118004931834173</v>
      </c>
      <c r="DE38">
        <f t="shared" si="82"/>
        <v>10.083054896720117</v>
      </c>
      <c r="DF38">
        <f t="shared" si="82"/>
        <v>15.785262454580895</v>
      </c>
      <c r="DG38">
        <f t="shared" si="82"/>
        <v>12.42815567385475</v>
      </c>
      <c r="DH38">
        <f t="shared" si="82"/>
        <v>8.086989047352354</v>
      </c>
      <c r="DI38">
        <f t="shared" si="82"/>
        <v>9.9078210316687549</v>
      </c>
    </row>
    <row r="39" spans="1:114" x14ac:dyDescent="0.25">
      <c r="A39" t="s">
        <v>4</v>
      </c>
      <c r="B39">
        <f>(B23+B24)/4</f>
        <v>46</v>
      </c>
      <c r="C39">
        <f t="shared" ref="C39:AH39" si="83">(C23+C24)/4</f>
        <v>55.5</v>
      </c>
      <c r="D39">
        <f t="shared" si="83"/>
        <v>41.5</v>
      </c>
      <c r="E39">
        <f t="shared" si="83"/>
        <v>47.5</v>
      </c>
      <c r="F39">
        <f t="shared" si="83"/>
        <v>60.5</v>
      </c>
      <c r="G39">
        <f t="shared" si="83"/>
        <v>55.5</v>
      </c>
      <c r="H39">
        <f t="shared" si="83"/>
        <v>50.5</v>
      </c>
      <c r="I39">
        <f t="shared" si="83"/>
        <v>45.5</v>
      </c>
      <c r="J39">
        <f t="shared" si="83"/>
        <v>40.5</v>
      </c>
      <c r="K39">
        <f t="shared" si="83"/>
        <v>35.5</v>
      </c>
      <c r="L39">
        <f t="shared" si="83"/>
        <v>30.5</v>
      </c>
      <c r="M39">
        <f t="shared" si="83"/>
        <v>25.5</v>
      </c>
      <c r="N39">
        <f t="shared" si="83"/>
        <v>26.5</v>
      </c>
      <c r="O39">
        <f t="shared" si="83"/>
        <v>27.5</v>
      </c>
      <c r="P39">
        <f t="shared" si="83"/>
        <v>28.5</v>
      </c>
      <c r="Q39">
        <f t="shared" si="83"/>
        <v>29.5</v>
      </c>
      <c r="R39">
        <f t="shared" si="83"/>
        <v>30.5</v>
      </c>
      <c r="S39">
        <f t="shared" si="83"/>
        <v>31.5</v>
      </c>
      <c r="T39">
        <f t="shared" si="83"/>
        <v>32.5</v>
      </c>
      <c r="U39">
        <f t="shared" si="83"/>
        <v>33.5</v>
      </c>
      <c r="V39">
        <f t="shared" si="83"/>
        <v>34.5</v>
      </c>
      <c r="W39">
        <f t="shared" si="83"/>
        <v>35.5</v>
      </c>
      <c r="X39">
        <f t="shared" si="83"/>
        <v>36.5</v>
      </c>
      <c r="Y39">
        <f t="shared" si="83"/>
        <v>37.5</v>
      </c>
      <c r="Z39">
        <f t="shared" si="83"/>
        <v>38.5</v>
      </c>
      <c r="AA39">
        <f t="shared" si="83"/>
        <v>39.5</v>
      </c>
      <c r="AB39">
        <f t="shared" si="83"/>
        <v>40.5</v>
      </c>
      <c r="AC39">
        <f t="shared" si="83"/>
        <v>41.5</v>
      </c>
      <c r="AD39">
        <f t="shared" si="83"/>
        <v>37.5</v>
      </c>
      <c r="AE39">
        <f t="shared" si="83"/>
        <v>33.5</v>
      </c>
      <c r="AF39">
        <f t="shared" si="83"/>
        <v>29.5</v>
      </c>
      <c r="AG39">
        <f t="shared" si="83"/>
        <v>37</v>
      </c>
      <c r="AH39">
        <f t="shared" si="83"/>
        <v>32.5</v>
      </c>
      <c r="AI39" s="3">
        <f t="shared" ref="AI39:AO39" si="84">(AI23+AI24)/4</f>
        <v>28</v>
      </c>
      <c r="AJ39" s="2">
        <f t="shared" si="84"/>
        <v>36.5</v>
      </c>
      <c r="AK39" s="2">
        <f t="shared" si="84"/>
        <v>31.5</v>
      </c>
      <c r="AL39" s="2">
        <f t="shared" si="84"/>
        <v>26.5</v>
      </c>
      <c r="AM39" s="2">
        <f t="shared" si="84"/>
        <v>21.5</v>
      </c>
      <c r="AN39" s="2">
        <f t="shared" si="84"/>
        <v>16.5</v>
      </c>
      <c r="AO39" s="2">
        <f t="shared" si="84"/>
        <v>42</v>
      </c>
      <c r="AP39" s="2">
        <f t="shared" ref="AP39:BC39" si="85">(AP23+AP24)/4</f>
        <v>30.25</v>
      </c>
      <c r="AQ39" s="2">
        <f t="shared" si="85"/>
        <v>15.125</v>
      </c>
      <c r="AR39" s="2">
        <f t="shared" si="85"/>
        <v>7.5625</v>
      </c>
      <c r="AS39" s="2">
        <f t="shared" si="85"/>
        <v>65.5</v>
      </c>
      <c r="AT39" s="2">
        <f t="shared" si="85"/>
        <v>70.5</v>
      </c>
      <c r="AU39" s="2">
        <f t="shared" si="85"/>
        <v>75.5</v>
      </c>
      <c r="AV39" s="2">
        <f t="shared" si="85"/>
        <v>80.5</v>
      </c>
      <c r="AW39" s="2">
        <f t="shared" si="85"/>
        <v>85.5</v>
      </c>
      <c r="AX39" s="2">
        <f t="shared" si="85"/>
        <v>90.5</v>
      </c>
      <c r="AY39" s="2">
        <f t="shared" si="85"/>
        <v>95.5</v>
      </c>
      <c r="AZ39" s="2">
        <f t="shared" si="85"/>
        <v>100.5</v>
      </c>
      <c r="BA39" s="2">
        <f t="shared" si="85"/>
        <v>105.5</v>
      </c>
      <c r="BB39" s="2">
        <f t="shared" si="85"/>
        <v>52.75</v>
      </c>
      <c r="BC39" s="2">
        <f t="shared" si="85"/>
        <v>26.375</v>
      </c>
      <c r="BD39" s="2">
        <f t="shared" ref="BD39:BY39" si="86">(BD23+BD24)/4</f>
        <v>13.1875</v>
      </c>
      <c r="BE39" s="2">
        <f t="shared" si="86"/>
        <v>6.59375</v>
      </c>
      <c r="BF39" s="2">
        <f t="shared" si="86"/>
        <v>93.5</v>
      </c>
      <c r="BG39" s="2">
        <f t="shared" si="86"/>
        <v>88.5</v>
      </c>
      <c r="BH39" s="2">
        <f t="shared" si="86"/>
        <v>83.5</v>
      </c>
      <c r="BI39" s="2">
        <f t="shared" si="86"/>
        <v>78.5</v>
      </c>
      <c r="BJ39" s="2">
        <f t="shared" si="86"/>
        <v>73.5</v>
      </c>
      <c r="BK39" s="2">
        <f t="shared" si="86"/>
        <v>68.5</v>
      </c>
      <c r="BL39" s="2">
        <f t="shared" si="86"/>
        <v>63.5</v>
      </c>
      <c r="BM39" s="2">
        <f t="shared" si="86"/>
        <v>58.5</v>
      </c>
      <c r="BN39" s="2">
        <f t="shared" si="86"/>
        <v>53.5</v>
      </c>
      <c r="BO39" s="2">
        <f t="shared" si="86"/>
        <v>48.5</v>
      </c>
      <c r="BP39" s="2">
        <f t="shared" si="86"/>
        <v>93</v>
      </c>
      <c r="BQ39" s="2">
        <f t="shared" si="86"/>
        <v>88</v>
      </c>
      <c r="BR39" s="2">
        <f t="shared" si="86"/>
        <v>83</v>
      </c>
      <c r="BS39" s="2">
        <f t="shared" si="86"/>
        <v>78</v>
      </c>
      <c r="BT39" s="2">
        <f t="shared" si="86"/>
        <v>73</v>
      </c>
      <c r="BU39" s="2">
        <f t="shared" si="86"/>
        <v>68</v>
      </c>
      <c r="BV39" s="2">
        <f t="shared" si="86"/>
        <v>63</v>
      </c>
      <c r="BW39" s="2">
        <f t="shared" si="86"/>
        <v>58</v>
      </c>
      <c r="BX39" s="2">
        <f t="shared" si="86"/>
        <v>53</v>
      </c>
      <c r="BY39" s="2">
        <f t="shared" si="86"/>
        <v>48</v>
      </c>
      <c r="BZ39" s="2">
        <f t="shared" ref="BZ39:DC39" si="87">(BZ23+BZ24)/4</f>
        <v>89.5</v>
      </c>
      <c r="CA39" s="2">
        <f t="shared" si="87"/>
        <v>125.5</v>
      </c>
      <c r="CB39" s="2">
        <f t="shared" si="87"/>
        <v>43.5</v>
      </c>
      <c r="CC39" s="2">
        <f t="shared" si="87"/>
        <v>38.5</v>
      </c>
      <c r="CD39" s="2">
        <f t="shared" si="87"/>
        <v>40</v>
      </c>
      <c r="CE39" s="2">
        <f t="shared" si="87"/>
        <v>41.5</v>
      </c>
      <c r="CF39" s="2">
        <f t="shared" si="87"/>
        <v>43</v>
      </c>
      <c r="CG39" s="2">
        <f t="shared" si="87"/>
        <v>44.5</v>
      </c>
      <c r="CH39" s="2">
        <f t="shared" si="87"/>
        <v>46</v>
      </c>
      <c r="CI39" s="2">
        <f t="shared" si="87"/>
        <v>47.5</v>
      </c>
      <c r="CJ39" s="2">
        <f t="shared" si="87"/>
        <v>49</v>
      </c>
      <c r="CK39" s="2">
        <f t="shared" si="87"/>
        <v>50.5</v>
      </c>
      <c r="CL39" s="2">
        <f t="shared" si="87"/>
        <v>52</v>
      </c>
      <c r="CM39" s="2">
        <f t="shared" si="87"/>
        <v>53.5</v>
      </c>
      <c r="CN39" s="2">
        <f t="shared" si="87"/>
        <v>55</v>
      </c>
      <c r="CO39" s="2">
        <f t="shared" si="87"/>
        <v>50</v>
      </c>
      <c r="CP39" s="2">
        <f t="shared" si="87"/>
        <v>45</v>
      </c>
      <c r="CQ39" s="2">
        <f t="shared" si="87"/>
        <v>40</v>
      </c>
      <c r="CR39" s="2">
        <f t="shared" si="87"/>
        <v>35</v>
      </c>
      <c r="CS39" s="2">
        <f t="shared" si="87"/>
        <v>30</v>
      </c>
      <c r="CT39" s="2">
        <f t="shared" si="87"/>
        <v>25</v>
      </c>
      <c r="CU39" s="2">
        <f t="shared" si="87"/>
        <v>26.5</v>
      </c>
      <c r="CV39" s="2">
        <f t="shared" si="87"/>
        <v>144.5</v>
      </c>
      <c r="CW39" s="2">
        <f t="shared" si="87"/>
        <v>65.5</v>
      </c>
      <c r="CX39" s="2">
        <f t="shared" si="87"/>
        <v>28.9</v>
      </c>
      <c r="CY39" s="2">
        <f t="shared" si="87"/>
        <v>36.9</v>
      </c>
      <c r="CZ39" s="2">
        <f t="shared" si="87"/>
        <v>25.5</v>
      </c>
      <c r="DA39" s="2">
        <f t="shared" si="87"/>
        <v>28.5</v>
      </c>
      <c r="DB39" s="2">
        <f t="shared" si="87"/>
        <v>28.5</v>
      </c>
      <c r="DC39" s="2">
        <f t="shared" si="87"/>
        <v>23.5</v>
      </c>
      <c r="DD39" s="2">
        <f t="shared" ref="DD39:DI39" si="88">(DD23+DD24)/4</f>
        <v>167.5</v>
      </c>
      <c r="DE39" s="2">
        <f t="shared" si="88"/>
        <v>227.5</v>
      </c>
      <c r="DF39" s="2">
        <f t="shared" si="88"/>
        <v>18.5</v>
      </c>
      <c r="DG39" s="2">
        <f t="shared" si="88"/>
        <v>20.5</v>
      </c>
      <c r="DH39" s="2">
        <f t="shared" si="88"/>
        <v>25.5</v>
      </c>
      <c r="DI39" s="2">
        <f t="shared" si="88"/>
        <v>23.5</v>
      </c>
    </row>
    <row r="40" spans="1:114" x14ac:dyDescent="0.25">
      <c r="A40" t="s">
        <v>70</v>
      </c>
      <c r="B40">
        <f>(B23-B24)/2</f>
        <v>58</v>
      </c>
      <c r="C40">
        <f t="shared" ref="C40:AO40" si="89">(C23-C24)/2</f>
        <v>39</v>
      </c>
      <c r="D40">
        <f t="shared" si="89"/>
        <v>77</v>
      </c>
      <c r="E40">
        <f t="shared" si="89"/>
        <v>65</v>
      </c>
      <c r="F40">
        <f t="shared" si="89"/>
        <v>49</v>
      </c>
      <c r="G40">
        <f t="shared" si="89"/>
        <v>49</v>
      </c>
      <c r="H40">
        <f t="shared" si="89"/>
        <v>49</v>
      </c>
      <c r="I40">
        <f t="shared" si="89"/>
        <v>49</v>
      </c>
      <c r="J40">
        <f t="shared" si="89"/>
        <v>49</v>
      </c>
      <c r="K40">
        <f t="shared" si="89"/>
        <v>49</v>
      </c>
      <c r="L40">
        <f t="shared" si="89"/>
        <v>49</v>
      </c>
      <c r="M40">
        <f t="shared" si="89"/>
        <v>49</v>
      </c>
      <c r="N40">
        <f t="shared" si="89"/>
        <v>47</v>
      </c>
      <c r="O40">
        <f t="shared" si="89"/>
        <v>45</v>
      </c>
      <c r="P40">
        <f t="shared" si="89"/>
        <v>43</v>
      </c>
      <c r="Q40">
        <f t="shared" si="89"/>
        <v>41</v>
      </c>
      <c r="R40">
        <f t="shared" si="89"/>
        <v>39</v>
      </c>
      <c r="S40">
        <f t="shared" si="89"/>
        <v>37</v>
      </c>
      <c r="T40">
        <f t="shared" si="89"/>
        <v>35</v>
      </c>
      <c r="U40">
        <f t="shared" si="89"/>
        <v>33</v>
      </c>
      <c r="V40">
        <f t="shared" si="89"/>
        <v>31</v>
      </c>
      <c r="W40">
        <f t="shared" si="89"/>
        <v>29</v>
      </c>
      <c r="X40">
        <f t="shared" si="89"/>
        <v>27</v>
      </c>
      <c r="Y40">
        <f t="shared" si="89"/>
        <v>25</v>
      </c>
      <c r="Z40">
        <f t="shared" si="89"/>
        <v>23</v>
      </c>
      <c r="AA40">
        <f t="shared" si="89"/>
        <v>21</v>
      </c>
      <c r="AB40">
        <f t="shared" si="89"/>
        <v>19</v>
      </c>
      <c r="AC40">
        <f t="shared" si="89"/>
        <v>17</v>
      </c>
      <c r="AD40">
        <f t="shared" si="89"/>
        <v>25</v>
      </c>
      <c r="AE40">
        <f t="shared" si="89"/>
        <v>33</v>
      </c>
      <c r="AF40">
        <f t="shared" si="89"/>
        <v>41</v>
      </c>
      <c r="AG40">
        <f t="shared" si="89"/>
        <v>26</v>
      </c>
      <c r="AH40">
        <f t="shared" si="89"/>
        <v>35</v>
      </c>
      <c r="AI40" s="3">
        <f t="shared" si="89"/>
        <v>44</v>
      </c>
      <c r="AJ40" s="2">
        <f t="shared" si="89"/>
        <v>17</v>
      </c>
      <c r="AK40" s="2">
        <f t="shared" si="89"/>
        <v>17</v>
      </c>
      <c r="AL40" s="2">
        <f t="shared" si="89"/>
        <v>17</v>
      </c>
      <c r="AM40" s="2">
        <f t="shared" si="89"/>
        <v>17</v>
      </c>
      <c r="AN40" s="2">
        <f t="shared" si="89"/>
        <v>17</v>
      </c>
      <c r="AO40" s="2">
        <f t="shared" si="89"/>
        <v>16</v>
      </c>
      <c r="AP40" s="2">
        <f t="shared" ref="AP40:BC40" si="90">(AP23-AP24)/2</f>
        <v>24.5</v>
      </c>
      <c r="AQ40" s="2">
        <f t="shared" si="90"/>
        <v>12.25</v>
      </c>
      <c r="AR40" s="2">
        <f t="shared" si="90"/>
        <v>6.125</v>
      </c>
      <c r="AS40" s="2">
        <f t="shared" si="90"/>
        <v>49</v>
      </c>
      <c r="AT40" s="2">
        <f t="shared" si="90"/>
        <v>49</v>
      </c>
      <c r="AU40" s="2">
        <f t="shared" si="90"/>
        <v>49</v>
      </c>
      <c r="AV40" s="2">
        <f t="shared" si="90"/>
        <v>49</v>
      </c>
      <c r="AW40" s="2">
        <f t="shared" si="90"/>
        <v>49</v>
      </c>
      <c r="AX40" s="2">
        <f t="shared" si="90"/>
        <v>49</v>
      </c>
      <c r="AY40" s="2">
        <f t="shared" si="90"/>
        <v>49</v>
      </c>
      <c r="AZ40" s="2">
        <f t="shared" si="90"/>
        <v>49</v>
      </c>
      <c r="BA40" s="2">
        <f t="shared" si="90"/>
        <v>49</v>
      </c>
      <c r="BB40" s="2">
        <f t="shared" si="90"/>
        <v>24.5</v>
      </c>
      <c r="BC40" s="2">
        <f t="shared" si="90"/>
        <v>12.25</v>
      </c>
      <c r="BD40" s="2">
        <f t="shared" ref="BD40:BY40" si="91">(BD23-BD24)/2</f>
        <v>6.125</v>
      </c>
      <c r="BE40" s="2">
        <f t="shared" si="91"/>
        <v>3.0625</v>
      </c>
      <c r="BF40" s="2">
        <f t="shared" si="91"/>
        <v>73</v>
      </c>
      <c r="BG40" s="2">
        <f t="shared" si="91"/>
        <v>73</v>
      </c>
      <c r="BH40" s="2">
        <f t="shared" si="91"/>
        <v>73</v>
      </c>
      <c r="BI40" s="2">
        <f t="shared" si="91"/>
        <v>73</v>
      </c>
      <c r="BJ40" s="2">
        <f t="shared" si="91"/>
        <v>73</v>
      </c>
      <c r="BK40" s="2">
        <f t="shared" si="91"/>
        <v>73</v>
      </c>
      <c r="BL40" s="2">
        <f t="shared" si="91"/>
        <v>73</v>
      </c>
      <c r="BM40" s="2">
        <f t="shared" si="91"/>
        <v>73</v>
      </c>
      <c r="BN40" s="2">
        <f t="shared" si="91"/>
        <v>73</v>
      </c>
      <c r="BO40" s="2">
        <f t="shared" si="91"/>
        <v>73</v>
      </c>
      <c r="BP40" s="2">
        <f t="shared" si="91"/>
        <v>74</v>
      </c>
      <c r="BQ40" s="2">
        <f t="shared" si="91"/>
        <v>74</v>
      </c>
      <c r="BR40" s="2">
        <f t="shared" si="91"/>
        <v>74</v>
      </c>
      <c r="BS40" s="2">
        <f t="shared" si="91"/>
        <v>74</v>
      </c>
      <c r="BT40" s="2">
        <f t="shared" si="91"/>
        <v>74</v>
      </c>
      <c r="BU40" s="2">
        <f t="shared" si="91"/>
        <v>74</v>
      </c>
      <c r="BV40" s="2">
        <f t="shared" si="91"/>
        <v>74</v>
      </c>
      <c r="BW40" s="2">
        <f t="shared" si="91"/>
        <v>74</v>
      </c>
      <c r="BX40" s="2">
        <f t="shared" si="91"/>
        <v>74</v>
      </c>
      <c r="BY40" s="2">
        <f t="shared" si="91"/>
        <v>74</v>
      </c>
      <c r="BZ40" s="2">
        <f t="shared" ref="BZ40:DC40" si="92">(BZ23-BZ24)/2</f>
        <v>121</v>
      </c>
      <c r="CA40" s="2">
        <f t="shared" si="92"/>
        <v>49</v>
      </c>
      <c r="CB40" s="2">
        <f t="shared" si="92"/>
        <v>73</v>
      </c>
      <c r="CC40" s="2">
        <f t="shared" si="92"/>
        <v>73</v>
      </c>
      <c r="CD40" s="2">
        <f t="shared" si="92"/>
        <v>70</v>
      </c>
      <c r="CE40" s="2">
        <f t="shared" si="92"/>
        <v>67</v>
      </c>
      <c r="CF40" s="2">
        <f t="shared" si="92"/>
        <v>64</v>
      </c>
      <c r="CG40" s="2">
        <f t="shared" si="92"/>
        <v>61</v>
      </c>
      <c r="CH40" s="2">
        <f t="shared" si="92"/>
        <v>58</v>
      </c>
      <c r="CI40" s="2">
        <f t="shared" si="92"/>
        <v>55</v>
      </c>
      <c r="CJ40" s="2">
        <f t="shared" si="92"/>
        <v>52</v>
      </c>
      <c r="CK40" s="2">
        <f t="shared" si="92"/>
        <v>49</v>
      </c>
      <c r="CL40" s="2">
        <f t="shared" si="92"/>
        <v>46</v>
      </c>
      <c r="CM40" s="2">
        <f t="shared" si="92"/>
        <v>43</v>
      </c>
      <c r="CN40" s="2">
        <f t="shared" si="92"/>
        <v>40</v>
      </c>
      <c r="CO40" s="2">
        <f t="shared" si="92"/>
        <v>40</v>
      </c>
      <c r="CP40" s="2">
        <f t="shared" si="92"/>
        <v>40</v>
      </c>
      <c r="CQ40" s="2">
        <f t="shared" si="92"/>
        <v>40</v>
      </c>
      <c r="CR40" s="2">
        <f t="shared" si="92"/>
        <v>40</v>
      </c>
      <c r="CS40" s="2">
        <f t="shared" si="92"/>
        <v>40</v>
      </c>
      <c r="CT40" s="2">
        <f t="shared" si="92"/>
        <v>40</v>
      </c>
      <c r="CU40" s="2">
        <f t="shared" si="92"/>
        <v>37</v>
      </c>
      <c r="CV40" s="2">
        <f t="shared" si="92"/>
        <v>11</v>
      </c>
      <c r="CW40" s="2">
        <f t="shared" si="92"/>
        <v>19</v>
      </c>
      <c r="CX40" s="2">
        <f t="shared" si="92"/>
        <v>42.2</v>
      </c>
      <c r="CY40" s="2">
        <f t="shared" si="92"/>
        <v>42.2</v>
      </c>
      <c r="CZ40" s="2">
        <f t="shared" si="92"/>
        <v>49</v>
      </c>
      <c r="DA40" s="2">
        <f t="shared" si="92"/>
        <v>51</v>
      </c>
      <c r="DB40" s="2">
        <f t="shared" si="92"/>
        <v>51</v>
      </c>
      <c r="DC40" s="2">
        <f t="shared" si="92"/>
        <v>43</v>
      </c>
      <c r="DD40" s="2">
        <f t="shared" ref="DD40:DI40" si="93">(DD23-DD24)/2</f>
        <v>65</v>
      </c>
      <c r="DE40" s="2">
        <f t="shared" si="93"/>
        <v>45</v>
      </c>
      <c r="DF40" s="2">
        <f t="shared" si="93"/>
        <v>33</v>
      </c>
      <c r="DG40" s="2">
        <f t="shared" si="93"/>
        <v>39</v>
      </c>
      <c r="DH40" s="2">
        <f t="shared" si="93"/>
        <v>49</v>
      </c>
      <c r="DI40" s="2">
        <f t="shared" si="93"/>
        <v>43</v>
      </c>
    </row>
    <row r="41" spans="1:114" x14ac:dyDescent="0.25">
      <c r="A41" t="s">
        <v>71</v>
      </c>
      <c r="B41">
        <f>2.41*10^(-3)*B39*LN(8*(B39/B40))*B35</f>
        <v>30.183912913618538</v>
      </c>
      <c r="C41">
        <f t="shared" ref="C41:AH41" si="94">2.41*10^(-3)*C39*LN(8*(C39/C40))*C35</f>
        <v>47.940644708629222</v>
      </c>
      <c r="D41">
        <f t="shared" si="94"/>
        <v>21.537566475541809</v>
      </c>
      <c r="E41">
        <f t="shared" si="94"/>
        <v>22.719377491219582</v>
      </c>
      <c r="F41">
        <f t="shared" si="94"/>
        <v>71.376967659465819</v>
      </c>
      <c r="G41">
        <f t="shared" si="94"/>
        <v>63.011884837802079</v>
      </c>
      <c r="H41">
        <f t="shared" si="94"/>
        <v>54.879157576868494</v>
      </c>
      <c r="I41">
        <f t="shared" si="94"/>
        <v>47.00186358581734</v>
      </c>
      <c r="J41">
        <f t="shared" si="94"/>
        <v>39.408180620021412</v>
      </c>
      <c r="K41">
        <f t="shared" si="94"/>
        <v>32.133292014695023</v>
      </c>
      <c r="L41">
        <f t="shared" si="94"/>
        <v>25.222380204265711</v>
      </c>
      <c r="M41">
        <f t="shared" si="94"/>
        <v>18.735618173541045</v>
      </c>
      <c r="N41">
        <f t="shared" si="94"/>
        <v>19.211728576576473</v>
      </c>
      <c r="O41">
        <f t="shared" si="94"/>
        <v>19.56426306901869</v>
      </c>
      <c r="P41">
        <f t="shared" si="94"/>
        <v>19.790964919445944</v>
      </c>
      <c r="Q41">
        <f t="shared" si="94"/>
        <v>19.890256596430184</v>
      </c>
      <c r="R41">
        <f t="shared" si="94"/>
        <v>19.86124033051194</v>
      </c>
      <c r="S41">
        <f t="shared" si="94"/>
        <v>19.703706562854997</v>
      </c>
      <c r="T41">
        <f t="shared" si="94"/>
        <v>19.418150797475693</v>
      </c>
      <c r="U41">
        <f t="shared" si="94"/>
        <v>19.005799750462977</v>
      </c>
      <c r="V41">
        <f t="shared" si="94"/>
        <v>18.468648155710092</v>
      </c>
      <c r="W41">
        <f t="shared" si="94"/>
        <v>17.809508194661884</v>
      </c>
      <c r="X41">
        <f t="shared" si="94"/>
        <v>17.032074345430981</v>
      </c>
      <c r="Y41">
        <f t="shared" si="94"/>
        <v>16.141007615974512</v>
      </c>
      <c r="Z41">
        <f t="shared" si="94"/>
        <v>15.142044833904544</v>
      </c>
      <c r="AA41">
        <f t="shared" si="94"/>
        <v>14.042141243345357</v>
      </c>
      <c r="AB41">
        <f t="shared" si="94"/>
        <v>12.849658686719026</v>
      </c>
      <c r="AC41">
        <f t="shared" si="94"/>
        <v>11.574618185731479</v>
      </c>
      <c r="AD41">
        <f t="shared" si="94"/>
        <v>8.7450555188457617</v>
      </c>
      <c r="AE41">
        <f t="shared" si="94"/>
        <v>6.5847930337366014</v>
      </c>
      <c r="AF41">
        <f t="shared" si="94"/>
        <v>4.845579727159242</v>
      </c>
      <c r="AG41">
        <f t="shared" si="94"/>
        <v>8.4456575399963683</v>
      </c>
      <c r="AH41">
        <f t="shared" si="94"/>
        <v>6.1163342349431415</v>
      </c>
      <c r="AI41" s="3">
        <f t="shared" ref="AI41:AO41" si="95">2.41*10^(-3)*AI39*LN(8*(AI39/AI40))*AI35</f>
        <v>4.2765014501294543</v>
      </c>
      <c r="AJ41" s="2">
        <f t="shared" si="95"/>
        <v>9.7403261947444246</v>
      </c>
      <c r="AK41" s="2">
        <f t="shared" si="95"/>
        <v>7.9705156530621579</v>
      </c>
      <c r="AL41" s="2">
        <f t="shared" si="95"/>
        <v>6.275502960339252</v>
      </c>
      <c r="AM41" s="2">
        <f t="shared" si="95"/>
        <v>4.6695582748910942</v>
      </c>
      <c r="AN41" s="2">
        <f t="shared" si="95"/>
        <v>3.1737437706521954</v>
      </c>
      <c r="AO41" s="2">
        <f t="shared" si="95"/>
        <v>6.1052613926840058</v>
      </c>
      <c r="AP41" s="2">
        <f t="shared" ref="AP41:BC41" si="96">2.41*10^(-3)*AP39*LN(8*(AP39/AP40))*AP35</f>
        <v>35.68848382973291</v>
      </c>
      <c r="AQ41" s="2">
        <f t="shared" si="96"/>
        <v>17.844241914866455</v>
      </c>
      <c r="AR41" s="2">
        <f t="shared" si="96"/>
        <v>8.9221209574332274</v>
      </c>
      <c r="AS41" s="2">
        <f t="shared" si="96"/>
        <v>79.955157201540715</v>
      </c>
      <c r="AT41" s="2">
        <f t="shared" si="96"/>
        <v>88.730152741824682</v>
      </c>
      <c r="AU41" s="2">
        <f t="shared" si="96"/>
        <v>97.687972030275816</v>
      </c>
      <c r="AV41" s="2">
        <f t="shared" si="96"/>
        <v>106.81648915208778</v>
      </c>
      <c r="AW41" s="2">
        <f t="shared" si="96"/>
        <v>116.10508763545539</v>
      </c>
      <c r="AX41" s="2">
        <f t="shared" si="96"/>
        <v>125.54439496916575</v>
      </c>
      <c r="AY41" s="2">
        <f t="shared" si="96"/>
        <v>135.12607596011685</v>
      </c>
      <c r="AZ41" s="2">
        <f t="shared" si="96"/>
        <v>144.8426694783349</v>
      </c>
      <c r="BA41" s="2">
        <f t="shared" si="96"/>
        <v>154.68745776566604</v>
      </c>
      <c r="BB41" s="2">
        <f t="shared" si="96"/>
        <v>77.34372888283302</v>
      </c>
      <c r="BC41" s="2">
        <f t="shared" si="96"/>
        <v>38.67186444141651</v>
      </c>
      <c r="BD41" s="2">
        <f t="shared" ref="BD41:BY41" si="97">2.41*10^(-3)*BD39*LN(8*(BD39/BD40))*BD35</f>
        <v>19.335932220708255</v>
      </c>
      <c r="BE41" s="2">
        <f t="shared" si="97"/>
        <v>9.6679661103541275</v>
      </c>
      <c r="BF41" s="2">
        <f t="shared" si="97"/>
        <v>112.0764879044431</v>
      </c>
      <c r="BG41" s="2">
        <f t="shared" si="97"/>
        <v>103.57757074395811</v>
      </c>
      <c r="BH41" s="2">
        <f t="shared" si="97"/>
        <v>95.224248116744477</v>
      </c>
      <c r="BI41" s="2">
        <f t="shared" si="97"/>
        <v>87.025248406253908</v>
      </c>
      <c r="BJ41" s="2">
        <f t="shared" si="97"/>
        <v>78.990414024059021</v>
      </c>
      <c r="BK41" s="2">
        <f t="shared" si="97"/>
        <v>71.130929404694669</v>
      </c>
      <c r="BL41" s="2">
        <f t="shared" si="97"/>
        <v>63.459615829717542</v>
      </c>
      <c r="BM41" s="2">
        <f t="shared" si="97"/>
        <v>55.991319530637043</v>
      </c>
      <c r="BN41" s="2">
        <f t="shared" si="97"/>
        <v>48.743433178787939</v>
      </c>
      <c r="BO41" s="2">
        <f t="shared" si="97"/>
        <v>41.736613545344568</v>
      </c>
      <c r="BP41" s="2">
        <f t="shared" si="97"/>
        <v>110.56846565879833</v>
      </c>
      <c r="BQ41" s="2">
        <f t="shared" si="97"/>
        <v>102.11878645682765</v>
      </c>
      <c r="BR41" s="2">
        <f t="shared" si="97"/>
        <v>93.815529919288053</v>
      </c>
      <c r="BS41" s="2">
        <f t="shared" si="97"/>
        <v>85.667527078367712</v>
      </c>
      <c r="BT41" s="2">
        <f t="shared" si="97"/>
        <v>77.684743348139989</v>
      </c>
      <c r="BU41" s="2">
        <f t="shared" si="97"/>
        <v>69.878512283808888</v>
      </c>
      <c r="BV41" s="2">
        <f t="shared" si="97"/>
        <v>62.26183836741172</v>
      </c>
      <c r="BW41" s="2">
        <f t="shared" si="97"/>
        <v>54.849796358226229</v>
      </c>
      <c r="BX41" s="2">
        <f t="shared" si="97"/>
        <v>47.660069090861867</v>
      </c>
      <c r="BY41" s="2">
        <f t="shared" si="97"/>
        <v>40.713689509350239</v>
      </c>
      <c r="BZ41" s="2">
        <f t="shared" ref="BZ41:DC41" si="98">2.41*10^(-3)*BZ39*LN(8*(BZ39/BZ40))*BZ35</f>
        <v>81.968103525097845</v>
      </c>
      <c r="CA41" s="2">
        <f t="shared" si="98"/>
        <v>195.23479831701272</v>
      </c>
      <c r="CB41" s="2">
        <f t="shared" si="98"/>
        <v>34.995797331079316</v>
      </c>
      <c r="CC41" s="2">
        <f t="shared" si="98"/>
        <v>28.551688352164959</v>
      </c>
      <c r="CD41" s="2">
        <f t="shared" si="98"/>
        <v>29.25653592489072</v>
      </c>
      <c r="CE41" s="2">
        <f t="shared" si="98"/>
        <v>29.774986101622549</v>
      </c>
      <c r="CF41" s="2">
        <f t="shared" si="98"/>
        <v>30.103728143027528</v>
      </c>
      <c r="CG41" s="2">
        <f t="shared" si="98"/>
        <v>30.240464600794382</v>
      </c>
      <c r="CH41" s="2">
        <f t="shared" si="98"/>
        <v>30.183912913618538</v>
      </c>
      <c r="CI41" s="2">
        <f t="shared" si="98"/>
        <v>29.933818724508399</v>
      </c>
      <c r="CJ41" s="2">
        <f t="shared" si="98"/>
        <v>29.490981715808967</v>
      </c>
      <c r="CK41" s="2">
        <f t="shared" si="98"/>
        <v>28.857295319206862</v>
      </c>
      <c r="CL41" s="2">
        <f t="shared" si="98"/>
        <v>28.035802354411107</v>
      </c>
      <c r="CM41" s="2">
        <f t="shared" si="98"/>
        <v>27.03076956056611</v>
      </c>
      <c r="CN41" s="2">
        <f t="shared" si="98"/>
        <v>25.847785225892281</v>
      </c>
      <c r="CO41" s="2">
        <f t="shared" si="98"/>
        <v>22.564001940749943</v>
      </c>
      <c r="CP41" s="2">
        <f t="shared" si="98"/>
        <v>19.378376851441519</v>
      </c>
      <c r="CQ41" s="2">
        <f t="shared" si="98"/>
        <v>16.301859375326444</v>
      </c>
      <c r="CR41" s="2">
        <f t="shared" si="98"/>
        <v>13.348155670503964</v>
      </c>
      <c r="CS41" s="2">
        <f t="shared" si="98"/>
        <v>10.534923794312116</v>
      </c>
      <c r="CT41" s="2">
        <f t="shared" si="98"/>
        <v>7.8857802671819623</v>
      </c>
      <c r="CU41" s="2">
        <f t="shared" si="98"/>
        <v>8.0130326313845757</v>
      </c>
      <c r="CV41" s="2">
        <f t="shared" si="98"/>
        <v>32.114936741517376</v>
      </c>
      <c r="CW41" s="2">
        <f t="shared" si="98"/>
        <v>24.303979006410771</v>
      </c>
      <c r="CX41" s="2">
        <f t="shared" si="98"/>
        <v>19.8460363660841</v>
      </c>
      <c r="CY41" s="2">
        <f t="shared" si="98"/>
        <v>28.980414574438644</v>
      </c>
      <c r="CZ41" s="2">
        <f t="shared" si="98"/>
        <v>18.735618173541045</v>
      </c>
      <c r="DA41" s="2">
        <f t="shared" si="98"/>
        <v>23.470559687034516</v>
      </c>
      <c r="DB41" s="2">
        <f t="shared" si="98"/>
        <v>23.470559687034516</v>
      </c>
      <c r="DC41" s="2">
        <f t="shared" si="98"/>
        <v>14.43175883067464</v>
      </c>
      <c r="DD41" s="2">
        <f t="shared" ref="DD41:DI41" si="99">2.41*10^(-3)*DD39*LN(8*(DD39/DD40))*DD35</f>
        <v>31.289808894217387</v>
      </c>
      <c r="DE41" s="2">
        <f t="shared" si="99"/>
        <v>29.658000973376549</v>
      </c>
      <c r="DF41" s="2">
        <f t="shared" si="99"/>
        <v>7.5202489816804725</v>
      </c>
      <c r="DG41" s="2">
        <f t="shared" si="99"/>
        <v>10.456848983854696</v>
      </c>
      <c r="DH41" s="2">
        <f t="shared" si="99"/>
        <v>18.735618173541045</v>
      </c>
      <c r="DI41" s="2">
        <f t="shared" si="99"/>
        <v>14.43175883067464</v>
      </c>
    </row>
    <row r="42" spans="1:114" x14ac:dyDescent="0.25">
      <c r="A42" t="s">
        <v>89</v>
      </c>
      <c r="B42">
        <f>B38*B20</f>
        <v>224.61508166132177</v>
      </c>
      <c r="C42">
        <f t="shared" ref="C42:AO42" si="100">C38*C20</f>
        <v>265.46449940475816</v>
      </c>
      <c r="D42">
        <f t="shared" si="100"/>
        <v>193.16163455095167</v>
      </c>
      <c r="E42">
        <f t="shared" si="100"/>
        <v>189.1601462590753</v>
      </c>
      <c r="F42">
        <f t="shared" si="100"/>
        <v>300.88135632652899</v>
      </c>
      <c r="G42">
        <f t="shared" si="100"/>
        <v>303.35587455149647</v>
      </c>
      <c r="H42">
        <f t="shared" si="100"/>
        <v>298.70455104156224</v>
      </c>
      <c r="I42">
        <f t="shared" si="100"/>
        <v>290.57332987614006</v>
      </c>
      <c r="J42">
        <f t="shared" si="100"/>
        <v>279.14124956923268</v>
      </c>
      <c r="K42">
        <f t="shared" si="100"/>
        <v>265.68749854354576</v>
      </c>
      <c r="L42">
        <f t="shared" si="100"/>
        <v>248.34804693154601</v>
      </c>
      <c r="M42">
        <f t="shared" si="100"/>
        <v>229.80232606349657</v>
      </c>
      <c r="N42">
        <f t="shared" si="100"/>
        <v>229.80232606349657</v>
      </c>
      <c r="O42">
        <f t="shared" si="100"/>
        <v>229.38714537016622</v>
      </c>
      <c r="P42">
        <f t="shared" si="100"/>
        <v>228.11524171086211</v>
      </c>
      <c r="Q42">
        <f t="shared" si="100"/>
        <v>226.0257526209669</v>
      </c>
      <c r="R42">
        <f t="shared" si="100"/>
        <v>225.19324241609792</v>
      </c>
      <c r="S42">
        <f t="shared" si="100"/>
        <v>220.20679617709717</v>
      </c>
      <c r="T42">
        <f t="shared" si="100"/>
        <v>217.24518666703196</v>
      </c>
      <c r="U42">
        <f t="shared" si="100"/>
        <v>212.26648717163127</v>
      </c>
      <c r="V42">
        <f t="shared" si="100"/>
        <v>206.44528711996369</v>
      </c>
      <c r="W42">
        <f t="shared" si="100"/>
        <v>200.88633876559987</v>
      </c>
      <c r="X42">
        <f t="shared" si="100"/>
        <v>193.66400636048863</v>
      </c>
      <c r="Y42">
        <f t="shared" si="100"/>
        <v>187.19129484694648</v>
      </c>
      <c r="Z42">
        <f t="shared" si="100"/>
        <v>178.76102651206591</v>
      </c>
      <c r="AA42">
        <f t="shared" si="100"/>
        <v>169.65401398198506</v>
      </c>
      <c r="AB42">
        <f t="shared" si="100"/>
        <v>160.3008021947044</v>
      </c>
      <c r="AC42">
        <f t="shared" si="100"/>
        <v>151.51718662664783</v>
      </c>
      <c r="AD42">
        <f t="shared" si="100"/>
        <v>142.70480014228943</v>
      </c>
      <c r="AE42">
        <f t="shared" si="100"/>
        <v>134.94523666961689</v>
      </c>
      <c r="AF42">
        <f t="shared" si="100"/>
        <v>127.30642832977409</v>
      </c>
      <c r="AG42">
        <f t="shared" si="100"/>
        <v>130.24407830119864</v>
      </c>
      <c r="AH42">
        <f t="shared" si="100"/>
        <v>112.59662120804896</v>
      </c>
      <c r="AI42">
        <f t="shared" si="100"/>
        <v>96.490443021821832</v>
      </c>
      <c r="AJ42">
        <f t="shared" si="100"/>
        <v>149.19478007767646</v>
      </c>
      <c r="AK42">
        <f t="shared" si="100"/>
        <v>144.10304713387555</v>
      </c>
      <c r="AL42">
        <f t="shared" si="100"/>
        <v>139.51777933604475</v>
      </c>
      <c r="AM42">
        <f t="shared" si="100"/>
        <v>133.92061247138935</v>
      </c>
      <c r="AN42">
        <f t="shared" si="100"/>
        <v>127.02612025755823</v>
      </c>
      <c r="AO42">
        <f t="shared" si="100"/>
        <v>117.91904955053418</v>
      </c>
      <c r="AP42">
        <f t="shared" ref="AP42:BC42" si="101">AP38*AP20</f>
        <v>332.18865758994383</v>
      </c>
      <c r="AQ42">
        <f t="shared" si="101"/>
        <v>313.38451180770875</v>
      </c>
      <c r="AR42">
        <f t="shared" si="101"/>
        <v>265.1514053852664</v>
      </c>
      <c r="AS42">
        <f t="shared" si="101"/>
        <v>330.22810555408154</v>
      </c>
      <c r="AT42">
        <f t="shared" si="101"/>
        <v>326.12010953939773</v>
      </c>
      <c r="AU42">
        <f t="shared" si="101"/>
        <v>327.08707366466109</v>
      </c>
      <c r="AV42">
        <f t="shared" si="101"/>
        <v>335.21835342058728</v>
      </c>
      <c r="AW42">
        <f t="shared" si="101"/>
        <v>348.89087051947502</v>
      </c>
      <c r="AX42">
        <f t="shared" si="101"/>
        <v>338.63223366938206</v>
      </c>
      <c r="AY42">
        <f t="shared" si="101"/>
        <v>338.89195419868008</v>
      </c>
      <c r="AZ42">
        <f t="shared" si="101"/>
        <v>334.24378741903621</v>
      </c>
      <c r="BA42">
        <f t="shared" si="101"/>
        <v>346.64095564701</v>
      </c>
      <c r="BB42">
        <f t="shared" si="101"/>
        <v>378.5071138488093</v>
      </c>
      <c r="BC42">
        <f t="shared" si="101"/>
        <v>376.49980651570877</v>
      </c>
      <c r="BD42">
        <f t="shared" ref="BD42:BY42" si="102">BD38*BD20</f>
        <v>382.47170494845653</v>
      </c>
      <c r="BE42">
        <f t="shared" si="102"/>
        <v>387.53777607928407</v>
      </c>
      <c r="BF42">
        <f t="shared" si="102"/>
        <v>339.95030751927339</v>
      </c>
      <c r="BG42">
        <f t="shared" si="102"/>
        <v>328.98919362676838</v>
      </c>
      <c r="BH42">
        <f t="shared" si="102"/>
        <v>329.08384842139674</v>
      </c>
      <c r="BI42">
        <f t="shared" si="102"/>
        <v>325.16843720799579</v>
      </c>
      <c r="BJ42">
        <f t="shared" si="102"/>
        <v>317.49206912335012</v>
      </c>
      <c r="BK42">
        <f t="shared" si="102"/>
        <v>305.96581568211184</v>
      </c>
      <c r="BL42">
        <f t="shared" si="102"/>
        <v>300.05599983442141</v>
      </c>
      <c r="BM42">
        <f t="shared" si="102"/>
        <v>288.69058943406367</v>
      </c>
      <c r="BN42">
        <f t="shared" si="102"/>
        <v>280.24324729935375</v>
      </c>
      <c r="BO42">
        <f t="shared" si="102"/>
        <v>265.2215048988204</v>
      </c>
      <c r="BP42">
        <f t="shared" si="102"/>
        <v>314.29722086855122</v>
      </c>
      <c r="BQ42">
        <f t="shared" si="102"/>
        <v>306.16379602544657</v>
      </c>
      <c r="BR42">
        <f t="shared" si="102"/>
        <v>311.2256562530801</v>
      </c>
      <c r="BS42">
        <f t="shared" si="102"/>
        <v>308.48862832638849</v>
      </c>
      <c r="BT42">
        <f t="shared" si="102"/>
        <v>290.7682259646208</v>
      </c>
      <c r="BU42">
        <f t="shared" si="102"/>
        <v>291.22404142710559</v>
      </c>
      <c r="BV42">
        <f t="shared" si="102"/>
        <v>276.76693925270115</v>
      </c>
      <c r="BW42">
        <f t="shared" si="102"/>
        <v>274.72479581692392</v>
      </c>
      <c r="BX42">
        <f t="shared" si="102"/>
        <v>258.99270717415385</v>
      </c>
      <c r="BY42">
        <f t="shared" si="102"/>
        <v>250.67664068445958</v>
      </c>
      <c r="BZ42">
        <f t="shared" ref="BZ42:DC42" si="103">BZ38*BZ20</f>
        <v>264.53215075142151</v>
      </c>
      <c r="CA42">
        <f t="shared" si="103"/>
        <v>370.85779850360836</v>
      </c>
      <c r="CB42">
        <f t="shared" si="103"/>
        <v>255.81040848657145</v>
      </c>
      <c r="CC42">
        <f t="shared" si="103"/>
        <v>239.06403958802622</v>
      </c>
      <c r="CD42">
        <f t="shared" si="103"/>
        <v>238.43409372473153</v>
      </c>
      <c r="CE42">
        <f t="shared" si="103"/>
        <v>238.15407707648041</v>
      </c>
      <c r="CF42">
        <f t="shared" si="103"/>
        <v>236.6899937135139</v>
      </c>
      <c r="CG42">
        <f t="shared" si="103"/>
        <v>234.06136274865327</v>
      </c>
      <c r="CH42">
        <f t="shared" si="103"/>
        <v>234.19869281782042</v>
      </c>
      <c r="CI42">
        <f t="shared" si="103"/>
        <v>229.22000509127955</v>
      </c>
      <c r="CJ42">
        <f t="shared" si="103"/>
        <v>223.48935986112096</v>
      </c>
      <c r="CK42">
        <f t="shared" si="103"/>
        <v>219.46219469588826</v>
      </c>
      <c r="CL42">
        <f t="shared" si="103"/>
        <v>214.525375562221</v>
      </c>
      <c r="CM42">
        <f t="shared" si="103"/>
        <v>207.37830570789396</v>
      </c>
      <c r="CN42">
        <f t="shared" si="103"/>
        <v>202.28956084308359</v>
      </c>
      <c r="CO42">
        <f t="shared" si="103"/>
        <v>196.58120053160019</v>
      </c>
      <c r="CP42">
        <f t="shared" si="103"/>
        <v>188.41018417514701</v>
      </c>
      <c r="CQ42">
        <f t="shared" si="103"/>
        <v>182.2623583782335</v>
      </c>
      <c r="CR42">
        <f t="shared" si="103"/>
        <v>175.46916083418461</v>
      </c>
      <c r="CS42">
        <f t="shared" si="103"/>
        <v>165.38601363916027</v>
      </c>
      <c r="CT42">
        <f t="shared" si="103"/>
        <v>155.60795652274268</v>
      </c>
      <c r="CU42">
        <f t="shared" si="103"/>
        <v>153.44332988207509</v>
      </c>
      <c r="CV42">
        <f t="shared" si="103"/>
        <v>135.00254555939173</v>
      </c>
      <c r="CW42">
        <f t="shared" si="103"/>
        <v>178.5742599424195</v>
      </c>
      <c r="CX42">
        <f t="shared" si="103"/>
        <v>226.81920751971964</v>
      </c>
      <c r="CY42">
        <f t="shared" si="103"/>
        <v>248.46799286799171</v>
      </c>
      <c r="CZ42">
        <f t="shared" si="103"/>
        <v>225.82329038174063</v>
      </c>
      <c r="DA42">
        <f t="shared" si="103"/>
        <v>246.09148812970466</v>
      </c>
      <c r="DB42">
        <f t="shared" si="103"/>
        <v>248.33635418703372</v>
      </c>
      <c r="DC42">
        <f t="shared" si="103"/>
        <v>208.06424166504385</v>
      </c>
      <c r="DD42">
        <f t="shared" ref="DD42:DI42" si="104">DD38*DD20</f>
        <v>261.0445272413217</v>
      </c>
      <c r="DE42">
        <f t="shared" si="104"/>
        <v>216.78568027948253</v>
      </c>
      <c r="DF42">
        <f t="shared" si="104"/>
        <v>167.32378201855749</v>
      </c>
      <c r="DG42">
        <f t="shared" si="104"/>
        <v>188.90796624259218</v>
      </c>
      <c r="DH42">
        <f t="shared" si="104"/>
        <v>228.86179004007161</v>
      </c>
      <c r="DI42">
        <f t="shared" si="104"/>
        <v>208.06424166504385</v>
      </c>
    </row>
    <row r="43" spans="1:114" x14ac:dyDescent="0.25">
      <c r="AI43" s="3"/>
      <c r="AJ43" s="2"/>
    </row>
    <row r="44" spans="1:114" x14ac:dyDescent="0.25">
      <c r="A44" t="s">
        <v>72</v>
      </c>
      <c r="B44">
        <f>10^(-9)*B21/B31</f>
        <v>2.9907975460122704E-12</v>
      </c>
      <c r="C44">
        <f t="shared" ref="C44:AO44" si="105">10^(-9)*C21/C31</f>
        <v>2.7073170731707318E-12</v>
      </c>
      <c r="D44">
        <f t="shared" si="105"/>
        <v>3.4464285714285716E-12</v>
      </c>
      <c r="E44">
        <f t="shared" si="105"/>
        <v>3.5948905109489052E-12</v>
      </c>
      <c r="F44">
        <f t="shared" si="105"/>
        <v>2.3233215547703182E-12</v>
      </c>
      <c r="G44">
        <f t="shared" si="105"/>
        <v>2.2393822393822392E-12</v>
      </c>
      <c r="H44">
        <f t="shared" si="105"/>
        <v>2.2553191489361702E-12</v>
      </c>
      <c r="I44">
        <f t="shared" si="105"/>
        <v>2.2985781990521325E-12</v>
      </c>
      <c r="J44">
        <f t="shared" si="105"/>
        <v>2.3796791443850266E-12</v>
      </c>
      <c r="K44">
        <f t="shared" si="105"/>
        <v>2.4846625766871164E-12</v>
      </c>
      <c r="L44">
        <f t="shared" si="105"/>
        <v>2.6618705035971227E-12</v>
      </c>
      <c r="M44">
        <f t="shared" si="105"/>
        <v>2.8913043478260875E-12</v>
      </c>
      <c r="N44">
        <f t="shared" si="105"/>
        <v>2.8963414634146346E-12</v>
      </c>
      <c r="O44">
        <f t="shared" si="105"/>
        <v>2.9115586690017517E-12</v>
      </c>
      <c r="P44">
        <f t="shared" si="105"/>
        <v>2.9593639575971732E-12</v>
      </c>
      <c r="Q44">
        <f t="shared" si="105"/>
        <v>3.0187835420393562E-12</v>
      </c>
      <c r="R44">
        <f t="shared" si="105"/>
        <v>3.0454545454545455E-12</v>
      </c>
      <c r="S44">
        <f t="shared" si="105"/>
        <v>3.1771799628942485E-12</v>
      </c>
      <c r="T44">
        <f t="shared" si="105"/>
        <v>3.255703422053232E-12</v>
      </c>
      <c r="U44">
        <f t="shared" si="105"/>
        <v>3.4001956947162432E-12</v>
      </c>
      <c r="V44">
        <f t="shared" si="105"/>
        <v>3.5678137651821865E-12</v>
      </c>
      <c r="W44">
        <f t="shared" si="105"/>
        <v>3.736842105263158E-12</v>
      </c>
      <c r="X44">
        <f t="shared" si="105"/>
        <v>3.9647577092511016E-12</v>
      </c>
      <c r="Y44">
        <f t="shared" si="105"/>
        <v>4.1763341067285389E-12</v>
      </c>
      <c r="Z44">
        <f t="shared" si="105"/>
        <v>4.4950738916256158E-12</v>
      </c>
      <c r="AA44">
        <f t="shared" si="105"/>
        <v>4.8812664907651717E-12</v>
      </c>
      <c r="AB44">
        <f t="shared" si="105"/>
        <v>5.3214285714285716E-12</v>
      </c>
      <c r="AC44">
        <f t="shared" si="105"/>
        <v>5.7993730407523521E-12</v>
      </c>
      <c r="AD44">
        <f t="shared" si="105"/>
        <v>5.7937956204379556E-12</v>
      </c>
      <c r="AE44">
        <f t="shared" si="105"/>
        <v>6.0043668122270744E-12</v>
      </c>
      <c r="AF44">
        <f t="shared" si="105"/>
        <v>6.5896739130434774E-12</v>
      </c>
      <c r="AG44">
        <f t="shared" si="105"/>
        <v>6.2720848056537104E-12</v>
      </c>
      <c r="AH44">
        <f t="shared" si="105"/>
        <v>6.7813765182186242E-12</v>
      </c>
      <c r="AI44" s="3">
        <f t="shared" si="105"/>
        <v>7.582938388625594E-12</v>
      </c>
      <c r="AJ44" s="2">
        <f t="shared" si="105"/>
        <v>5.869175627240143E-12</v>
      </c>
      <c r="AK44" s="2">
        <f t="shared" si="105"/>
        <v>6.0669456066945601E-12</v>
      </c>
      <c r="AL44" s="2">
        <f t="shared" si="105"/>
        <v>6.2185929648241212E-12</v>
      </c>
      <c r="AM44" s="2">
        <f t="shared" si="105"/>
        <v>6.446540880503144E-12</v>
      </c>
      <c r="AN44" s="2">
        <f t="shared" si="105"/>
        <v>6.9327731092436976E-12</v>
      </c>
      <c r="AO44" s="2">
        <f t="shared" si="105"/>
        <v>8.0310880829015563E-12</v>
      </c>
      <c r="AP44" s="2">
        <f t="shared" ref="AP44:BC44" si="106">10^(-9)*AP21/AP31</f>
        <v>2.208480565371025E-12</v>
      </c>
      <c r="AQ44" s="2">
        <f t="shared" si="106"/>
        <v>2.5088339222614843E-12</v>
      </c>
      <c r="AR44" s="2">
        <f t="shared" si="106"/>
        <v>3.1095406360424032E-12</v>
      </c>
      <c r="AS44" s="2">
        <f t="shared" si="106"/>
        <v>2.0846905537459286E-12</v>
      </c>
      <c r="AT44" s="2">
        <f t="shared" si="106"/>
        <v>2.1752265861027193E-12</v>
      </c>
      <c r="AU44" s="2">
        <f t="shared" si="106"/>
        <v>2.1830985915492957E-12</v>
      </c>
      <c r="AV44" s="2">
        <f t="shared" si="106"/>
        <v>2.0778364116094988E-12</v>
      </c>
      <c r="AW44" s="2">
        <f t="shared" si="106"/>
        <v>1.9602977667493798E-12</v>
      </c>
      <c r="AX44" s="2">
        <f t="shared" si="106"/>
        <v>2.0843091334894616E-12</v>
      </c>
      <c r="AY44" s="2">
        <f t="shared" si="106"/>
        <v>2.0731707317073173E-12</v>
      </c>
      <c r="AZ44" s="2">
        <f t="shared" si="106"/>
        <v>2.0999999999999999E-12</v>
      </c>
      <c r="BA44" s="2">
        <f t="shared" si="106"/>
        <v>2.0340681362725453E-12</v>
      </c>
      <c r="BB44" s="2">
        <f t="shared" si="106"/>
        <v>2.0340681362725453E-12</v>
      </c>
      <c r="BC44" s="2">
        <f t="shared" si="106"/>
        <v>2.1042084168336678E-12</v>
      </c>
      <c r="BD44" s="2">
        <f t="shared" ref="BD44:BY44" si="107">10^(-9)*BD21/BD31</f>
        <v>2.0841683366733467E-12</v>
      </c>
      <c r="BE44" s="2">
        <f t="shared" si="107"/>
        <v>2.0841683366733467E-12</v>
      </c>
      <c r="BF44" s="2">
        <f t="shared" si="107"/>
        <v>2.0449308755760367E-12</v>
      </c>
      <c r="BG44" s="2">
        <f t="shared" si="107"/>
        <v>2.134146341463415E-12</v>
      </c>
      <c r="BH44" s="2">
        <f t="shared" si="107"/>
        <v>2.0790155440414509E-12</v>
      </c>
      <c r="BI44" s="2">
        <f t="shared" si="107"/>
        <v>2.0718232044198899E-12</v>
      </c>
      <c r="BJ44" s="2">
        <f t="shared" si="107"/>
        <v>2.1079881656804734E-12</v>
      </c>
      <c r="BK44" s="2">
        <f t="shared" si="107"/>
        <v>2.1974522292993631E-12</v>
      </c>
      <c r="BL44" s="2">
        <f t="shared" si="107"/>
        <v>2.2068965517241383E-12</v>
      </c>
      <c r="BM44" s="2">
        <f t="shared" si="107"/>
        <v>2.2932330827067671E-12</v>
      </c>
      <c r="BN44" s="2">
        <f t="shared" si="107"/>
        <v>2.3347107438016532E-12</v>
      </c>
      <c r="BO44" s="2">
        <f t="shared" si="107"/>
        <v>2.4885321100917429E-12</v>
      </c>
      <c r="BP44" s="2">
        <f t="shared" si="107"/>
        <v>2.1867881548974944E-12</v>
      </c>
      <c r="BQ44" s="2">
        <f t="shared" si="107"/>
        <v>2.2650602409638558E-12</v>
      </c>
      <c r="BR44" s="2">
        <f t="shared" si="107"/>
        <v>2.1675191815856776E-12</v>
      </c>
      <c r="BS44" s="2">
        <f t="shared" si="107"/>
        <v>2.152588555858311E-12</v>
      </c>
      <c r="BT44" s="2">
        <f t="shared" si="107"/>
        <v>2.3542274052478134E-12</v>
      </c>
      <c r="BU44" s="2">
        <f t="shared" si="107"/>
        <v>2.272727272727273E-12</v>
      </c>
      <c r="BV44" s="2">
        <f t="shared" si="107"/>
        <v>2.4237288135593222E-12</v>
      </c>
      <c r="BW44" s="2">
        <f t="shared" si="107"/>
        <v>2.3616236162361626E-12</v>
      </c>
      <c r="BX44" s="2">
        <f t="shared" si="107"/>
        <v>2.5404858299595147E-12</v>
      </c>
      <c r="BY44" s="2">
        <f t="shared" si="107"/>
        <v>2.5784753363228702E-12</v>
      </c>
      <c r="BZ44" s="2">
        <f t="shared" ref="BZ44:DC44" si="108">10^(-9)*BZ21/BZ31</f>
        <v>2.39375E-12</v>
      </c>
      <c r="CA44" s="2">
        <f t="shared" si="108"/>
        <v>2.050420168067227E-12</v>
      </c>
      <c r="CB44" s="2">
        <f t="shared" si="108"/>
        <v>2.5515463917525774E-12</v>
      </c>
      <c r="CC44" s="2">
        <f t="shared" si="108"/>
        <v>2.7794117647058823E-12</v>
      </c>
      <c r="CD44" s="2">
        <f t="shared" si="108"/>
        <v>2.7974087161366317E-12</v>
      </c>
      <c r="CE44" s="2">
        <f t="shared" si="108"/>
        <v>2.8106508875739649E-12</v>
      </c>
      <c r="CF44" s="2">
        <f t="shared" si="108"/>
        <v>2.8490453460620528E-12</v>
      </c>
      <c r="CG44" s="2">
        <f t="shared" si="108"/>
        <v>2.9136473429951691E-12</v>
      </c>
      <c r="CH44" s="2">
        <f t="shared" si="108"/>
        <v>2.914110429447853E-12</v>
      </c>
      <c r="CI44" s="2">
        <f t="shared" si="108"/>
        <v>3.0350438047559445E-12</v>
      </c>
      <c r="CJ44" s="2">
        <f t="shared" si="108"/>
        <v>3.189102564102564E-12</v>
      </c>
      <c r="CK44" s="2">
        <f t="shared" si="108"/>
        <v>3.2816622691292876E-12</v>
      </c>
      <c r="CL44" s="2">
        <f t="shared" si="108"/>
        <v>3.4106412005457025E-12</v>
      </c>
      <c r="CM44" s="2">
        <f t="shared" si="108"/>
        <v>3.6170212765957447E-12</v>
      </c>
      <c r="CN44" s="2">
        <f t="shared" si="108"/>
        <v>3.746290801186943E-12</v>
      </c>
      <c r="CO44" s="2">
        <f t="shared" si="108"/>
        <v>3.8382594417077179E-12</v>
      </c>
      <c r="CP44" s="2">
        <f t="shared" si="108"/>
        <v>4.0211397058823534E-12</v>
      </c>
      <c r="CQ44" s="2">
        <f t="shared" si="108"/>
        <v>4.1231732776617961E-12</v>
      </c>
      <c r="CR44" s="2">
        <f t="shared" si="108"/>
        <v>4.2270531400966185E-12</v>
      </c>
      <c r="CS44" s="2">
        <f t="shared" si="108"/>
        <v>4.5487106017191974E-12</v>
      </c>
      <c r="CT44" s="2">
        <f t="shared" si="108"/>
        <v>4.8855633802816903E-12</v>
      </c>
      <c r="CU44" s="2">
        <f t="shared" si="108"/>
        <v>4.9999999999999997E-12</v>
      </c>
      <c r="CV44" s="2">
        <f t="shared" si="108"/>
        <v>7.8256302521008414E-12</v>
      </c>
      <c r="CW44" s="2">
        <f t="shared" si="108"/>
        <v>4.9782608695652177E-12</v>
      </c>
      <c r="CX44" s="2">
        <f t="shared" si="108"/>
        <v>3.061550475649581E-12</v>
      </c>
      <c r="CY44" s="2">
        <f t="shared" si="108"/>
        <v>2.3687245962869384E-12</v>
      </c>
      <c r="CZ44" s="2">
        <f t="shared" si="108"/>
        <v>2.5217391304347826E-12</v>
      </c>
      <c r="DA44" s="2">
        <f t="shared" si="108"/>
        <v>2.2440652818991098E-12</v>
      </c>
      <c r="DB44" s="2">
        <f t="shared" si="108"/>
        <v>2.1884272997032646E-12</v>
      </c>
      <c r="DC44" s="2">
        <f t="shared" si="108"/>
        <v>3.3351409978308029E-12</v>
      </c>
      <c r="DD44" s="2">
        <f t="shared" ref="DD44:DI44" si="109">10^(-9)*DD21/DD31</f>
        <v>1.2565445026178011E-12</v>
      </c>
      <c r="DE44" s="2">
        <f t="shared" si="109"/>
        <v>1.657142857142857E-12</v>
      </c>
      <c r="DF44" s="2">
        <f t="shared" si="109"/>
        <v>4.4280442804428046E-12</v>
      </c>
      <c r="DG44" s="2">
        <f t="shared" si="109"/>
        <v>3.75E-12</v>
      </c>
      <c r="DH44" s="2">
        <f t="shared" si="109"/>
        <v>2.9782608695652174E-12</v>
      </c>
      <c r="DI44" s="2">
        <f t="shared" si="109"/>
        <v>3.3351409978308029E-12</v>
      </c>
    </row>
    <row r="45" spans="1:114" x14ac:dyDescent="0.25">
      <c r="A45" t="s">
        <v>76</v>
      </c>
      <c r="F45">
        <f>10^(-9)*F14/F31</f>
        <v>0</v>
      </c>
      <c r="G45">
        <f t="shared" ref="G45:AC45" si="110">10^(-9)*G14/G31</f>
        <v>0</v>
      </c>
      <c r="H45">
        <f t="shared" si="110"/>
        <v>0</v>
      </c>
      <c r="I45">
        <f t="shared" si="110"/>
        <v>0</v>
      </c>
      <c r="J45">
        <f t="shared" si="110"/>
        <v>0</v>
      </c>
      <c r="K45">
        <f t="shared" si="110"/>
        <v>0</v>
      </c>
      <c r="L45">
        <f t="shared" si="110"/>
        <v>0</v>
      </c>
      <c r="M45">
        <f t="shared" si="110"/>
        <v>0</v>
      </c>
      <c r="N45">
        <f t="shared" si="110"/>
        <v>0</v>
      </c>
      <c r="O45">
        <f t="shared" si="110"/>
        <v>0</v>
      </c>
      <c r="P45">
        <f t="shared" si="110"/>
        <v>0</v>
      </c>
      <c r="Q45">
        <f t="shared" si="110"/>
        <v>0</v>
      </c>
      <c r="R45">
        <f t="shared" si="110"/>
        <v>0</v>
      </c>
      <c r="S45">
        <f t="shared" si="110"/>
        <v>0</v>
      </c>
      <c r="T45">
        <f t="shared" si="110"/>
        <v>0</v>
      </c>
      <c r="U45">
        <f t="shared" si="110"/>
        <v>0</v>
      </c>
      <c r="V45">
        <f t="shared" si="110"/>
        <v>0</v>
      </c>
      <c r="W45">
        <f t="shared" si="110"/>
        <v>0</v>
      </c>
      <c r="X45">
        <f t="shared" si="110"/>
        <v>0</v>
      </c>
      <c r="Y45">
        <f t="shared" si="110"/>
        <v>0</v>
      </c>
      <c r="Z45">
        <f t="shared" si="110"/>
        <v>0</v>
      </c>
      <c r="AA45">
        <f t="shared" si="110"/>
        <v>0</v>
      </c>
      <c r="AB45">
        <f t="shared" si="110"/>
        <v>0</v>
      </c>
      <c r="AC45">
        <f t="shared" si="110"/>
        <v>0</v>
      </c>
      <c r="AI45" s="3"/>
    </row>
    <row r="46" spans="1:114" x14ac:dyDescent="0.25">
      <c r="A46" t="s">
        <v>82</v>
      </c>
      <c r="F46">
        <f>F44-F45</f>
        <v>2.3233215547703182E-12</v>
      </c>
      <c r="G46">
        <f t="shared" ref="G46:AC46" si="111">G44-G45</f>
        <v>2.2393822393822392E-12</v>
      </c>
      <c r="H46">
        <f t="shared" si="111"/>
        <v>2.2553191489361702E-12</v>
      </c>
      <c r="I46">
        <f t="shared" si="111"/>
        <v>2.2985781990521325E-12</v>
      </c>
      <c r="J46">
        <f t="shared" si="111"/>
        <v>2.3796791443850266E-12</v>
      </c>
      <c r="K46">
        <f t="shared" si="111"/>
        <v>2.4846625766871164E-12</v>
      </c>
      <c r="L46">
        <f t="shared" si="111"/>
        <v>2.6618705035971227E-12</v>
      </c>
      <c r="M46">
        <f t="shared" si="111"/>
        <v>2.8913043478260875E-12</v>
      </c>
      <c r="N46">
        <f t="shared" si="111"/>
        <v>2.8963414634146346E-12</v>
      </c>
      <c r="O46">
        <f t="shared" si="111"/>
        <v>2.9115586690017517E-12</v>
      </c>
      <c r="P46">
        <f t="shared" si="111"/>
        <v>2.9593639575971732E-12</v>
      </c>
      <c r="Q46">
        <f t="shared" si="111"/>
        <v>3.0187835420393562E-12</v>
      </c>
      <c r="R46">
        <f t="shared" si="111"/>
        <v>3.0454545454545455E-12</v>
      </c>
      <c r="S46">
        <f t="shared" si="111"/>
        <v>3.1771799628942485E-12</v>
      </c>
      <c r="T46">
        <f t="shared" si="111"/>
        <v>3.255703422053232E-12</v>
      </c>
      <c r="U46">
        <f t="shared" si="111"/>
        <v>3.4001956947162432E-12</v>
      </c>
      <c r="V46">
        <f t="shared" si="111"/>
        <v>3.5678137651821865E-12</v>
      </c>
      <c r="W46">
        <f t="shared" si="111"/>
        <v>3.736842105263158E-12</v>
      </c>
      <c r="X46">
        <f t="shared" si="111"/>
        <v>3.9647577092511016E-12</v>
      </c>
      <c r="Y46">
        <f t="shared" si="111"/>
        <v>4.1763341067285389E-12</v>
      </c>
      <c r="Z46">
        <f t="shared" si="111"/>
        <v>4.4950738916256158E-12</v>
      </c>
      <c r="AA46">
        <f t="shared" si="111"/>
        <v>4.8812664907651717E-12</v>
      </c>
      <c r="AB46">
        <f t="shared" si="111"/>
        <v>5.3214285714285716E-12</v>
      </c>
      <c r="AC46">
        <f t="shared" si="111"/>
        <v>5.7993730407523521E-12</v>
      </c>
      <c r="AI46" s="3"/>
    </row>
    <row r="47" spans="1:114" x14ac:dyDescent="0.25">
      <c r="AI47" s="3"/>
    </row>
    <row r="48" spans="1:114" x14ac:dyDescent="0.25">
      <c r="A48" t="s">
        <v>65</v>
      </c>
      <c r="B48">
        <v>1.27</v>
      </c>
      <c r="AI48" s="3"/>
    </row>
    <row r="49" spans="1:58" x14ac:dyDescent="0.25">
      <c r="A49" t="s">
        <v>66</v>
      </c>
      <c r="B49">
        <v>2.0699999999999998</v>
      </c>
      <c r="AI49" s="3"/>
    </row>
    <row r="50" spans="1:58" x14ac:dyDescent="0.25">
      <c r="A50" t="s">
        <v>67</v>
      </c>
      <c r="B50">
        <v>0.18</v>
      </c>
      <c r="AI50" s="3"/>
    </row>
    <row r="51" spans="1:58" x14ac:dyDescent="0.25">
      <c r="A51" t="s">
        <v>68</v>
      </c>
      <c r="B51">
        <v>0.13</v>
      </c>
      <c r="AI51" s="3"/>
    </row>
    <row r="52" spans="1:58" x14ac:dyDescent="0.25">
      <c r="A52" t="s">
        <v>69</v>
      </c>
      <c r="B52">
        <f>4*3.14*10^(-7)</f>
        <v>1.2559999999999999E-6</v>
      </c>
      <c r="AI52" s="3"/>
    </row>
    <row r="53" spans="1:58" x14ac:dyDescent="0.25">
      <c r="AI53" s="3"/>
    </row>
    <row r="54" spans="1:58" x14ac:dyDescent="0.25">
      <c r="A54" t="s">
        <v>102</v>
      </c>
      <c r="B54">
        <f>B21*B33</f>
        <v>12.293478260869566</v>
      </c>
      <c r="C54">
        <f t="shared" ref="C54:BB54" si="112">C21*C33</f>
        <v>7.8</v>
      </c>
      <c r="D54">
        <f t="shared" si="112"/>
        <v>17.904819277108434</v>
      </c>
      <c r="E54">
        <f t="shared" si="112"/>
        <v>13.478947368421052</v>
      </c>
      <c r="F54">
        <f t="shared" si="112"/>
        <v>10.650413223140495</v>
      </c>
      <c r="G54">
        <f t="shared" si="112"/>
        <v>10.241441441441442</v>
      </c>
      <c r="H54">
        <f t="shared" si="112"/>
        <v>10.285148514851485</v>
      </c>
      <c r="I54">
        <f t="shared" si="112"/>
        <v>10.446153846153845</v>
      </c>
      <c r="J54">
        <f t="shared" si="112"/>
        <v>10.767901234567901</v>
      </c>
      <c r="K54">
        <f t="shared" si="112"/>
        <v>11.180281690140845</v>
      </c>
      <c r="L54">
        <f t="shared" si="112"/>
        <v>11.888524590163936</v>
      </c>
      <c r="M54">
        <f t="shared" si="112"/>
        <v>12.77843137254902</v>
      </c>
      <c r="N54">
        <f t="shared" si="112"/>
        <v>11.794339622641511</v>
      </c>
      <c r="O54">
        <f t="shared" si="112"/>
        <v>10.881818181818183</v>
      </c>
      <c r="P54">
        <f t="shared" si="112"/>
        <v>10.108771929824561</v>
      </c>
      <c r="Q54">
        <f t="shared" si="112"/>
        <v>9.381355932203391</v>
      </c>
      <c r="R54">
        <f t="shared" si="112"/>
        <v>8.5672131147540984</v>
      </c>
      <c r="S54">
        <f t="shared" si="112"/>
        <v>8.0460317460317459</v>
      </c>
      <c r="T54">
        <f t="shared" si="112"/>
        <v>7.3769230769230765</v>
      </c>
      <c r="U54">
        <f t="shared" si="112"/>
        <v>6.8462686567164175</v>
      </c>
      <c r="V54">
        <f t="shared" si="112"/>
        <v>6.3347826086956518</v>
      </c>
      <c r="W54">
        <f t="shared" si="112"/>
        <v>5.8</v>
      </c>
      <c r="X54">
        <f t="shared" si="112"/>
        <v>5.3260273972602734</v>
      </c>
      <c r="Y54">
        <f t="shared" si="112"/>
        <v>4.8</v>
      </c>
      <c r="Z54">
        <f t="shared" si="112"/>
        <v>4.361038961038961</v>
      </c>
      <c r="AA54">
        <f t="shared" si="112"/>
        <v>3.9341772151898731</v>
      </c>
      <c r="AB54">
        <f t="shared" si="112"/>
        <v>3.4950617283950618</v>
      </c>
      <c r="AC54">
        <f t="shared" si="112"/>
        <v>3.0313253012048191</v>
      </c>
      <c r="AD54">
        <f t="shared" si="112"/>
        <v>4.2333333333333325</v>
      </c>
      <c r="AE54">
        <f t="shared" si="112"/>
        <v>5.4179104477611935</v>
      </c>
      <c r="AF54">
        <f t="shared" si="112"/>
        <v>6.7406779661016945</v>
      </c>
      <c r="AG54">
        <f t="shared" si="112"/>
        <v>4.9891891891891893</v>
      </c>
      <c r="AH54">
        <f t="shared" si="112"/>
        <v>7.2153846153846155</v>
      </c>
      <c r="AI54">
        <f t="shared" si="112"/>
        <v>10.057142857142857</v>
      </c>
      <c r="AJ54">
        <f t="shared" si="112"/>
        <v>3.0506849315068489</v>
      </c>
      <c r="AK54">
        <f t="shared" si="112"/>
        <v>3.1301587301587297</v>
      </c>
      <c r="AL54">
        <f t="shared" si="112"/>
        <v>3.1754716981132076</v>
      </c>
      <c r="AM54">
        <f t="shared" si="112"/>
        <v>3.2418604651162788</v>
      </c>
      <c r="AN54">
        <f t="shared" si="112"/>
        <v>3.4</v>
      </c>
      <c r="AO54">
        <f t="shared" si="112"/>
        <v>2.361904761904762</v>
      </c>
      <c r="AP54">
        <f t="shared" si="112"/>
        <v>5.0619834710743801</v>
      </c>
      <c r="AQ54">
        <f t="shared" si="112"/>
        <v>2.8752066115702477</v>
      </c>
      <c r="AR54">
        <f t="shared" si="112"/>
        <v>1.781818181818182</v>
      </c>
      <c r="AS54">
        <f t="shared" si="112"/>
        <v>9.5755725190839698</v>
      </c>
      <c r="AT54">
        <f t="shared" si="112"/>
        <v>10.008510638297873</v>
      </c>
      <c r="AU54">
        <f t="shared" si="112"/>
        <v>10.059602649006623</v>
      </c>
      <c r="AV54">
        <f t="shared" si="112"/>
        <v>9.5869565217391308</v>
      </c>
      <c r="AW54">
        <f t="shared" si="112"/>
        <v>9.0549707602339176</v>
      </c>
      <c r="AX54">
        <f t="shared" si="112"/>
        <v>9.6375690607734796</v>
      </c>
      <c r="AY54">
        <f t="shared" si="112"/>
        <v>9.5947643979057577</v>
      </c>
      <c r="AZ54">
        <f t="shared" si="112"/>
        <v>9.7268656716417912</v>
      </c>
      <c r="BA54">
        <f t="shared" si="112"/>
        <v>9.4284360189573473</v>
      </c>
      <c r="BB54">
        <f t="shared" si="112"/>
        <v>4.7142180094786736</v>
      </c>
    </row>
    <row r="55" spans="1:58" x14ac:dyDescent="0.25">
      <c r="A55" t="s">
        <v>103</v>
      </c>
      <c r="B55">
        <f>B20*B33</f>
        <v>24.46086956521739</v>
      </c>
      <c r="C55">
        <f t="shared" ref="C55:BB55" si="113">C20*C33</f>
        <v>21.67837837837838</v>
      </c>
      <c r="D55">
        <f t="shared" si="113"/>
        <v>26.346987951807229</v>
      </c>
      <c r="E55">
        <f t="shared" si="113"/>
        <v>19.02105263157895</v>
      </c>
      <c r="F55">
        <f t="shared" si="113"/>
        <v>38.025619834710746</v>
      </c>
      <c r="G55">
        <f t="shared" si="113"/>
        <v>37.16936936936937</v>
      </c>
      <c r="H55">
        <f t="shared" si="113"/>
        <v>36.192079207920791</v>
      </c>
      <c r="I55">
        <f t="shared" si="113"/>
        <v>34.784615384615378</v>
      </c>
      <c r="J55">
        <f t="shared" si="113"/>
        <v>33.090123456790124</v>
      </c>
      <c r="K55">
        <f t="shared" si="113"/>
        <v>31.125352112676055</v>
      </c>
      <c r="L55">
        <f t="shared" si="113"/>
        <v>28.918032786885245</v>
      </c>
      <c r="M55">
        <f t="shared" si="113"/>
        <v>26.613725490196078</v>
      </c>
      <c r="N55">
        <f t="shared" si="113"/>
        <v>24.564150943396225</v>
      </c>
      <c r="O55">
        <f t="shared" si="113"/>
        <v>22.581818181818186</v>
      </c>
      <c r="P55">
        <f t="shared" si="113"/>
        <v>20.745614035087719</v>
      </c>
      <c r="Q55">
        <f t="shared" si="113"/>
        <v>18.90169491525424</v>
      </c>
      <c r="R55">
        <f t="shared" si="113"/>
        <v>17.134426229508197</v>
      </c>
      <c r="S55">
        <f t="shared" si="113"/>
        <v>15.387301587301588</v>
      </c>
      <c r="T55">
        <f t="shared" si="113"/>
        <v>13.73076923076923</v>
      </c>
      <c r="U55">
        <f t="shared" si="113"/>
        <v>12.165671641791043</v>
      </c>
      <c r="V55">
        <f t="shared" si="113"/>
        <v>10.647826086956522</v>
      </c>
      <c r="W55">
        <f t="shared" si="113"/>
        <v>9.2309859154929583</v>
      </c>
      <c r="X55">
        <f t="shared" si="113"/>
        <v>7.8780821917808215</v>
      </c>
      <c r="Y55">
        <f t="shared" si="113"/>
        <v>6.6333333333333329</v>
      </c>
      <c r="Z55">
        <f t="shared" si="113"/>
        <v>5.4961038961038957</v>
      </c>
      <c r="AA55">
        <f t="shared" si="113"/>
        <v>4.4658227848101264</v>
      </c>
      <c r="AB55">
        <f t="shared" si="113"/>
        <v>3.541975308641975</v>
      </c>
      <c r="AC55">
        <f t="shared" si="113"/>
        <v>2.7445783132530122</v>
      </c>
      <c r="AD55">
        <f t="shared" si="113"/>
        <v>3.3999999999999995</v>
      </c>
      <c r="AE55">
        <f t="shared" si="113"/>
        <v>3.8910447761194029</v>
      </c>
      <c r="AF55">
        <f t="shared" si="113"/>
        <v>4.3084745762711867</v>
      </c>
      <c r="AG55">
        <f t="shared" si="113"/>
        <v>3.3378378378378382</v>
      </c>
      <c r="AH55">
        <f t="shared" si="113"/>
        <v>3.6076923076923078</v>
      </c>
      <c r="AI55">
        <f t="shared" si="113"/>
        <v>3.6928571428571431</v>
      </c>
      <c r="AJ55">
        <f t="shared" si="113"/>
        <v>2.6780821917808217</v>
      </c>
      <c r="AK55">
        <f t="shared" si="113"/>
        <v>2.5634920634920633</v>
      </c>
      <c r="AL55">
        <f t="shared" si="113"/>
        <v>2.4377358490566037</v>
      </c>
      <c r="AM55">
        <f t="shared" si="113"/>
        <v>2.2930232558139534</v>
      </c>
      <c r="AN55">
        <f t="shared" si="113"/>
        <v>2.1636363636363636</v>
      </c>
      <c r="AO55">
        <f t="shared" si="113"/>
        <v>1.2952380952380951</v>
      </c>
      <c r="AP55">
        <f t="shared" si="113"/>
        <v>22.029752066115702</v>
      </c>
      <c r="AQ55">
        <f t="shared" si="113"/>
        <v>11.136363636363637</v>
      </c>
      <c r="AR55">
        <f t="shared" si="113"/>
        <v>4.9404958677685942</v>
      </c>
      <c r="AS55">
        <f t="shared" si="113"/>
        <v>41.182442748091603</v>
      </c>
      <c r="AT55">
        <f t="shared" si="113"/>
        <v>41.98014184397163</v>
      </c>
      <c r="AU55">
        <f t="shared" si="113"/>
        <v>42.445033112582784</v>
      </c>
      <c r="AV55">
        <f t="shared" si="113"/>
        <v>42.486956521739131</v>
      </c>
      <c r="AW55">
        <f t="shared" si="113"/>
        <v>43.469590643274849</v>
      </c>
      <c r="AX55">
        <f t="shared" si="113"/>
        <v>43.585635359116019</v>
      </c>
      <c r="AY55">
        <f t="shared" si="113"/>
        <v>43.458638743455495</v>
      </c>
      <c r="AZ55">
        <f t="shared" si="113"/>
        <v>42.856716417910448</v>
      </c>
      <c r="BA55">
        <f t="shared" si="113"/>
        <v>44.680568720379149</v>
      </c>
      <c r="BB55">
        <f t="shared" si="113"/>
        <v>26.636492890995264</v>
      </c>
      <c r="BD55" t="s">
        <v>134</v>
      </c>
      <c r="BE55">
        <f>AVERAGE(BE37:BO37,CB37:CU37)</f>
        <v>0.22332986626150092</v>
      </c>
      <c r="BF55">
        <f>BE55*1.2436</f>
        <v>0.27773302168280256</v>
      </c>
    </row>
    <row r="56" spans="1:58" x14ac:dyDescent="0.25">
      <c r="AI56" s="3"/>
      <c r="BD56" t="s">
        <v>135</v>
      </c>
      <c r="BE56">
        <f>STDEVA(BE37:BO37,CB37:CU37)</f>
        <v>9.4767643437427985E-3</v>
      </c>
    </row>
    <row r="57" spans="1:58" x14ac:dyDescent="0.25">
      <c r="AI57" s="3"/>
    </row>
    <row r="58" spans="1:58" x14ac:dyDescent="0.25">
      <c r="A58" s="8" t="s">
        <v>75</v>
      </c>
      <c r="B58" s="9"/>
      <c r="C58" s="9"/>
      <c r="D58" s="9"/>
      <c r="E58" s="10"/>
      <c r="AI58" s="3"/>
    </row>
    <row r="59" spans="1:58" x14ac:dyDescent="0.25">
      <c r="A59" s="1" t="s">
        <v>73</v>
      </c>
      <c r="B59" s="1">
        <v>500</v>
      </c>
      <c r="C59" s="1">
        <v>1</v>
      </c>
      <c r="D59" s="1">
        <v>0.05</v>
      </c>
      <c r="E59" s="1">
        <v>1E-3</v>
      </c>
      <c r="AI59" s="3"/>
      <c r="BD59" t="s">
        <v>137</v>
      </c>
      <c r="BE59">
        <f>AVERAGE(BP37:BY37)</f>
        <v>0.24395372008637267</v>
      </c>
      <c r="BF59">
        <f>BE59/BE62</f>
        <v>1.0160396327285934</v>
      </c>
    </row>
    <row r="60" spans="1:58" x14ac:dyDescent="0.25">
      <c r="A60" s="1" t="s">
        <v>74</v>
      </c>
      <c r="B60" s="1">
        <v>20.100000000000001</v>
      </c>
      <c r="C60" s="1">
        <v>21.96</v>
      </c>
      <c r="D60" s="1">
        <v>26.38</v>
      </c>
      <c r="E60" s="1">
        <v>257.7</v>
      </c>
      <c r="AI60" s="3"/>
      <c r="BD60" t="s">
        <v>135</v>
      </c>
      <c r="BE60">
        <f>STDEVA(BP37:BY37)</f>
        <v>7.0873004921463778E-3</v>
      </c>
    </row>
    <row r="61" spans="1:58" x14ac:dyDescent="0.25">
      <c r="A61" s="1" t="s">
        <v>29</v>
      </c>
      <c r="B61" s="1">
        <v>6.7</v>
      </c>
      <c r="C61" s="1">
        <v>6.1</v>
      </c>
      <c r="D61" s="1">
        <v>6.1</v>
      </c>
      <c r="E61" s="1">
        <v>6.1</v>
      </c>
      <c r="AI61" s="3"/>
    </row>
    <row r="62" spans="1:58" x14ac:dyDescent="0.25">
      <c r="BD62" t="s">
        <v>138</v>
      </c>
      <c r="BE62">
        <f>B98</f>
        <v>0.24010256315615403</v>
      </c>
      <c r="BF62">
        <f>BE62/(BE55)</f>
        <v>1.0751027937974658</v>
      </c>
    </row>
    <row r="63" spans="1:58" x14ac:dyDescent="0.25">
      <c r="BD63" t="s">
        <v>135</v>
      </c>
      <c r="BE63">
        <f>B99</f>
        <v>1.1823804013285633E-2</v>
      </c>
    </row>
    <row r="64" spans="1:58" x14ac:dyDescent="0.25">
      <c r="AD64">
        <f>AD37/AE37</f>
        <v>1.1264228685191733</v>
      </c>
      <c r="AE64">
        <v>1.1373</v>
      </c>
    </row>
    <row r="65" spans="1:103" x14ac:dyDescent="0.25">
      <c r="AD65">
        <f>AC37/AD37</f>
        <v>1.1839760584526262</v>
      </c>
      <c r="AE65">
        <v>1.2455000000000001</v>
      </c>
    </row>
    <row r="78" spans="1:103" x14ac:dyDescent="0.25">
      <c r="A78" t="s">
        <v>136</v>
      </c>
      <c r="B78">
        <f>4*B22*B23-4*B22*B26-(2*B22+1)^2*(B25+B26)</f>
        <v>6877</v>
      </c>
      <c r="C78">
        <f t="shared" ref="C78:BN78" si="114">4*C22*C23-4*C22*C26-(2*C22+1)^2*(C25+C26)</f>
        <v>8558</v>
      </c>
      <c r="D78">
        <f t="shared" si="114"/>
        <v>5996</v>
      </c>
      <c r="E78">
        <f t="shared" si="114"/>
        <v>5912</v>
      </c>
      <c r="F78">
        <f t="shared" si="114"/>
        <v>11698</v>
      </c>
      <c r="G78">
        <f t="shared" si="114"/>
        <v>10698</v>
      </c>
      <c r="H78">
        <f t="shared" si="114"/>
        <v>9698</v>
      </c>
      <c r="I78">
        <f t="shared" si="114"/>
        <v>8698</v>
      </c>
      <c r="J78">
        <f t="shared" si="114"/>
        <v>7698</v>
      </c>
      <c r="K78">
        <f t="shared" si="114"/>
        <v>6698</v>
      </c>
      <c r="L78">
        <f t="shared" si="114"/>
        <v>5698</v>
      </c>
      <c r="M78">
        <f t="shared" si="114"/>
        <v>4698</v>
      </c>
      <c r="N78">
        <f t="shared" si="114"/>
        <v>4702</v>
      </c>
      <c r="O78">
        <f t="shared" si="114"/>
        <v>4690</v>
      </c>
      <c r="P78">
        <f t="shared" si="114"/>
        <v>4662</v>
      </c>
      <c r="Q78">
        <f t="shared" si="114"/>
        <v>4618</v>
      </c>
      <c r="R78">
        <f t="shared" si="114"/>
        <v>4558</v>
      </c>
      <c r="S78">
        <f t="shared" si="114"/>
        <v>4482</v>
      </c>
      <c r="T78">
        <f t="shared" si="114"/>
        <v>4390</v>
      </c>
      <c r="U78">
        <f t="shared" si="114"/>
        <v>4282</v>
      </c>
      <c r="V78">
        <f t="shared" si="114"/>
        <v>4158</v>
      </c>
      <c r="W78">
        <f t="shared" si="114"/>
        <v>4018</v>
      </c>
      <c r="X78">
        <f t="shared" si="114"/>
        <v>3862</v>
      </c>
      <c r="Y78">
        <f t="shared" si="114"/>
        <v>3690</v>
      </c>
      <c r="Z78">
        <f t="shared" si="114"/>
        <v>3502</v>
      </c>
      <c r="AA78">
        <f t="shared" si="114"/>
        <v>3298</v>
      </c>
      <c r="AB78">
        <f t="shared" si="114"/>
        <v>3078</v>
      </c>
      <c r="AC78">
        <f t="shared" si="114"/>
        <v>2842</v>
      </c>
      <c r="AD78">
        <f t="shared" si="114"/>
        <v>2481</v>
      </c>
      <c r="AE78">
        <f t="shared" si="114"/>
        <v>2120</v>
      </c>
      <c r="AF78">
        <f t="shared" si="114"/>
        <v>1759</v>
      </c>
      <c r="AG78">
        <f t="shared" si="114"/>
        <v>2445</v>
      </c>
      <c r="AH78">
        <f t="shared" si="114"/>
        <v>2048</v>
      </c>
      <c r="AI78">
        <f t="shared" si="114"/>
        <v>1651</v>
      </c>
      <c r="AJ78">
        <f t="shared" si="114"/>
        <v>2482</v>
      </c>
      <c r="AK78">
        <f t="shared" si="114"/>
        <v>2122</v>
      </c>
      <c r="AL78">
        <f t="shared" si="114"/>
        <v>1762</v>
      </c>
      <c r="AM78">
        <f t="shared" si="114"/>
        <v>1402</v>
      </c>
      <c r="AN78">
        <f t="shared" si="114"/>
        <v>1042</v>
      </c>
      <c r="AO78">
        <f t="shared" si="114"/>
        <v>1869</v>
      </c>
      <c r="AP78">
        <f t="shared" si="114"/>
        <v>5849</v>
      </c>
      <c r="AQ78">
        <f t="shared" si="114"/>
        <v>2924.5</v>
      </c>
      <c r="AR78">
        <f t="shared" si="114"/>
        <v>1462.25</v>
      </c>
      <c r="AS78">
        <f t="shared" si="114"/>
        <v>12698</v>
      </c>
      <c r="AT78">
        <f t="shared" si="114"/>
        <v>13698</v>
      </c>
      <c r="AU78">
        <f t="shared" si="114"/>
        <v>14698</v>
      </c>
      <c r="AV78">
        <f t="shared" si="114"/>
        <v>15698</v>
      </c>
      <c r="AW78">
        <f t="shared" si="114"/>
        <v>16698</v>
      </c>
      <c r="AX78">
        <f t="shared" si="114"/>
        <v>17698</v>
      </c>
      <c r="AY78">
        <f t="shared" si="114"/>
        <v>18698</v>
      </c>
      <c r="AZ78">
        <f t="shared" si="114"/>
        <v>19698</v>
      </c>
      <c r="BA78">
        <f t="shared" si="114"/>
        <v>20698</v>
      </c>
      <c r="BB78">
        <f t="shared" si="114"/>
        <v>10349</v>
      </c>
      <c r="BC78">
        <f t="shared" si="114"/>
        <v>5174.5</v>
      </c>
      <c r="BD78">
        <f t="shared" si="114"/>
        <v>2587.25</v>
      </c>
      <c r="BE78">
        <f t="shared" si="114"/>
        <v>1293.625</v>
      </c>
      <c r="BF78">
        <f t="shared" si="114"/>
        <v>18097</v>
      </c>
      <c r="BG78">
        <f t="shared" si="114"/>
        <v>17097</v>
      </c>
      <c r="BH78">
        <f t="shared" si="114"/>
        <v>16097</v>
      </c>
      <c r="BI78">
        <f t="shared" si="114"/>
        <v>15097</v>
      </c>
      <c r="BJ78">
        <f t="shared" si="114"/>
        <v>14097</v>
      </c>
      <c r="BK78">
        <f t="shared" si="114"/>
        <v>13097</v>
      </c>
      <c r="BL78">
        <f t="shared" si="114"/>
        <v>12097</v>
      </c>
      <c r="BM78">
        <f t="shared" si="114"/>
        <v>11097</v>
      </c>
      <c r="BN78">
        <f t="shared" si="114"/>
        <v>10097</v>
      </c>
      <c r="BO78">
        <f t="shared" ref="BO78:CY78" si="115">4*BO22*BO23-4*BO22*BO26-(2*BO22+1)^2*(BO25+BO26)</f>
        <v>9097</v>
      </c>
      <c r="BP78">
        <f t="shared" si="115"/>
        <v>17997</v>
      </c>
      <c r="BQ78">
        <f t="shared" si="115"/>
        <v>16997</v>
      </c>
      <c r="BR78">
        <f t="shared" si="115"/>
        <v>15997</v>
      </c>
      <c r="BS78">
        <f t="shared" si="115"/>
        <v>14997</v>
      </c>
      <c r="BT78">
        <f t="shared" si="115"/>
        <v>13997</v>
      </c>
      <c r="BU78">
        <f t="shared" si="115"/>
        <v>12997</v>
      </c>
      <c r="BV78">
        <f t="shared" si="115"/>
        <v>11997</v>
      </c>
      <c r="BW78">
        <f t="shared" si="115"/>
        <v>10997</v>
      </c>
      <c r="BX78">
        <f t="shared" si="115"/>
        <v>9997</v>
      </c>
      <c r="BY78">
        <f t="shared" si="115"/>
        <v>8997</v>
      </c>
      <c r="BZ78">
        <f t="shared" si="115"/>
        <v>16895</v>
      </c>
      <c r="CA78">
        <f t="shared" si="115"/>
        <v>24698</v>
      </c>
      <c r="CB78">
        <f t="shared" si="115"/>
        <v>8097</v>
      </c>
      <c r="CC78">
        <f t="shared" si="115"/>
        <v>7097</v>
      </c>
      <c r="CD78">
        <f t="shared" si="115"/>
        <v>7101</v>
      </c>
      <c r="CE78">
        <f t="shared" si="115"/>
        <v>7081</v>
      </c>
      <c r="CF78">
        <f t="shared" si="115"/>
        <v>7037</v>
      </c>
      <c r="CG78">
        <f t="shared" si="115"/>
        <v>6969</v>
      </c>
      <c r="CH78">
        <f t="shared" si="115"/>
        <v>6877</v>
      </c>
      <c r="CI78">
        <f t="shared" si="115"/>
        <v>6761</v>
      </c>
      <c r="CJ78">
        <f t="shared" si="115"/>
        <v>6621</v>
      </c>
      <c r="CK78">
        <f t="shared" si="115"/>
        <v>6457</v>
      </c>
      <c r="CL78">
        <f t="shared" si="115"/>
        <v>6269</v>
      </c>
      <c r="CM78">
        <f t="shared" si="115"/>
        <v>6057</v>
      </c>
      <c r="CN78">
        <f t="shared" si="115"/>
        <v>5821</v>
      </c>
      <c r="CO78">
        <f t="shared" si="115"/>
        <v>5261</v>
      </c>
      <c r="CP78">
        <f t="shared" si="115"/>
        <v>4701</v>
      </c>
      <c r="CQ78">
        <f t="shared" si="115"/>
        <v>4141</v>
      </c>
      <c r="CR78">
        <f t="shared" si="115"/>
        <v>3581</v>
      </c>
      <c r="CS78">
        <f t="shared" si="115"/>
        <v>3021</v>
      </c>
      <c r="CT78">
        <f t="shared" si="115"/>
        <v>2461</v>
      </c>
      <c r="CU78">
        <f t="shared" si="115"/>
        <v>2441</v>
      </c>
      <c r="CV78">
        <f t="shared" si="115"/>
        <v>6838</v>
      </c>
      <c r="CW78">
        <f t="shared" si="115"/>
        <v>5078</v>
      </c>
      <c r="CX78">
        <f t="shared" si="115"/>
        <v>4646.32</v>
      </c>
      <c r="CY78">
        <f t="shared" si="115"/>
        <v>6028.7200000000012</v>
      </c>
    </row>
    <row r="95" spans="1:103" x14ac:dyDescent="0.25">
      <c r="A95" t="s">
        <v>116</v>
      </c>
      <c r="B95">
        <f>B98*(B25+B26)*B22*(B33^(-0.8))</f>
        <v>20.837034639321345</v>
      </c>
      <c r="C95">
        <f t="shared" ref="C95:BN95" si="116">C98*(C25+C26)*C22*(C33^(-0.8))</f>
        <v>22.174992673863965</v>
      </c>
      <c r="D95">
        <f t="shared" si="116"/>
        <v>20.396548247618853</v>
      </c>
      <c r="E95">
        <f t="shared" si="116"/>
        <v>22.118410191938146</v>
      </c>
      <c r="F95">
        <f t="shared" si="116"/>
        <v>24.742195426293215</v>
      </c>
      <c r="G95">
        <f t="shared" si="116"/>
        <v>23.092360015125902</v>
      </c>
      <c r="H95">
        <f t="shared" si="116"/>
        <v>21.412483219453037</v>
      </c>
      <c r="I95">
        <f t="shared" si="116"/>
        <v>19.698948756589775</v>
      </c>
      <c r="J95">
        <f t="shared" si="116"/>
        <v>17.947251622074042</v>
      </c>
      <c r="K95">
        <f t="shared" si="116"/>
        <v>16.151639606374694</v>
      </c>
      <c r="L95">
        <f t="shared" si="116"/>
        <v>14.304536973720207</v>
      </c>
      <c r="M95">
        <f t="shared" si="116"/>
        <v>12.395557876665245</v>
      </c>
      <c r="N95">
        <f t="shared" si="116"/>
        <v>12.687628184196473</v>
      </c>
      <c r="O95">
        <f t="shared" si="116"/>
        <v>12.968052753707836</v>
      </c>
      <c r="P95">
        <f t="shared" si="116"/>
        <v>13.236543549207996</v>
      </c>
      <c r="Q95">
        <f t="shared" si="116"/>
        <v>13.492754256295635</v>
      </c>
      <c r="R95">
        <f t="shared" si="116"/>
        <v>13.73627478471184</v>
      </c>
      <c r="S95">
        <f t="shared" si="116"/>
        <v>13.966624375965385</v>
      </c>
      <c r="T95">
        <f t="shared" si="116"/>
        <v>14.183243104744637</v>
      </c>
      <c r="U95">
        <f t="shared" si="116"/>
        <v>14.385481524494216</v>
      </c>
      <c r="V95">
        <f t="shared" si="116"/>
        <v>14.5725881858843</v>
      </c>
      <c r="W95">
        <f t="shared" si="116"/>
        <v>14.743694780181833</v>
      </c>
      <c r="X95">
        <f t="shared" si="116"/>
        <v>14.89779879036665</v>
      </c>
      <c r="Y95">
        <f t="shared" si="116"/>
        <v>15.033743909387232</v>
      </c>
      <c r="Z95">
        <f t="shared" si="116"/>
        <v>15.150199416058683</v>
      </c>
      <c r="AA95">
        <f t="shared" si="116"/>
        <v>15.245641893113907</v>
      </c>
      <c r="AB95">
        <f t="shared" si="116"/>
        <v>15.318347814896589</v>
      </c>
      <c r="AC95">
        <f t="shared" si="116"/>
        <v>15.366417837958343</v>
      </c>
      <c r="AD95">
        <f t="shared" si="116"/>
        <v>15.611964828979048</v>
      </c>
      <c r="AE95">
        <f t="shared" si="116"/>
        <v>15.231686320052699</v>
      </c>
      <c r="AF95">
        <f t="shared" si="116"/>
        <v>14.45652241745961</v>
      </c>
      <c r="AG95">
        <f t="shared" si="116"/>
        <v>14.968120054858177</v>
      </c>
      <c r="AH95">
        <f t="shared" si="116"/>
        <v>14.183243104744637</v>
      </c>
      <c r="AI95">
        <f t="shared" si="116"/>
        <v>13.103810093889589</v>
      </c>
      <c r="AJ95">
        <f t="shared" si="116"/>
        <v>13.866550971005969</v>
      </c>
      <c r="AK95">
        <f t="shared" si="116"/>
        <v>12.32487728542953</v>
      </c>
      <c r="AL95">
        <f t="shared" si="116"/>
        <v>10.733240481471098</v>
      </c>
      <c r="AM95">
        <f t="shared" si="116"/>
        <v>9.0799807699438784</v>
      </c>
      <c r="AN95">
        <f t="shared" si="116"/>
        <v>7.3471907654475324</v>
      </c>
      <c r="AO95">
        <f t="shared" si="116"/>
        <v>16.285336777414521</v>
      </c>
      <c r="AP95">
        <f t="shared" si="116"/>
        <v>12.371097713146607</v>
      </c>
      <c r="AQ95">
        <f t="shared" si="116"/>
        <v>6.1855488565733037</v>
      </c>
      <c r="AR95">
        <f t="shared" si="116"/>
        <v>3.0927744282866518</v>
      </c>
      <c r="AS95">
        <f t="shared" si="116"/>
        <v>26.364951279514521</v>
      </c>
      <c r="AT95">
        <f t="shared" si="116"/>
        <v>27.963094264896501</v>
      </c>
      <c r="AU95">
        <f t="shared" si="116"/>
        <v>29.538707914560181</v>
      </c>
      <c r="AV95">
        <f t="shared" si="116"/>
        <v>31.093573516283588</v>
      </c>
      <c r="AW95">
        <f t="shared" si="116"/>
        <v>32.629229976778888</v>
      </c>
      <c r="AX95">
        <f t="shared" si="116"/>
        <v>34.147019022693634</v>
      </c>
      <c r="AY95">
        <f t="shared" si="116"/>
        <v>35.648119942512665</v>
      </c>
      <c r="AZ95">
        <f t="shared" si="116"/>
        <v>37.133576710422311</v>
      </c>
      <c r="BA95">
        <f t="shared" si="116"/>
        <v>38.604319458414032</v>
      </c>
      <c r="BB95">
        <f t="shared" si="116"/>
        <v>19.302159729207016</v>
      </c>
      <c r="BC95">
        <f t="shared" si="116"/>
        <v>9.6510798646035081</v>
      </c>
      <c r="BD95">
        <f t="shared" si="116"/>
        <v>4.825539932301754</v>
      </c>
      <c r="BE95">
        <f t="shared" si="116"/>
        <v>2.412769966150877</v>
      </c>
      <c r="BF95">
        <f t="shared" si="116"/>
        <v>38.218448866908666</v>
      </c>
      <c r="BG95">
        <f t="shared" si="116"/>
        <v>36.574498901346985</v>
      </c>
      <c r="BH95">
        <f t="shared" si="116"/>
        <v>34.911856877071493</v>
      </c>
      <c r="BI95">
        <f t="shared" si="116"/>
        <v>33.229169994319221</v>
      </c>
      <c r="BJ95">
        <f t="shared" si="116"/>
        <v>31.524894320399117</v>
      </c>
      <c r="BK95">
        <f t="shared" si="116"/>
        <v>29.797252784955262</v>
      </c>
      <c r="BL95">
        <f t="shared" si="116"/>
        <v>28.04418015515267</v>
      </c>
      <c r="BM95">
        <f t="shared" si="116"/>
        <v>26.263249590823108</v>
      </c>
      <c r="BN95">
        <f t="shared" si="116"/>
        <v>24.451572474650067</v>
      </c>
      <c r="BO95">
        <f t="shared" ref="BO95:CY95" si="117">BO98*(BO25+BO26)*BO22*(BO33^(-0.8))</f>
        <v>22.605658317618957</v>
      </c>
      <c r="BP95">
        <f t="shared" si="117"/>
        <v>37.642896990656666</v>
      </c>
      <c r="BQ95">
        <f t="shared" si="117"/>
        <v>36.014950163179662</v>
      </c>
      <c r="BR95">
        <f t="shared" si="117"/>
        <v>34.368387340854497</v>
      </c>
      <c r="BS95">
        <f t="shared" si="117"/>
        <v>32.701853044656076</v>
      </c>
      <c r="BT95">
        <f t="shared" si="117"/>
        <v>31.013799044042841</v>
      </c>
      <c r="BU95">
        <f t="shared" si="117"/>
        <v>29.302441702849841</v>
      </c>
      <c r="BV95">
        <f t="shared" si="117"/>
        <v>27.565706005194841</v>
      </c>
      <c r="BW95">
        <f t="shared" si="117"/>
        <v>25.801150692445756</v>
      </c>
      <c r="BX95">
        <f t="shared" si="117"/>
        <v>24.005865920065997</v>
      </c>
      <c r="BY95">
        <f t="shared" si="117"/>
        <v>22.176329730677725</v>
      </c>
      <c r="BZ95">
        <f t="shared" si="117"/>
        <v>41.05451612427327</v>
      </c>
      <c r="CA95">
        <f t="shared" si="117"/>
        <v>44.355646515644686</v>
      </c>
      <c r="CB95">
        <f t="shared" si="117"/>
        <v>20.721212936796373</v>
      </c>
      <c r="CC95">
        <f t="shared" si="117"/>
        <v>18.792837207910072</v>
      </c>
      <c r="CD95">
        <f t="shared" si="117"/>
        <v>19.236357971009671</v>
      </c>
      <c r="CE95">
        <f t="shared" si="117"/>
        <v>19.662942932190795</v>
      </c>
      <c r="CF95">
        <f t="shared" si="117"/>
        <v>20.072224864557661</v>
      </c>
      <c r="CG95">
        <f t="shared" si="117"/>
        <v>20.463762323468536</v>
      </c>
      <c r="CH95">
        <f t="shared" si="117"/>
        <v>20.837034639321345</v>
      </c>
      <c r="CI95">
        <f t="shared" si="117"/>
        <v>21.191435887415263</v>
      </c>
      <c r="CJ95">
        <f t="shared" si="117"/>
        <v>21.526267943341139</v>
      </c>
      <c r="CK95">
        <f t="shared" si="117"/>
        <v>21.840732883842097</v>
      </c>
      <c r="CL95">
        <f t="shared" si="117"/>
        <v>22.133925292219661</v>
      </c>
      <c r="CM95">
        <f t="shared" si="117"/>
        <v>22.404825602493695</v>
      </c>
      <c r="CN95">
        <f t="shared" si="117"/>
        <v>22.652296718949216</v>
      </c>
      <c r="CO95">
        <f t="shared" si="117"/>
        <v>20.989306701412023</v>
      </c>
      <c r="CP95">
        <f t="shared" si="117"/>
        <v>19.292659577881846</v>
      </c>
      <c r="CQ95">
        <f t="shared" si="117"/>
        <v>17.557799414772383</v>
      </c>
      <c r="CR95">
        <f t="shared" si="117"/>
        <v>15.778892799976234</v>
      </c>
      <c r="CS95">
        <f t="shared" si="117"/>
        <v>13.948229802359846</v>
      </c>
      <c r="CT95">
        <f t="shared" si="117"/>
        <v>12.055191040220116</v>
      </c>
      <c r="CU95">
        <f t="shared" si="117"/>
        <v>12.483050278434318</v>
      </c>
      <c r="CV95">
        <f t="shared" si="117"/>
        <v>39.371518791648199</v>
      </c>
      <c r="CW95">
        <f t="shared" si="117"/>
        <v>22.503027334038908</v>
      </c>
      <c r="CX95">
        <f t="shared" si="117"/>
        <v>13.340522911955439</v>
      </c>
      <c r="CY95">
        <f t="shared" si="117"/>
        <v>16.220927073645864</v>
      </c>
    </row>
    <row r="97" spans="1:103" x14ac:dyDescent="0.25">
      <c r="A97" t="s">
        <v>112</v>
      </c>
      <c r="B97" t="s">
        <v>114</v>
      </c>
    </row>
    <row r="98" spans="1:103" x14ac:dyDescent="0.25">
      <c r="A98" t="s">
        <v>113</v>
      </c>
      <c r="B98">
        <f>AVERAGE((Sheet1!$F$37:$AC$37,Sheet1!$AS$37:$BE$37,Sheet1!$AJ$37:$AN$37))</f>
        <v>0.24010256315615403</v>
      </c>
      <c r="C98">
        <f>AVERAGE((Sheet1!$F$37:$AC$37,Sheet1!$AS$37:$BE$37,Sheet1!$AJ$37:$AN$37))</f>
        <v>0.24010256315615403</v>
      </c>
      <c r="D98">
        <f>AVERAGE((Sheet1!$F$37:$AC$37,Sheet1!$AS$37:$BE$37,Sheet1!$AJ$37:$AN$37))</f>
        <v>0.24010256315615403</v>
      </c>
      <c r="E98">
        <f>AVERAGE((Sheet1!$F$37:$AC$37,Sheet1!$AS$37:$BE$37,Sheet1!$AJ$37:$AN$37))</f>
        <v>0.24010256315615403</v>
      </c>
      <c r="F98">
        <f>AVERAGE((Sheet1!$F$37:$AC$37,Sheet1!$AS$37:$BE$37,Sheet1!$AJ$37:$AN$37))</f>
        <v>0.24010256315615403</v>
      </c>
      <c r="G98">
        <f>AVERAGE((Sheet1!$F$37:$AC$37,Sheet1!$AS$37:$BE$37,Sheet1!$AJ$37:$AN$37))</f>
        <v>0.24010256315615403</v>
      </c>
      <c r="H98">
        <f>AVERAGE((Sheet1!$F$37:$AC$37,Sheet1!$AS$37:$BE$37,Sheet1!$AJ$37:$AN$37))</f>
        <v>0.24010256315615403</v>
      </c>
      <c r="I98">
        <f>AVERAGE((Sheet1!$F$37:$AC$37,Sheet1!$AS$37:$BE$37,Sheet1!$AJ$37:$AN$37))</f>
        <v>0.24010256315615403</v>
      </c>
      <c r="J98">
        <f>AVERAGE((Sheet1!$F$37:$AC$37,Sheet1!$AS$37:$BE$37,Sheet1!$AJ$37:$AN$37))</f>
        <v>0.24010256315615403</v>
      </c>
      <c r="K98">
        <f>AVERAGE((Sheet1!$F$37:$AC$37,Sheet1!$AS$37:$BE$37,Sheet1!$AJ$37:$AN$37))</f>
        <v>0.24010256315615403</v>
      </c>
      <c r="L98">
        <f>AVERAGE((Sheet1!$F$37:$AC$37,Sheet1!$AS$37:$BE$37,Sheet1!$AJ$37:$AN$37))</f>
        <v>0.24010256315615403</v>
      </c>
      <c r="M98">
        <f>AVERAGE((Sheet1!$F$37:$AC$37,Sheet1!$AS$37:$BE$37,Sheet1!$AJ$37:$AN$37))</f>
        <v>0.24010256315615403</v>
      </c>
      <c r="N98">
        <f>AVERAGE((Sheet1!$F$37:$AC$37,Sheet1!$AS$37:$BE$37,Sheet1!$AJ$37:$AN$37))</f>
        <v>0.24010256315615403</v>
      </c>
      <c r="O98">
        <f>AVERAGE((Sheet1!$F$37:$AC$37,Sheet1!$AS$37:$BE$37,Sheet1!$AJ$37:$AN$37))</f>
        <v>0.24010256315615403</v>
      </c>
      <c r="P98">
        <f>AVERAGE((Sheet1!$F$37:$AC$37,Sheet1!$AS$37:$BE$37,Sheet1!$AJ$37:$AN$37))</f>
        <v>0.24010256315615403</v>
      </c>
      <c r="Q98">
        <f>AVERAGE((Sheet1!$F$37:$AC$37,Sheet1!$AS$37:$BE$37,Sheet1!$AJ$37:$AN$37))</f>
        <v>0.24010256315615403</v>
      </c>
      <c r="R98">
        <f>AVERAGE((Sheet1!$F$37:$AC$37,Sheet1!$AS$37:$BE$37,Sheet1!$AJ$37:$AN$37))</f>
        <v>0.24010256315615403</v>
      </c>
      <c r="S98">
        <f>AVERAGE((Sheet1!$F$37:$AC$37,Sheet1!$AS$37:$BE$37,Sheet1!$AJ$37:$AN$37))</f>
        <v>0.24010256315615403</v>
      </c>
      <c r="T98">
        <f>AVERAGE((Sheet1!$F$37:$AC$37,Sheet1!$AS$37:$BE$37,Sheet1!$AJ$37:$AN$37))</f>
        <v>0.24010256315615403</v>
      </c>
      <c r="U98">
        <f>AVERAGE((Sheet1!$F$37:$AC$37,Sheet1!$AS$37:$BE$37,Sheet1!$AJ$37:$AN$37))</f>
        <v>0.24010256315615403</v>
      </c>
      <c r="V98">
        <f>AVERAGE((Sheet1!$F$37:$AC$37,Sheet1!$AS$37:$BE$37,Sheet1!$AJ$37:$AN$37))</f>
        <v>0.24010256315615403</v>
      </c>
      <c r="W98">
        <f>AVERAGE((Sheet1!$F$37:$AC$37,Sheet1!$AS$37:$BE$37,Sheet1!$AJ$37:$AN$37))</f>
        <v>0.24010256315615403</v>
      </c>
      <c r="X98">
        <f>AVERAGE((Sheet1!$F$37:$AC$37,Sheet1!$AS$37:$BE$37,Sheet1!$AJ$37:$AN$37))</f>
        <v>0.24010256315615403</v>
      </c>
      <c r="Y98">
        <f>AVERAGE((Sheet1!$F$37:$AC$37,Sheet1!$AS$37:$BE$37,Sheet1!$AJ$37:$AN$37))</f>
        <v>0.24010256315615403</v>
      </c>
      <c r="Z98">
        <f>AVERAGE((Sheet1!$F$37:$AC$37,Sheet1!$AS$37:$BE$37,Sheet1!$AJ$37:$AN$37))</f>
        <v>0.24010256315615403</v>
      </c>
      <c r="AA98">
        <f>AVERAGE((Sheet1!$F$37:$AC$37,Sheet1!$AS$37:$BE$37,Sheet1!$AJ$37:$AN$37))</f>
        <v>0.24010256315615403</v>
      </c>
      <c r="AB98">
        <f>AVERAGE((Sheet1!$F$37:$AC$37,Sheet1!$AS$37:$BE$37,Sheet1!$AJ$37:$AN$37))</f>
        <v>0.24010256315615403</v>
      </c>
      <c r="AC98">
        <f>AVERAGE((Sheet1!$F$37:$AC$37,Sheet1!$AS$37:$BE$37,Sheet1!$AJ$37:$AN$37))</f>
        <v>0.24010256315615403</v>
      </c>
      <c r="AD98">
        <f>AVERAGE((Sheet1!$F$37:$AC$37,Sheet1!$AS$37:$BE$37,Sheet1!$AJ$37:$AN$37))</f>
        <v>0.24010256315615403</v>
      </c>
      <c r="AE98">
        <f>AVERAGE((Sheet1!$F$37:$AC$37,Sheet1!$AS$37:$BE$37,Sheet1!$AJ$37:$AN$37))</f>
        <v>0.24010256315615403</v>
      </c>
      <c r="AF98">
        <f>AVERAGE((Sheet1!$F$37:$AC$37,Sheet1!$AS$37:$BE$37,Sheet1!$AJ$37:$AN$37))</f>
        <v>0.24010256315615403</v>
      </c>
      <c r="AG98">
        <f>AVERAGE((Sheet1!$F$37:$AC$37,Sheet1!$AS$37:$BE$37,Sheet1!$AJ$37:$AN$37))</f>
        <v>0.24010256315615403</v>
      </c>
      <c r="AH98">
        <f>AVERAGE((Sheet1!$F$37:$AC$37,Sheet1!$AS$37:$BE$37,Sheet1!$AJ$37:$AN$37))</f>
        <v>0.24010256315615403</v>
      </c>
      <c r="AI98">
        <f>AVERAGE((Sheet1!$F$37:$AC$37,Sheet1!$AS$37:$BE$37,Sheet1!$AJ$37:$AN$37))</f>
        <v>0.24010256315615403</v>
      </c>
      <c r="AJ98">
        <f>AVERAGE((Sheet1!$F$37:$AC$37,Sheet1!$AS$37:$BE$37,Sheet1!$AJ$37:$AN$37))</f>
        <v>0.24010256315615403</v>
      </c>
      <c r="AK98">
        <f>AVERAGE((Sheet1!$F$37:$AC$37,Sheet1!$AS$37:$BE$37,Sheet1!$AJ$37:$AN$37))</f>
        <v>0.24010256315615403</v>
      </c>
      <c r="AL98">
        <f>AVERAGE((Sheet1!$F$37:$AC$37,Sheet1!$AS$37:$BE$37,Sheet1!$AJ$37:$AN$37))</f>
        <v>0.24010256315615403</v>
      </c>
      <c r="AM98">
        <f>AVERAGE((Sheet1!$F$37:$AC$37,Sheet1!$AS$37:$BE$37,Sheet1!$AJ$37:$AN$37))</f>
        <v>0.24010256315615403</v>
      </c>
      <c r="AN98">
        <f>AVERAGE((Sheet1!$F$37:$AC$37,Sheet1!$AS$37:$BE$37,Sheet1!$AJ$37:$AN$37))</f>
        <v>0.24010256315615403</v>
      </c>
      <c r="AO98">
        <f>AVERAGE((Sheet1!$F$37:$AC$37,Sheet1!$AS$37:$BE$37,Sheet1!$AJ$37:$AN$37))</f>
        <v>0.24010256315615403</v>
      </c>
      <c r="AP98">
        <f>AVERAGE((Sheet1!$F$37:$AC$37,Sheet1!$AS$37:$BE$37,Sheet1!$AJ$37:$AN$37))</f>
        <v>0.24010256315615403</v>
      </c>
      <c r="AQ98">
        <f>AVERAGE((Sheet1!$F$37:$AC$37,Sheet1!$AS$37:$BE$37,Sheet1!$AJ$37:$AN$37))</f>
        <v>0.24010256315615403</v>
      </c>
      <c r="AR98">
        <f>AVERAGE((Sheet1!$F$37:$AC$37,Sheet1!$AS$37:$BE$37,Sheet1!$AJ$37:$AN$37))</f>
        <v>0.24010256315615403</v>
      </c>
      <c r="AS98">
        <f>AVERAGE((Sheet1!$F$37:$AC$37,Sheet1!$AS$37:$BE$37,Sheet1!$AJ$37:$AN$37))</f>
        <v>0.24010256315615403</v>
      </c>
      <c r="AT98">
        <f>AVERAGE((Sheet1!$F$37:$AC$37,Sheet1!$AS$37:$BE$37,Sheet1!$AJ$37:$AN$37))</f>
        <v>0.24010256315615403</v>
      </c>
      <c r="AU98">
        <f>AVERAGE((Sheet1!$F$37:$AC$37,Sheet1!$AS$37:$BE$37,Sheet1!$AJ$37:$AN$37))</f>
        <v>0.24010256315615403</v>
      </c>
      <c r="AV98">
        <f>AVERAGE((Sheet1!$F$37:$AC$37,Sheet1!$AS$37:$BE$37,Sheet1!$AJ$37:$AN$37))</f>
        <v>0.24010256315615403</v>
      </c>
      <c r="AW98">
        <f>AVERAGE((Sheet1!$F$37:$AC$37,Sheet1!$AS$37:$BE$37,Sheet1!$AJ$37:$AN$37))</f>
        <v>0.24010256315615403</v>
      </c>
      <c r="AX98">
        <f>AVERAGE((Sheet1!$F$37:$AC$37,Sheet1!$AS$37:$BE$37,Sheet1!$AJ$37:$AN$37))</f>
        <v>0.24010256315615403</v>
      </c>
      <c r="AY98">
        <f>AVERAGE((Sheet1!$F$37:$AC$37,Sheet1!$AS$37:$BE$37,Sheet1!$AJ$37:$AN$37))</f>
        <v>0.24010256315615403</v>
      </c>
      <c r="AZ98">
        <f>AVERAGE((Sheet1!$F$37:$AC$37,Sheet1!$AS$37:$BE$37,Sheet1!$AJ$37:$AN$37))</f>
        <v>0.24010256315615403</v>
      </c>
      <c r="BA98">
        <f>AVERAGE((Sheet1!$F$37:$AC$37,Sheet1!$AS$37:$BE$37,Sheet1!$AJ$37:$AN$37))</f>
        <v>0.24010256315615403</v>
      </c>
      <c r="BB98">
        <f>AVERAGE((Sheet1!$F$37:$AC$37,Sheet1!$AS$37:$BE$37,Sheet1!$AJ$37:$AN$37))</f>
        <v>0.24010256315615403</v>
      </c>
      <c r="BC98">
        <f>AVERAGE((Sheet1!$F$37:$AC$37,Sheet1!$AS$37:$BE$37,Sheet1!$AJ$37:$AN$37))</f>
        <v>0.24010256315615403</v>
      </c>
      <c r="BD98">
        <f>AVERAGE((Sheet1!$F$37:$AC$37,Sheet1!$AS$37:$BE$37,Sheet1!$AJ$37:$AN$37))</f>
        <v>0.24010256315615403</v>
      </c>
      <c r="BE98">
        <f>AVERAGE((Sheet1!$F$37:$AC$37,Sheet1!$AS$37:$BE$37,Sheet1!$AJ$37:$AN$37))</f>
        <v>0.24010256315615403</v>
      </c>
      <c r="BF98">
        <f>AVERAGE((Sheet1!$F$37:$AC$37,Sheet1!$AS$37:$BE$37,Sheet1!$AJ$37:$AN$37))</f>
        <v>0.24010256315615403</v>
      </c>
      <c r="BG98">
        <f>AVERAGE((Sheet1!$F$37:$AC$37,Sheet1!$AS$37:$BE$37,Sheet1!$AJ$37:$AN$37))</f>
        <v>0.24010256315615403</v>
      </c>
      <c r="BH98">
        <f>AVERAGE((Sheet1!$F$37:$AC$37,Sheet1!$AS$37:$BE$37,Sheet1!$AJ$37:$AN$37))</f>
        <v>0.24010256315615403</v>
      </c>
      <c r="BI98">
        <f>AVERAGE((Sheet1!$F$37:$AC$37,Sheet1!$AS$37:$BE$37,Sheet1!$AJ$37:$AN$37))</f>
        <v>0.24010256315615403</v>
      </c>
      <c r="BJ98">
        <f>AVERAGE((Sheet1!$F$37:$AC$37,Sheet1!$AS$37:$BE$37,Sheet1!$AJ$37:$AN$37))</f>
        <v>0.24010256315615403</v>
      </c>
      <c r="BK98">
        <f>AVERAGE((Sheet1!$F$37:$AC$37,Sheet1!$AS$37:$BE$37,Sheet1!$AJ$37:$AN$37))</f>
        <v>0.24010256315615403</v>
      </c>
      <c r="BL98">
        <f>AVERAGE((Sheet1!$F$37:$AC$37,Sheet1!$AS$37:$BE$37,Sheet1!$AJ$37:$AN$37))</f>
        <v>0.24010256315615403</v>
      </c>
      <c r="BM98">
        <f>AVERAGE((Sheet1!$F$37:$AC$37,Sheet1!$AS$37:$BE$37,Sheet1!$AJ$37:$AN$37))</f>
        <v>0.24010256315615403</v>
      </c>
      <c r="BN98">
        <f>AVERAGE((Sheet1!$F$37:$AC$37,Sheet1!$AS$37:$BE$37,Sheet1!$AJ$37:$AN$37))</f>
        <v>0.24010256315615403</v>
      </c>
      <c r="BO98">
        <f>AVERAGE((Sheet1!$F$37:$AC$37,Sheet1!$AS$37:$BE$37,Sheet1!$AJ$37:$AN$37))</f>
        <v>0.24010256315615403</v>
      </c>
      <c r="BP98">
        <f>AVERAGE((Sheet1!$F$37:$AC$37,Sheet1!$AS$37:$BE$37,Sheet1!$AJ$37:$AN$37))</f>
        <v>0.24010256315615403</v>
      </c>
      <c r="BQ98">
        <f>AVERAGE((Sheet1!$F$37:$AC$37,Sheet1!$AS$37:$BE$37,Sheet1!$AJ$37:$AN$37))</f>
        <v>0.24010256315615403</v>
      </c>
      <c r="BR98">
        <f>AVERAGE((Sheet1!$F$37:$AC$37,Sheet1!$AS$37:$BE$37,Sheet1!$AJ$37:$AN$37))</f>
        <v>0.24010256315615403</v>
      </c>
      <c r="BS98">
        <f>AVERAGE((Sheet1!$F$37:$AC$37,Sheet1!$AS$37:$BE$37,Sheet1!$AJ$37:$AN$37))</f>
        <v>0.24010256315615403</v>
      </c>
      <c r="BT98">
        <f>AVERAGE((Sheet1!$F$37:$AC$37,Sheet1!$AS$37:$BE$37,Sheet1!$AJ$37:$AN$37))</f>
        <v>0.24010256315615403</v>
      </c>
      <c r="BU98">
        <f>AVERAGE((Sheet1!$F$37:$AC$37,Sheet1!$AS$37:$BE$37,Sheet1!$AJ$37:$AN$37))</f>
        <v>0.24010256315615403</v>
      </c>
      <c r="BV98">
        <f>AVERAGE((Sheet1!$F$37:$AC$37,Sheet1!$AS$37:$BE$37,Sheet1!$AJ$37:$AN$37))</f>
        <v>0.24010256315615403</v>
      </c>
      <c r="BW98">
        <f>AVERAGE((Sheet1!$F$37:$AC$37,Sheet1!$AS$37:$BE$37,Sheet1!$AJ$37:$AN$37))</f>
        <v>0.24010256315615403</v>
      </c>
      <c r="BX98">
        <f>AVERAGE((Sheet1!$F$37:$AC$37,Sheet1!$AS$37:$BE$37,Sheet1!$AJ$37:$AN$37))</f>
        <v>0.24010256315615403</v>
      </c>
      <c r="BY98">
        <f>AVERAGE((Sheet1!$F$37:$AC$37,Sheet1!$AS$37:$BE$37,Sheet1!$AJ$37:$AN$37))</f>
        <v>0.24010256315615403</v>
      </c>
      <c r="BZ98">
        <f>AVERAGE((Sheet1!$F$37:$AC$37,Sheet1!$AS$37:$BE$37,Sheet1!$AJ$37:$AN$37))</f>
        <v>0.24010256315615403</v>
      </c>
      <c r="CA98">
        <f>AVERAGE((Sheet1!$F$37:$AC$37,Sheet1!$AS$37:$BE$37,Sheet1!$AJ$37:$AN$37))</f>
        <v>0.24010256315615403</v>
      </c>
      <c r="CB98">
        <f>AVERAGE((Sheet1!$F$37:$AC$37,Sheet1!$AS$37:$BE$37,Sheet1!$AJ$37:$AN$37))</f>
        <v>0.24010256315615403</v>
      </c>
      <c r="CC98">
        <f>AVERAGE((Sheet1!$F$37:$AC$37,Sheet1!$AS$37:$BE$37,Sheet1!$AJ$37:$AN$37))</f>
        <v>0.24010256315615403</v>
      </c>
      <c r="CD98">
        <f>AVERAGE((Sheet1!$F$37:$AC$37,Sheet1!$AS$37:$BE$37,Sheet1!$AJ$37:$AN$37))</f>
        <v>0.24010256315615403</v>
      </c>
      <c r="CE98">
        <f>AVERAGE((Sheet1!$F$37:$AC$37,Sheet1!$AS$37:$BE$37,Sheet1!$AJ$37:$AN$37))</f>
        <v>0.24010256315615403</v>
      </c>
      <c r="CF98">
        <f>AVERAGE((Sheet1!$F$37:$AC$37,Sheet1!$AS$37:$BE$37,Sheet1!$AJ$37:$AN$37))</f>
        <v>0.24010256315615403</v>
      </c>
      <c r="CG98">
        <f>AVERAGE((Sheet1!$F$37:$AC$37,Sheet1!$AS$37:$BE$37,Sheet1!$AJ$37:$AN$37))</f>
        <v>0.24010256315615403</v>
      </c>
      <c r="CH98">
        <f>AVERAGE((Sheet1!$F$37:$AC$37,Sheet1!$AS$37:$BE$37,Sheet1!$AJ$37:$AN$37))</f>
        <v>0.24010256315615403</v>
      </c>
      <c r="CI98">
        <f>AVERAGE((Sheet1!$F$37:$AC$37,Sheet1!$AS$37:$BE$37,Sheet1!$AJ$37:$AN$37))</f>
        <v>0.24010256315615403</v>
      </c>
      <c r="CJ98">
        <f>AVERAGE((Sheet1!$F$37:$AC$37,Sheet1!$AS$37:$BE$37,Sheet1!$AJ$37:$AN$37))</f>
        <v>0.24010256315615403</v>
      </c>
      <c r="CK98">
        <f>AVERAGE((Sheet1!$F$37:$AC$37,Sheet1!$AS$37:$BE$37,Sheet1!$AJ$37:$AN$37))</f>
        <v>0.24010256315615403</v>
      </c>
      <c r="CL98">
        <f>AVERAGE((Sheet1!$F$37:$AC$37,Sheet1!$AS$37:$BE$37,Sheet1!$AJ$37:$AN$37))</f>
        <v>0.24010256315615403</v>
      </c>
      <c r="CM98">
        <f>AVERAGE((Sheet1!$F$37:$AC$37,Sheet1!$AS$37:$BE$37,Sheet1!$AJ$37:$AN$37))</f>
        <v>0.24010256315615403</v>
      </c>
      <c r="CN98">
        <f>AVERAGE((Sheet1!$F$37:$AC$37,Sheet1!$AS$37:$BE$37,Sheet1!$AJ$37:$AN$37))</f>
        <v>0.24010256315615403</v>
      </c>
      <c r="CO98">
        <f>AVERAGE((Sheet1!$F$37:$AC$37,Sheet1!$AS$37:$BE$37,Sheet1!$AJ$37:$AN$37))</f>
        <v>0.24010256315615403</v>
      </c>
      <c r="CP98">
        <f>AVERAGE((Sheet1!$F$37:$AC$37,Sheet1!$AS$37:$BE$37,Sheet1!$AJ$37:$AN$37))</f>
        <v>0.24010256315615403</v>
      </c>
      <c r="CQ98">
        <f>AVERAGE((Sheet1!$F$37:$AC$37,Sheet1!$AS$37:$BE$37,Sheet1!$AJ$37:$AN$37))</f>
        <v>0.24010256315615403</v>
      </c>
      <c r="CR98">
        <f>AVERAGE((Sheet1!$F$37:$AC$37,Sheet1!$AS$37:$BE$37,Sheet1!$AJ$37:$AN$37))</f>
        <v>0.24010256315615403</v>
      </c>
      <c r="CS98">
        <f>AVERAGE((Sheet1!$F$37:$AC$37,Sheet1!$AS$37:$BE$37,Sheet1!$AJ$37:$AN$37))</f>
        <v>0.24010256315615403</v>
      </c>
      <c r="CT98">
        <f>AVERAGE((Sheet1!$F$37:$AC$37,Sheet1!$AS$37:$BE$37,Sheet1!$AJ$37:$AN$37))</f>
        <v>0.24010256315615403</v>
      </c>
      <c r="CU98">
        <f>AVERAGE((Sheet1!$F$37:$AC$37,Sheet1!$AS$37:$BE$37,Sheet1!$AJ$37:$AN$37))</f>
        <v>0.24010256315615403</v>
      </c>
      <c r="CV98">
        <f>AVERAGE((Sheet1!$F$37:$AC$37,Sheet1!$AS$37:$BE$37,Sheet1!$AJ$37:$AN$37))</f>
        <v>0.24010256315615403</v>
      </c>
      <c r="CW98">
        <f>AVERAGE((Sheet1!$F$37:$AC$37,Sheet1!$AS$37:$BE$37,Sheet1!$AJ$37:$AN$37))</f>
        <v>0.24010256315615403</v>
      </c>
      <c r="CX98">
        <f>AVERAGE((Sheet1!$F$37:$AC$37,Sheet1!$AS$37:$BE$37,Sheet1!$AJ$37:$AN$37))</f>
        <v>0.24010256315615403</v>
      </c>
      <c r="CY98">
        <f>AVERAGE((Sheet1!$F$37:$AC$37,Sheet1!$AS$37:$BE$37,Sheet1!$AJ$37:$AN$37))</f>
        <v>0.24010256315615403</v>
      </c>
    </row>
    <row r="99" spans="1:103" x14ac:dyDescent="0.25">
      <c r="A99" t="s">
        <v>115</v>
      </c>
      <c r="B99">
        <f>STDEVA((Sheet1!$F$37:$AC$37,Sheet1!$AS$37:$BE$37,Sheet1!$AJ$37:$AN$37))</f>
        <v>1.1823804013285633E-2</v>
      </c>
    </row>
    <row r="103" spans="1:103" x14ac:dyDescent="0.25">
      <c r="A103" s="1" t="s">
        <v>141</v>
      </c>
      <c r="B103" s="11" t="s">
        <v>142</v>
      </c>
      <c r="C103" s="11"/>
    </row>
    <row r="104" spans="1:103" x14ac:dyDescent="0.25">
      <c r="A104" t="s">
        <v>139</v>
      </c>
      <c r="B104">
        <f>4*(-3*B22+1)*B25+4*(B22-1)*(B22-1)*(B25+B26)/B33+4*(B22-1)*B26/B33</f>
        <v>6520</v>
      </c>
      <c r="C104">
        <f t="shared" ref="C104:BE104" si="118">4*(-3*C22+1)*C25+4*(C22-1)*(C22-1)*(C25+C26)/C33+4*(C22-1)*C26/C33</f>
        <v>8199.9999999999982</v>
      </c>
      <c r="D104">
        <f t="shared" si="118"/>
        <v>5600</v>
      </c>
      <c r="E104">
        <f t="shared" si="118"/>
        <v>5480</v>
      </c>
      <c r="F104">
        <f t="shared" si="118"/>
        <v>11320.000000000002</v>
      </c>
      <c r="G104">
        <f t="shared" si="118"/>
        <v>10360</v>
      </c>
      <c r="H104">
        <f t="shared" si="118"/>
        <v>9400</v>
      </c>
      <c r="I104">
        <f t="shared" si="118"/>
        <v>8440</v>
      </c>
      <c r="J104">
        <f t="shared" si="118"/>
        <v>7480</v>
      </c>
      <c r="K104">
        <f t="shared" si="118"/>
        <v>6520.0000000000009</v>
      </c>
      <c r="L104">
        <f t="shared" si="118"/>
        <v>5560</v>
      </c>
      <c r="M104">
        <f t="shared" si="118"/>
        <v>4600</v>
      </c>
      <c r="N104">
        <f t="shared" si="118"/>
        <v>4592</v>
      </c>
      <c r="O104">
        <f t="shared" si="118"/>
        <v>4568</v>
      </c>
      <c r="P104">
        <f t="shared" si="118"/>
        <v>4528</v>
      </c>
      <c r="Q104">
        <f t="shared" si="118"/>
        <v>4472</v>
      </c>
      <c r="R104">
        <f t="shared" si="118"/>
        <v>4400</v>
      </c>
      <c r="S104">
        <f t="shared" si="118"/>
        <v>4312</v>
      </c>
      <c r="T104">
        <f t="shared" si="118"/>
        <v>4208.0000000000009</v>
      </c>
      <c r="U104">
        <f t="shared" si="118"/>
        <v>4088</v>
      </c>
      <c r="V104">
        <f t="shared" si="118"/>
        <v>3952</v>
      </c>
      <c r="W104">
        <f t="shared" si="118"/>
        <v>3799.9999999999995</v>
      </c>
      <c r="X104">
        <f t="shared" si="118"/>
        <v>3632</v>
      </c>
      <c r="Y104">
        <f t="shared" si="118"/>
        <v>3448</v>
      </c>
      <c r="Z104">
        <f t="shared" si="118"/>
        <v>3248</v>
      </c>
      <c r="AA104">
        <f t="shared" si="118"/>
        <v>3032</v>
      </c>
      <c r="AB104">
        <f t="shared" si="118"/>
        <v>2800</v>
      </c>
      <c r="AC104">
        <f t="shared" si="118"/>
        <v>2552</v>
      </c>
      <c r="AD104">
        <f t="shared" si="118"/>
        <v>2192</v>
      </c>
      <c r="AE104">
        <f t="shared" si="118"/>
        <v>1832</v>
      </c>
      <c r="AF104">
        <f t="shared" si="118"/>
        <v>1471.9999999999998</v>
      </c>
      <c r="AG104">
        <f t="shared" si="118"/>
        <v>2264</v>
      </c>
      <c r="AH104">
        <f t="shared" si="118"/>
        <v>1976</v>
      </c>
      <c r="AI104">
        <f t="shared" si="118"/>
        <v>1688.0000000000002</v>
      </c>
      <c r="AJ104">
        <f t="shared" si="118"/>
        <v>2232</v>
      </c>
      <c r="AK104">
        <f t="shared" si="118"/>
        <v>1912</v>
      </c>
      <c r="AL104">
        <f t="shared" si="118"/>
        <v>1592</v>
      </c>
      <c r="AM104">
        <f t="shared" si="118"/>
        <v>1272.0000000000002</v>
      </c>
      <c r="AN104">
        <f t="shared" si="118"/>
        <v>952</v>
      </c>
      <c r="AO104">
        <f t="shared" si="118"/>
        <v>1544</v>
      </c>
      <c r="AP104">
        <f t="shared" si="118"/>
        <v>5660.0000000000009</v>
      </c>
      <c r="AQ104">
        <f t="shared" si="118"/>
        <v>2830.0000000000005</v>
      </c>
      <c r="AR104">
        <f t="shared" si="118"/>
        <v>1415.0000000000002</v>
      </c>
      <c r="AS104">
        <f t="shared" si="118"/>
        <v>12280</v>
      </c>
      <c r="AT104">
        <f t="shared" si="118"/>
        <v>13240</v>
      </c>
      <c r="AU104">
        <f t="shared" si="118"/>
        <v>14200</v>
      </c>
      <c r="AV104">
        <f t="shared" si="118"/>
        <v>15159.999999999998</v>
      </c>
      <c r="AW104">
        <f t="shared" si="118"/>
        <v>16120.000000000002</v>
      </c>
      <c r="AX104">
        <f t="shared" si="118"/>
        <v>17080</v>
      </c>
      <c r="AY104">
        <f t="shared" si="118"/>
        <v>18040</v>
      </c>
      <c r="AZ104">
        <f t="shared" si="118"/>
        <v>19000</v>
      </c>
      <c r="BA104">
        <f t="shared" si="118"/>
        <v>19960</v>
      </c>
      <c r="BB104">
        <f t="shared" si="118"/>
        <v>9980</v>
      </c>
      <c r="BC104">
        <f t="shared" si="118"/>
        <v>4990</v>
      </c>
      <c r="BD104">
        <f t="shared" si="118"/>
        <v>2495</v>
      </c>
      <c r="BE104">
        <f t="shared" si="118"/>
        <v>1247.5</v>
      </c>
      <c r="BF104">
        <f t="shared" ref="BF104:CA104" si="119">4*(-3*BF22+1)*BF25+4*(BF22-1)*(BF22-1)*(BF25+BF26)/BF33+4*(BF22-1)*BF26/BF33</f>
        <v>17360</v>
      </c>
      <c r="BG104">
        <f t="shared" si="119"/>
        <v>16400</v>
      </c>
      <c r="BH104">
        <f t="shared" si="119"/>
        <v>15440</v>
      </c>
      <c r="BI104">
        <f t="shared" si="119"/>
        <v>14480</v>
      </c>
      <c r="BJ104">
        <f t="shared" si="119"/>
        <v>13520.000000000002</v>
      </c>
      <c r="BK104">
        <f t="shared" si="119"/>
        <v>12559.999999999998</v>
      </c>
      <c r="BL104">
        <f t="shared" si="119"/>
        <v>11600</v>
      </c>
      <c r="BM104">
        <f t="shared" si="119"/>
        <v>10640</v>
      </c>
      <c r="BN104">
        <f t="shared" si="119"/>
        <v>9680.0000000000018</v>
      </c>
      <c r="BO104">
        <f t="shared" si="119"/>
        <v>8720</v>
      </c>
      <c r="BP104">
        <f t="shared" si="119"/>
        <v>17560</v>
      </c>
      <c r="BQ104">
        <f t="shared" si="119"/>
        <v>16600</v>
      </c>
      <c r="BR104">
        <f t="shared" si="119"/>
        <v>15640.000000000002</v>
      </c>
      <c r="BS104">
        <f t="shared" si="119"/>
        <v>14680</v>
      </c>
      <c r="BT104">
        <f t="shared" si="119"/>
        <v>13719.999999999998</v>
      </c>
      <c r="BU104">
        <f t="shared" si="119"/>
        <v>12760.000000000002</v>
      </c>
      <c r="BV104">
        <f t="shared" si="119"/>
        <v>11799.999999999998</v>
      </c>
      <c r="BW104">
        <f t="shared" si="119"/>
        <v>10840</v>
      </c>
      <c r="BX104">
        <f t="shared" si="119"/>
        <v>9880</v>
      </c>
      <c r="BY104">
        <f t="shared" si="119"/>
        <v>8920</v>
      </c>
      <c r="BZ104">
        <f t="shared" si="119"/>
        <v>16000.000000000002</v>
      </c>
      <c r="CA104">
        <f t="shared" si="119"/>
        <v>23800</v>
      </c>
    </row>
    <row r="105" spans="1:103" x14ac:dyDescent="0.25">
      <c r="A105" t="s">
        <v>140</v>
      </c>
      <c r="B105">
        <f>B104*9.9*10^(-3)-12.723</f>
        <v>51.825000000000003</v>
      </c>
      <c r="C105">
        <f t="shared" ref="C105:BE105" si="120">C104*9.9*10^(-3)-12.723</f>
        <v>68.456999999999994</v>
      </c>
      <c r="D105">
        <f t="shared" si="120"/>
        <v>42.716999999999999</v>
      </c>
      <c r="E105">
        <f t="shared" si="120"/>
        <v>41.529000000000003</v>
      </c>
      <c r="F105">
        <f t="shared" si="120"/>
        <v>99.345000000000027</v>
      </c>
      <c r="G105">
        <f t="shared" si="120"/>
        <v>89.841000000000008</v>
      </c>
      <c r="H105">
        <f t="shared" si="120"/>
        <v>80.337000000000003</v>
      </c>
      <c r="I105">
        <f t="shared" si="120"/>
        <v>70.832999999999998</v>
      </c>
      <c r="J105">
        <f t="shared" si="120"/>
        <v>61.329000000000008</v>
      </c>
      <c r="K105">
        <f t="shared" si="120"/>
        <v>51.825000000000017</v>
      </c>
      <c r="L105">
        <f t="shared" si="120"/>
        <v>42.321000000000005</v>
      </c>
      <c r="M105">
        <f t="shared" si="120"/>
        <v>32.817</v>
      </c>
      <c r="N105">
        <f t="shared" si="120"/>
        <v>32.737800000000007</v>
      </c>
      <c r="O105">
        <f t="shared" si="120"/>
        <v>32.500200000000007</v>
      </c>
      <c r="P105">
        <f t="shared" si="120"/>
        <v>32.104200000000006</v>
      </c>
      <c r="Q105">
        <f t="shared" si="120"/>
        <v>31.549800000000005</v>
      </c>
      <c r="R105">
        <f t="shared" si="120"/>
        <v>30.837000000000003</v>
      </c>
      <c r="S105">
        <f t="shared" si="120"/>
        <v>29.965800000000002</v>
      </c>
      <c r="T105">
        <f t="shared" si="120"/>
        <v>28.936200000000014</v>
      </c>
      <c r="U105">
        <f t="shared" si="120"/>
        <v>27.748200000000004</v>
      </c>
      <c r="V105">
        <f t="shared" si="120"/>
        <v>26.401800000000001</v>
      </c>
      <c r="W105">
        <f t="shared" si="120"/>
        <v>24.896999999999998</v>
      </c>
      <c r="X105">
        <f t="shared" si="120"/>
        <v>23.233800000000002</v>
      </c>
      <c r="Y105">
        <f t="shared" si="120"/>
        <v>21.412200000000006</v>
      </c>
      <c r="Z105">
        <f t="shared" si="120"/>
        <v>19.432200000000002</v>
      </c>
      <c r="AA105">
        <f t="shared" si="120"/>
        <v>17.293799999999997</v>
      </c>
      <c r="AB105">
        <f t="shared" si="120"/>
        <v>14.996999999999998</v>
      </c>
      <c r="AC105">
        <f t="shared" si="120"/>
        <v>12.5418</v>
      </c>
      <c r="AD105">
        <f t="shared" si="120"/>
        <v>8.9778000000000002</v>
      </c>
      <c r="AE105">
        <f t="shared" si="120"/>
        <v>5.4138000000000002</v>
      </c>
      <c r="AF105">
        <f t="shared" si="120"/>
        <v>1.8497999999999966</v>
      </c>
      <c r="AG105">
        <f t="shared" si="120"/>
        <v>9.6906000000000017</v>
      </c>
      <c r="AH105">
        <f t="shared" si="120"/>
        <v>6.8393999999999995</v>
      </c>
      <c r="AI105">
        <f t="shared" si="120"/>
        <v>3.9882000000000044</v>
      </c>
      <c r="AJ105">
        <f t="shared" si="120"/>
        <v>9.3737999999999975</v>
      </c>
      <c r="AK105">
        <f t="shared" si="120"/>
        <v>6.2057999999999982</v>
      </c>
      <c r="AL105">
        <f t="shared" si="120"/>
        <v>3.0378000000000007</v>
      </c>
      <c r="AM105">
        <f t="shared" si="120"/>
        <v>-0.13019999999999676</v>
      </c>
      <c r="AN105">
        <f t="shared" si="120"/>
        <v>-3.2981999999999996</v>
      </c>
      <c r="AO105">
        <f t="shared" si="120"/>
        <v>2.5625999999999998</v>
      </c>
      <c r="AP105">
        <f t="shared" si="120"/>
        <v>43.311000000000014</v>
      </c>
      <c r="AQ105">
        <f t="shared" si="120"/>
        <v>15.294000000000006</v>
      </c>
      <c r="AR105">
        <f t="shared" si="120"/>
        <v>1.2855000000000025</v>
      </c>
      <c r="AS105">
        <f t="shared" si="120"/>
        <v>108.849</v>
      </c>
      <c r="AT105">
        <f t="shared" si="120"/>
        <v>118.35299999999999</v>
      </c>
      <c r="AU105">
        <f t="shared" si="120"/>
        <v>127.85700000000001</v>
      </c>
      <c r="AV105">
        <f t="shared" si="120"/>
        <v>137.36099999999999</v>
      </c>
      <c r="AW105">
        <f t="shared" si="120"/>
        <v>146.86500000000001</v>
      </c>
      <c r="AX105">
        <f t="shared" si="120"/>
        <v>156.369</v>
      </c>
      <c r="AY105">
        <f t="shared" si="120"/>
        <v>165.87299999999999</v>
      </c>
      <c r="AZ105">
        <f t="shared" si="120"/>
        <v>175.37699999999998</v>
      </c>
      <c r="BA105">
        <f t="shared" si="120"/>
        <v>184.881</v>
      </c>
      <c r="BB105">
        <f t="shared" si="120"/>
        <v>86.079000000000008</v>
      </c>
      <c r="BC105">
        <f t="shared" si="120"/>
        <v>36.678000000000004</v>
      </c>
      <c r="BD105">
        <f t="shared" si="120"/>
        <v>11.977500000000001</v>
      </c>
      <c r="BE105">
        <f t="shared" si="120"/>
        <v>-0.37274999999999991</v>
      </c>
      <c r="BF105">
        <f t="shared" ref="BF105:CA105" si="121">BF104*9.9*10^(-3)-12.723</f>
        <v>159.14099999999999</v>
      </c>
      <c r="BG105">
        <f t="shared" si="121"/>
        <v>149.637</v>
      </c>
      <c r="BH105">
        <f t="shared" si="121"/>
        <v>140.13299999999998</v>
      </c>
      <c r="BI105">
        <f t="shared" si="121"/>
        <v>130.62899999999999</v>
      </c>
      <c r="BJ105">
        <f t="shared" si="121"/>
        <v>121.12500000000004</v>
      </c>
      <c r="BK105">
        <f t="shared" si="121"/>
        <v>111.621</v>
      </c>
      <c r="BL105">
        <f t="shared" si="121"/>
        <v>102.117</v>
      </c>
      <c r="BM105">
        <f t="shared" si="121"/>
        <v>92.613</v>
      </c>
      <c r="BN105">
        <f t="shared" si="121"/>
        <v>83.109000000000023</v>
      </c>
      <c r="BO105">
        <f t="shared" si="121"/>
        <v>73.605000000000004</v>
      </c>
      <c r="BP105">
        <f t="shared" si="121"/>
        <v>161.12099999999998</v>
      </c>
      <c r="BQ105">
        <f t="shared" si="121"/>
        <v>151.61699999999999</v>
      </c>
      <c r="BR105">
        <f t="shared" si="121"/>
        <v>142.11300000000003</v>
      </c>
      <c r="BS105">
        <f t="shared" si="121"/>
        <v>132.60899999999998</v>
      </c>
      <c r="BT105">
        <f t="shared" si="121"/>
        <v>123.105</v>
      </c>
      <c r="BU105">
        <f t="shared" si="121"/>
        <v>113.60100000000003</v>
      </c>
      <c r="BV105">
        <f t="shared" si="121"/>
        <v>104.09699999999999</v>
      </c>
      <c r="BW105">
        <f t="shared" si="121"/>
        <v>94.593000000000004</v>
      </c>
      <c r="BX105">
        <f t="shared" si="121"/>
        <v>85.088999999999999</v>
      </c>
      <c r="BY105">
        <f t="shared" si="121"/>
        <v>75.585000000000008</v>
      </c>
      <c r="BZ105">
        <f t="shared" si="121"/>
        <v>145.67700000000002</v>
      </c>
      <c r="CA105">
        <f t="shared" si="121"/>
        <v>222.89699999999999</v>
      </c>
    </row>
    <row r="109" spans="1:103" x14ac:dyDescent="0.25">
      <c r="A109" t="s">
        <v>170</v>
      </c>
      <c r="B109">
        <f>0.0002*B78*(1.2+LN(B78/B26)+B26/(3*B78))</f>
        <v>13.803495502097167</v>
      </c>
      <c r="C109">
        <f t="shared" ref="C109:BN109" si="122">0.0002*C78*(1.2+LN(C78/C26)+C26/(3*C78))</f>
        <v>17.551877334372094</v>
      </c>
      <c r="D109">
        <f t="shared" si="122"/>
        <v>11.870765019446274</v>
      </c>
      <c r="E109">
        <f t="shared" si="122"/>
        <v>11.687782607278059</v>
      </c>
      <c r="F109">
        <f t="shared" si="122"/>
        <v>24.723025005847212</v>
      </c>
      <c r="G109">
        <f t="shared" si="122"/>
        <v>22.418393408206992</v>
      </c>
      <c r="H109">
        <f t="shared" si="122"/>
        <v>20.132484214554275</v>
      </c>
      <c r="I109">
        <f t="shared" si="122"/>
        <v>17.8672345314036</v>
      </c>
      <c r="J109">
        <f t="shared" si="122"/>
        <v>15.625029564452413</v>
      </c>
      <c r="K109">
        <f t="shared" si="122"/>
        <v>13.408878940459887</v>
      </c>
      <c r="L109">
        <f t="shared" si="122"/>
        <v>11.222699905626596</v>
      </c>
      <c r="M109">
        <f t="shared" si="122"/>
        <v>9.0718033451063054</v>
      </c>
      <c r="N109">
        <f t="shared" si="122"/>
        <v>9.0803275993123194</v>
      </c>
      <c r="O109">
        <f t="shared" si="122"/>
        <v>9.0547568806976901</v>
      </c>
      <c r="P109">
        <f t="shared" si="122"/>
        <v>8.9951157784577003</v>
      </c>
      <c r="Q109">
        <f t="shared" si="122"/>
        <v>8.9014620785516438</v>
      </c>
      <c r="R109">
        <f t="shared" si="122"/>
        <v>8.7738877703254783</v>
      </c>
      <c r="S109">
        <f t="shared" si="122"/>
        <v>8.6125206868357527</v>
      </c>
      <c r="T109">
        <f t="shared" si="122"/>
        <v>8.4175268629954392</v>
      </c>
      <c r="U109">
        <f t="shared" si="122"/>
        <v>8.1891137384464088</v>
      </c>
      <c r="V109">
        <f t="shared" si="122"/>
        <v>7.9275343886030409</v>
      </c>
      <c r="W109">
        <f t="shared" si="122"/>
        <v>7.6330930453299199</v>
      </c>
      <c r="X109">
        <f t="shared" si="122"/>
        <v>7.3061522802789529</v>
      </c>
      <c r="Y109">
        <f t="shared" si="122"/>
        <v>6.9471423885981807</v>
      </c>
      <c r="Z109">
        <f t="shared" si="122"/>
        <v>6.5565737614638628</v>
      </c>
      <c r="AA109">
        <f t="shared" si="122"/>
        <v>6.1350534301243176</v>
      </c>
      <c r="AB109">
        <f t="shared" si="122"/>
        <v>5.6833076062105823</v>
      </c>
      <c r="AC109">
        <f t="shared" si="122"/>
        <v>5.2022131313073317</v>
      </c>
      <c r="AD109">
        <f t="shared" si="122"/>
        <v>4.4740127739745388</v>
      </c>
      <c r="AE109">
        <f t="shared" si="122"/>
        <v>3.7563553265570757</v>
      </c>
      <c r="AF109">
        <f t="shared" si="122"/>
        <v>3.05105242866534</v>
      </c>
      <c r="AG109">
        <f t="shared" si="122"/>
        <v>4.0630647585730086</v>
      </c>
      <c r="AH109">
        <f t="shared" si="122"/>
        <v>3.164772343292432</v>
      </c>
      <c r="AI109">
        <f t="shared" si="122"/>
        <v>2.3852491224073051</v>
      </c>
      <c r="AJ109">
        <f t="shared" si="122"/>
        <v>4.4760160976721908</v>
      </c>
      <c r="AK109">
        <f t="shared" si="122"/>
        <v>3.7602991837240816</v>
      </c>
      <c r="AL109">
        <f t="shared" si="122"/>
        <v>3.0568564404759013</v>
      </c>
      <c r="AM109">
        <f t="shared" si="122"/>
        <v>2.3682283476201746</v>
      </c>
      <c r="AN109">
        <f t="shared" si="122"/>
        <v>1.6982968477967608</v>
      </c>
      <c r="AO109">
        <f t="shared" si="122"/>
        <v>3.2645214288935565</v>
      </c>
      <c r="AP109">
        <f t="shared" si="122"/>
        <v>12.361512502923606</v>
      </c>
      <c r="AQ109">
        <f t="shared" si="122"/>
        <v>6.1807562514618031</v>
      </c>
      <c r="AR109">
        <f t="shared" si="122"/>
        <v>3.0903781257309015</v>
      </c>
      <c r="AS109">
        <f t="shared" si="122"/>
        <v>27.044774427269981</v>
      </c>
      <c r="AT109">
        <f t="shared" si="122"/>
        <v>29.382290681796871</v>
      </c>
      <c r="AU109">
        <f t="shared" si="122"/>
        <v>31.734420604704148</v>
      </c>
      <c r="AV109">
        <f t="shared" si="122"/>
        <v>34.100168338545217</v>
      </c>
      <c r="AW109">
        <f t="shared" si="122"/>
        <v>36.478665179692541</v>
      </c>
      <c r="AX109">
        <f t="shared" si="122"/>
        <v>38.86914667300816</v>
      </c>
      <c r="AY109">
        <f t="shared" si="122"/>
        <v>41.270934899168282</v>
      </c>
      <c r="AZ109">
        <f t="shared" si="122"/>
        <v>43.683424561426783</v>
      </c>
      <c r="BA109">
        <f t="shared" si="122"/>
        <v>46.106071904508589</v>
      </c>
      <c r="BB109">
        <f t="shared" si="122"/>
        <v>23.053035952254294</v>
      </c>
      <c r="BC109">
        <f t="shared" si="122"/>
        <v>11.526517976127147</v>
      </c>
      <c r="BD109">
        <f t="shared" si="122"/>
        <v>5.7632589880635736</v>
      </c>
      <c r="BE109">
        <f t="shared" si="122"/>
        <v>2.8816294940317868</v>
      </c>
      <c r="BF109">
        <f t="shared" si="122"/>
        <v>39.826139842522004</v>
      </c>
      <c r="BG109">
        <f t="shared" si="122"/>
        <v>37.4310700183742</v>
      </c>
      <c r="BH109">
        <f t="shared" si="122"/>
        <v>35.047704831971807</v>
      </c>
      <c r="BI109">
        <f t="shared" si="122"/>
        <v>32.676772325124695</v>
      </c>
      <c r="BJ109">
        <f t="shared" si="122"/>
        <v>30.319097187808019</v>
      </c>
      <c r="BK109">
        <f t="shared" si="122"/>
        <v>27.975621388944504</v>
      </c>
      <c r="BL109">
        <f t="shared" si="122"/>
        <v>25.647431135049324</v>
      </c>
      <c r="BM109">
        <f t="shared" si="122"/>
        <v>23.33579278732962</v>
      </c>
      <c r="BN109">
        <f t="shared" si="122"/>
        <v>21.04220180107799</v>
      </c>
      <c r="BO109">
        <f t="shared" ref="BO109:CY109" si="123">0.0002*BO78*(1.2+LN(BO78/BO26)+BO26/(3*BO78))</f>
        <v>18.768451188122125</v>
      </c>
      <c r="BP109">
        <f t="shared" si="123"/>
        <v>37.091277878168405</v>
      </c>
      <c r="BQ109">
        <f t="shared" si="123"/>
        <v>34.83597759783872</v>
      </c>
      <c r="BR109">
        <f t="shared" si="123"/>
        <v>32.592450897612771</v>
      </c>
      <c r="BS109">
        <f t="shared" si="123"/>
        <v>30.361434696930822</v>
      </c>
      <c r="BT109">
        <f t="shared" si="123"/>
        <v>28.143764396871681</v>
      </c>
      <c r="BU109">
        <f t="shared" si="123"/>
        <v>25.940395053393594</v>
      </c>
      <c r="BV109">
        <f t="shared" si="123"/>
        <v>23.752429095195115</v>
      </c>
      <c r="BW109">
        <f t="shared" si="123"/>
        <v>21.581153329821461</v>
      </c>
      <c r="BX109">
        <f t="shared" si="123"/>
        <v>19.428089490259961</v>
      </c>
      <c r="BY109">
        <f t="shared" si="123"/>
        <v>17.295065150104129</v>
      </c>
      <c r="BZ109">
        <f t="shared" si="123"/>
        <v>36.948664630789075</v>
      </c>
      <c r="CA109">
        <f t="shared" si="123"/>
        <v>55.889059961175768</v>
      </c>
      <c r="CB109">
        <f t="shared" si="123"/>
        <v>16.516730338057158</v>
      </c>
      <c r="CC109">
        <f t="shared" si="123"/>
        <v>14.289773172909026</v>
      </c>
      <c r="CD109">
        <f t="shared" si="123"/>
        <v>14.298627340264876</v>
      </c>
      <c r="CE109">
        <f t="shared" si="123"/>
        <v>14.25436101497751</v>
      </c>
      <c r="CF109">
        <f t="shared" si="123"/>
        <v>14.157014912862389</v>
      </c>
      <c r="CG109">
        <f t="shared" si="123"/>
        <v>14.006679289147675</v>
      </c>
      <c r="CH109">
        <f t="shared" si="123"/>
        <v>13.803495502097167</v>
      </c>
      <c r="CI109">
        <f t="shared" si="123"/>
        <v>13.54765852163068</v>
      </c>
      <c r="CJ109">
        <f t="shared" si="123"/>
        <v>13.239420511086148</v>
      </c>
      <c r="CK109">
        <f t="shared" si="123"/>
        <v>12.879095674284487</v>
      </c>
      <c r="CL109">
        <f t="shared" si="123"/>
        <v>12.467066644857967</v>
      </c>
      <c r="CM109">
        <f t="shared" si="123"/>
        <v>12.003792811983384</v>
      </c>
      <c r="CN109">
        <f t="shared" si="123"/>
        <v>11.489821144360421</v>
      </c>
      <c r="CO109">
        <f t="shared" si="123"/>
        <v>10.278036656567821</v>
      </c>
      <c r="CP109">
        <f t="shared" si="123"/>
        <v>9.0781964719355539</v>
      </c>
      <c r="CQ109">
        <f t="shared" si="123"/>
        <v>7.8917298643591058</v>
      </c>
      <c r="CR109">
        <f t="shared" si="123"/>
        <v>6.7204558630595441</v>
      </c>
      <c r="CS109">
        <f t="shared" si="123"/>
        <v>5.566768616860494</v>
      </c>
      <c r="CT109">
        <f t="shared" si="123"/>
        <v>4.4339632720691444</v>
      </c>
      <c r="CU109">
        <f t="shared" si="123"/>
        <v>4.3939462776325104</v>
      </c>
      <c r="CV109">
        <f t="shared" si="123"/>
        <v>13.717437346471158</v>
      </c>
      <c r="CW109">
        <f t="shared" si="123"/>
        <v>9.8845691240226188</v>
      </c>
      <c r="CX109">
        <f t="shared" si="123"/>
        <v>8.9617314394996797</v>
      </c>
      <c r="CY109">
        <f t="shared" si="123"/>
        <v>11.942104902657039</v>
      </c>
    </row>
    <row r="112" spans="1:103" x14ac:dyDescent="0.25">
      <c r="A112" t="s">
        <v>27</v>
      </c>
      <c r="B112">
        <v>1</v>
      </c>
    </row>
    <row r="113" spans="1:102" x14ac:dyDescent="0.25">
      <c r="A113" t="s">
        <v>28</v>
      </c>
      <c r="B113">
        <v>1</v>
      </c>
    </row>
    <row r="116" spans="1:102" x14ac:dyDescent="0.25">
      <c r="A116" t="s">
        <v>168</v>
      </c>
      <c r="B116">
        <f>B25+B26</f>
        <v>3</v>
      </c>
      <c r="C116">
        <f t="shared" ref="C116:BN116" si="124">C25+C26</f>
        <v>2</v>
      </c>
      <c r="D116">
        <f t="shared" si="124"/>
        <v>4</v>
      </c>
      <c r="E116">
        <f t="shared" si="124"/>
        <v>4</v>
      </c>
      <c r="F116">
        <f t="shared" si="124"/>
        <v>2</v>
      </c>
      <c r="G116">
        <f t="shared" si="124"/>
        <v>2</v>
      </c>
      <c r="H116">
        <f t="shared" si="124"/>
        <v>2</v>
      </c>
      <c r="I116">
        <f t="shared" si="124"/>
        <v>2</v>
      </c>
      <c r="J116">
        <f t="shared" si="124"/>
        <v>2</v>
      </c>
      <c r="K116">
        <f t="shared" si="124"/>
        <v>2</v>
      </c>
      <c r="L116">
        <f t="shared" si="124"/>
        <v>2</v>
      </c>
      <c r="M116">
        <f t="shared" si="124"/>
        <v>2</v>
      </c>
      <c r="N116">
        <f t="shared" si="124"/>
        <v>2</v>
      </c>
      <c r="O116">
        <f t="shared" si="124"/>
        <v>2</v>
      </c>
      <c r="P116">
        <f t="shared" si="124"/>
        <v>2</v>
      </c>
      <c r="Q116">
        <f t="shared" si="124"/>
        <v>2</v>
      </c>
      <c r="R116">
        <f t="shared" si="124"/>
        <v>2</v>
      </c>
      <c r="S116">
        <f t="shared" si="124"/>
        <v>2</v>
      </c>
      <c r="T116">
        <f t="shared" si="124"/>
        <v>2</v>
      </c>
      <c r="U116">
        <f t="shared" si="124"/>
        <v>2</v>
      </c>
      <c r="V116">
        <f t="shared" si="124"/>
        <v>2</v>
      </c>
      <c r="W116">
        <f t="shared" si="124"/>
        <v>2</v>
      </c>
      <c r="X116">
        <f t="shared" si="124"/>
        <v>2</v>
      </c>
      <c r="Y116">
        <f t="shared" si="124"/>
        <v>2</v>
      </c>
      <c r="Z116">
        <f t="shared" si="124"/>
        <v>2</v>
      </c>
      <c r="AA116">
        <f t="shared" si="124"/>
        <v>2</v>
      </c>
      <c r="AB116">
        <f t="shared" si="124"/>
        <v>2</v>
      </c>
      <c r="AC116">
        <f t="shared" si="124"/>
        <v>2</v>
      </c>
      <c r="AD116">
        <f t="shared" si="124"/>
        <v>3</v>
      </c>
      <c r="AE116">
        <f t="shared" si="124"/>
        <v>4</v>
      </c>
      <c r="AF116">
        <f t="shared" si="124"/>
        <v>5</v>
      </c>
      <c r="AG116">
        <f t="shared" si="124"/>
        <v>3</v>
      </c>
      <c r="AH116">
        <f t="shared" si="124"/>
        <v>4</v>
      </c>
      <c r="AI116">
        <f t="shared" si="124"/>
        <v>5</v>
      </c>
      <c r="AJ116">
        <f t="shared" si="124"/>
        <v>2</v>
      </c>
      <c r="AK116">
        <f t="shared" si="124"/>
        <v>2</v>
      </c>
      <c r="AL116">
        <f t="shared" si="124"/>
        <v>2</v>
      </c>
      <c r="AM116">
        <f t="shared" si="124"/>
        <v>2</v>
      </c>
      <c r="AN116">
        <f t="shared" si="124"/>
        <v>2</v>
      </c>
      <c r="AO116">
        <f t="shared" si="124"/>
        <v>3</v>
      </c>
      <c r="AP116">
        <f t="shared" si="124"/>
        <v>1</v>
      </c>
      <c r="AQ116">
        <f t="shared" si="124"/>
        <v>0.5</v>
      </c>
      <c r="AR116">
        <f t="shared" si="124"/>
        <v>0.25</v>
      </c>
      <c r="AS116">
        <f t="shared" si="124"/>
        <v>2</v>
      </c>
      <c r="AT116">
        <f t="shared" si="124"/>
        <v>2</v>
      </c>
      <c r="AU116">
        <f t="shared" si="124"/>
        <v>2</v>
      </c>
      <c r="AV116">
        <f t="shared" si="124"/>
        <v>2</v>
      </c>
      <c r="AW116">
        <f t="shared" si="124"/>
        <v>2</v>
      </c>
      <c r="AX116">
        <f t="shared" si="124"/>
        <v>2</v>
      </c>
      <c r="AY116">
        <f t="shared" si="124"/>
        <v>2</v>
      </c>
      <c r="AZ116">
        <f t="shared" si="124"/>
        <v>2</v>
      </c>
      <c r="BA116">
        <f t="shared" si="124"/>
        <v>2</v>
      </c>
      <c r="BB116">
        <f t="shared" si="124"/>
        <v>1</v>
      </c>
      <c r="BC116">
        <f t="shared" si="124"/>
        <v>0.5</v>
      </c>
      <c r="BD116">
        <f t="shared" si="124"/>
        <v>0.25</v>
      </c>
      <c r="BE116">
        <f t="shared" si="124"/>
        <v>0.125</v>
      </c>
      <c r="BF116">
        <f t="shared" si="124"/>
        <v>3</v>
      </c>
      <c r="BG116">
        <f t="shared" si="124"/>
        <v>3</v>
      </c>
      <c r="BH116">
        <f t="shared" si="124"/>
        <v>3</v>
      </c>
      <c r="BI116">
        <f t="shared" si="124"/>
        <v>3</v>
      </c>
      <c r="BJ116">
        <f t="shared" si="124"/>
        <v>3</v>
      </c>
      <c r="BK116">
        <f t="shared" si="124"/>
        <v>3</v>
      </c>
      <c r="BL116">
        <f t="shared" si="124"/>
        <v>3</v>
      </c>
      <c r="BM116">
        <f t="shared" si="124"/>
        <v>3</v>
      </c>
      <c r="BN116">
        <f t="shared" si="124"/>
        <v>3</v>
      </c>
      <c r="BO116">
        <f t="shared" ref="BO116:CX116" si="125">BO25+BO26</f>
        <v>3</v>
      </c>
      <c r="BP116">
        <f t="shared" si="125"/>
        <v>3</v>
      </c>
      <c r="BQ116">
        <f t="shared" si="125"/>
        <v>3</v>
      </c>
      <c r="BR116">
        <f t="shared" si="125"/>
        <v>3</v>
      </c>
      <c r="BS116">
        <f t="shared" si="125"/>
        <v>3</v>
      </c>
      <c r="BT116">
        <f t="shared" si="125"/>
        <v>3</v>
      </c>
      <c r="BU116">
        <f t="shared" si="125"/>
        <v>3</v>
      </c>
      <c r="BV116">
        <f t="shared" si="125"/>
        <v>3</v>
      </c>
      <c r="BW116">
        <f t="shared" si="125"/>
        <v>3</v>
      </c>
      <c r="BX116">
        <f t="shared" si="125"/>
        <v>3</v>
      </c>
      <c r="BY116">
        <f t="shared" si="125"/>
        <v>3</v>
      </c>
      <c r="BZ116">
        <f t="shared" si="125"/>
        <v>5</v>
      </c>
      <c r="CA116">
        <f t="shared" si="125"/>
        <v>2</v>
      </c>
      <c r="CB116">
        <f t="shared" si="125"/>
        <v>3</v>
      </c>
      <c r="CC116">
        <f t="shared" si="125"/>
        <v>3</v>
      </c>
      <c r="CD116">
        <f t="shared" si="125"/>
        <v>3</v>
      </c>
      <c r="CE116">
        <f t="shared" si="125"/>
        <v>3</v>
      </c>
      <c r="CF116">
        <f t="shared" si="125"/>
        <v>3</v>
      </c>
      <c r="CG116">
        <f t="shared" si="125"/>
        <v>3</v>
      </c>
      <c r="CH116">
        <f t="shared" si="125"/>
        <v>3</v>
      </c>
      <c r="CI116">
        <f t="shared" si="125"/>
        <v>3</v>
      </c>
      <c r="CJ116">
        <f t="shared" si="125"/>
        <v>3</v>
      </c>
      <c r="CK116">
        <f t="shared" si="125"/>
        <v>3</v>
      </c>
      <c r="CL116">
        <f t="shared" si="125"/>
        <v>3</v>
      </c>
      <c r="CM116">
        <f t="shared" si="125"/>
        <v>3</v>
      </c>
      <c r="CN116">
        <f t="shared" si="125"/>
        <v>3</v>
      </c>
      <c r="CO116">
        <f t="shared" si="125"/>
        <v>3</v>
      </c>
      <c r="CP116">
        <f t="shared" si="125"/>
        <v>3</v>
      </c>
      <c r="CQ116">
        <f t="shared" si="125"/>
        <v>3</v>
      </c>
      <c r="CR116">
        <f t="shared" si="125"/>
        <v>3</v>
      </c>
      <c r="CS116">
        <f t="shared" si="125"/>
        <v>3</v>
      </c>
      <c r="CT116">
        <f t="shared" si="125"/>
        <v>3</v>
      </c>
      <c r="CU116">
        <f t="shared" si="125"/>
        <v>3</v>
      </c>
      <c r="CV116">
        <f t="shared" si="125"/>
        <v>2</v>
      </c>
      <c r="CW116">
        <f t="shared" si="125"/>
        <v>2</v>
      </c>
      <c r="CX116">
        <f t="shared" si="125"/>
        <v>2</v>
      </c>
    </row>
    <row r="117" spans="1:102" x14ac:dyDescent="0.25">
      <c r="A117" t="s">
        <v>172</v>
      </c>
      <c r="B117">
        <f>10^(-4)*4*B31*(LN((B31/B116)+SQRT(1+(B31/B116)^2))-SQRT(1+(B116/B31)^2)+B116/B31)</f>
        <v>19.240845000050285</v>
      </c>
      <c r="C117">
        <f t="shared" ref="C117:BN117" si="126">10^(-4)*4*C31*(LN((C31/C116)+SQRT(1+(C31/C116)^2))-SQRT(1+(C116/C31)^2)+C116/C31)</f>
        <v>26.279797292287203</v>
      </c>
      <c r="D117">
        <f t="shared" si="126"/>
        <v>15.541319033691517</v>
      </c>
      <c r="E117">
        <f t="shared" si="126"/>
        <v>15.160843041074815</v>
      </c>
      <c r="F117">
        <f t="shared" si="126"/>
        <v>37.738629685420804</v>
      </c>
      <c r="G117">
        <f t="shared" si="126"/>
        <v>34.171011906921002</v>
      </c>
      <c r="H117">
        <f t="shared" si="126"/>
        <v>30.639028238097243</v>
      </c>
      <c r="I117">
        <f t="shared" si="126"/>
        <v>27.146330048310489</v>
      </c>
      <c r="J117">
        <f t="shared" si="126"/>
        <v>23.697404254861887</v>
      </c>
      <c r="K117">
        <f t="shared" si="126"/>
        <v>20.297898078683492</v>
      </c>
      <c r="L117">
        <f t="shared" si="126"/>
        <v>16.955137861289611</v>
      </c>
      <c r="M117">
        <f t="shared" si="126"/>
        <v>13.679013224801503</v>
      </c>
      <c r="N117">
        <f t="shared" si="126"/>
        <v>13.652027811809292</v>
      </c>
      <c r="O117">
        <f t="shared" si="126"/>
        <v>13.571105061275189</v>
      </c>
      <c r="P117">
        <f t="shared" si="126"/>
        <v>13.436346026392902</v>
      </c>
      <c r="Q117">
        <f t="shared" si="126"/>
        <v>13.247921117891297</v>
      </c>
      <c r="R117">
        <f t="shared" si="126"/>
        <v>13.006073192126092</v>
      </c>
      <c r="S117">
        <f t="shared" si="126"/>
        <v>12.711122095028843</v>
      </c>
      <c r="T117">
        <f t="shared" si="126"/>
        <v>12.363470909178581</v>
      </c>
      <c r="U117">
        <f t="shared" si="126"/>
        <v>11.96361426500861</v>
      </c>
      <c r="V117">
        <f t="shared" si="126"/>
        <v>11.51214923344358</v>
      </c>
      <c r="W117">
        <f t="shared" si="126"/>
        <v>11.009789540222853</v>
      </c>
      <c r="X117">
        <f t="shared" si="126"/>
        <v>10.457384170934782</v>
      </c>
      <c r="Y117">
        <f t="shared" si="126"/>
        <v>9.8559419361466443</v>
      </c>
      <c r="Z117">
        <f t="shared" si="126"/>
        <v>9.2066643527523109</v>
      </c>
      <c r="AA117">
        <f t="shared" si="126"/>
        <v>8.5109904793471571</v>
      </c>
      <c r="AB117">
        <f t="shared" si="126"/>
        <v>7.7706595168457584</v>
      </c>
      <c r="AC117">
        <f t="shared" si="126"/>
        <v>6.9878008467297468</v>
      </c>
      <c r="AD117">
        <f t="shared" si="126"/>
        <v>5.5137328500528557</v>
      </c>
      <c r="AE117">
        <f t="shared" si="126"/>
        <v>4.2665071186712771</v>
      </c>
      <c r="AF117">
        <f t="shared" si="126"/>
        <v>3.1686156725266397</v>
      </c>
      <c r="AG117">
        <f t="shared" si="126"/>
        <v>5.7240693712218071</v>
      </c>
      <c r="AH117">
        <f t="shared" si="126"/>
        <v>4.6615467945837299</v>
      </c>
      <c r="AI117">
        <f t="shared" si="126"/>
        <v>3.7257325574628064</v>
      </c>
      <c r="AJ117">
        <f t="shared" si="126"/>
        <v>5.9920711080104212</v>
      </c>
      <c r="AK117">
        <f t="shared" si="126"/>
        <v>5.014756006388966</v>
      </c>
      <c r="AL117">
        <f t="shared" si="126"/>
        <v>4.0589646348700441</v>
      </c>
      <c r="AM117">
        <f t="shared" si="126"/>
        <v>3.129078000031043</v>
      </c>
      <c r="AN117">
        <f t="shared" si="126"/>
        <v>2.2317411450807167</v>
      </c>
      <c r="AO117">
        <f t="shared" si="126"/>
        <v>3.6676847231402419</v>
      </c>
      <c r="AP117">
        <f t="shared" si="126"/>
        <v>18.869314842710402</v>
      </c>
      <c r="AQ117">
        <f t="shared" si="126"/>
        <v>9.434657421355201</v>
      </c>
      <c r="AR117">
        <f t="shared" si="126"/>
        <v>4.7173287106776005</v>
      </c>
      <c r="AS117">
        <f t="shared" si="126"/>
        <v>41.338851982182675</v>
      </c>
      <c r="AT117">
        <f t="shared" si="126"/>
        <v>44.969124474772855</v>
      </c>
      <c r="AU117">
        <f t="shared" si="126"/>
        <v>48.627264315418515</v>
      </c>
      <c r="AV117">
        <f t="shared" si="126"/>
        <v>52.311384530981513</v>
      </c>
      <c r="AW117">
        <f t="shared" si="126"/>
        <v>56.019837646744968</v>
      </c>
      <c r="AX117">
        <f t="shared" si="126"/>
        <v>59.751172785465187</v>
      </c>
      <c r="AY117">
        <f t="shared" si="126"/>
        <v>63.504102440564537</v>
      </c>
      <c r="AZ117">
        <f t="shared" si="126"/>
        <v>67.277476340876561</v>
      </c>
      <c r="BA117">
        <f t="shared" si="126"/>
        <v>71.070260610085711</v>
      </c>
      <c r="BB117">
        <f t="shared" si="126"/>
        <v>35.535130305042856</v>
      </c>
      <c r="BC117">
        <f t="shared" si="126"/>
        <v>17.767565152521428</v>
      </c>
      <c r="BD117">
        <f t="shared" si="126"/>
        <v>8.8837825762607139</v>
      </c>
      <c r="BE117">
        <f t="shared" si="126"/>
        <v>4.4418912881303569</v>
      </c>
      <c r="BF117">
        <f t="shared" si="126"/>
        <v>58.028450411613967</v>
      </c>
      <c r="BG117">
        <f t="shared" si="126"/>
        <v>54.446389022541013</v>
      </c>
      <c r="BH117">
        <f t="shared" si="126"/>
        <v>50.886818536456296</v>
      </c>
      <c r="BI117">
        <f t="shared" si="126"/>
        <v>47.351139104805611</v>
      </c>
      <c r="BJ117">
        <f t="shared" si="126"/>
        <v>43.84093691940334</v>
      </c>
      <c r="BK117">
        <f t="shared" si="126"/>
        <v>40.358023963880008</v>
      </c>
      <c r="BL117">
        <f t="shared" si="126"/>
        <v>36.904489970510191</v>
      </c>
      <c r="BM117">
        <f t="shared" si="126"/>
        <v>33.482771662189016</v>
      </c>
      <c r="BN117">
        <f t="shared" si="126"/>
        <v>30.095747130437832</v>
      </c>
      <c r="BO117">
        <f t="shared" ref="BO117:CX117" si="127">10^(-4)*4*BO31*(LN((BO31/BO116)+SQRT(1+(BO31/BO116)^2))-SQRT(1+(BO116/BO31)^2)+BO116/BO31)</f>
        <v>26.746867914665465</v>
      </c>
      <c r="BP117">
        <f t="shared" si="127"/>
        <v>58.777426192531706</v>
      </c>
      <c r="BQ117">
        <f t="shared" si="127"/>
        <v>55.190840577593292</v>
      </c>
      <c r="BR117">
        <f t="shared" si="127"/>
        <v>51.626474586335796</v>
      </c>
      <c r="BS117">
        <f t="shared" si="127"/>
        <v>48.085693750214425</v>
      </c>
      <c r="BT117">
        <f t="shared" si="127"/>
        <v>44.570042559328698</v>
      </c>
      <c r="BU117">
        <f t="shared" si="127"/>
        <v>41.081282140094388</v>
      </c>
      <c r="BV117">
        <f t="shared" si="127"/>
        <v>37.621439318800014</v>
      </c>
      <c r="BW117">
        <f t="shared" si="127"/>
        <v>34.192871728589587</v>
      </c>
      <c r="BX117">
        <f t="shared" si="127"/>
        <v>30.798356110675464</v>
      </c>
      <c r="BY117">
        <f t="shared" si="127"/>
        <v>27.441211166221443</v>
      </c>
      <c r="BZ117">
        <f t="shared" si="127"/>
        <v>49.691940767575687</v>
      </c>
      <c r="CA117">
        <f t="shared" si="127"/>
        <v>86.418036967152347</v>
      </c>
      <c r="CB117">
        <f t="shared" si="127"/>
        <v>23.440349739755103</v>
      </c>
      <c r="CC117">
        <f t="shared" si="127"/>
        <v>20.181458637559473</v>
      </c>
      <c r="CD117">
        <f t="shared" si="127"/>
        <v>20.154519039589353</v>
      </c>
      <c r="CE117">
        <f t="shared" si="127"/>
        <v>20.046798383615506</v>
      </c>
      <c r="CF117">
        <f t="shared" si="127"/>
        <v>19.858433208270341</v>
      </c>
      <c r="CG117">
        <f t="shared" si="127"/>
        <v>19.589665076381124</v>
      </c>
      <c r="CH117">
        <f t="shared" si="127"/>
        <v>19.240845000050285</v>
      </c>
      <c r="CI117">
        <f t="shared" si="127"/>
        <v>18.812440070690261</v>
      </c>
      <c r="CJ117">
        <f t="shared" si="127"/>
        <v>18.305042657494486</v>
      </c>
      <c r="CK117">
        <f t="shared" si="127"/>
        <v>17.719382709068704</v>
      </c>
      <c r="CL117">
        <f t="shared" si="127"/>
        <v>17.056343927452197</v>
      </c>
      <c r="CM117">
        <f t="shared" si="127"/>
        <v>16.316984917707707</v>
      </c>
      <c r="CN117">
        <f t="shared" si="127"/>
        <v>15.502566908229104</v>
      </c>
      <c r="CO117">
        <f t="shared" si="127"/>
        <v>13.809996529128465</v>
      </c>
      <c r="CP117">
        <f t="shared" si="127"/>
        <v>12.139668817686934</v>
      </c>
      <c r="CQ117">
        <f t="shared" si="127"/>
        <v>10.494253518225825</v>
      </c>
      <c r="CR117">
        <f t="shared" si="127"/>
        <v>8.8771509495804235</v>
      </c>
      <c r="CS117">
        <f t="shared" si="127"/>
        <v>7.2928408813789884</v>
      </c>
      <c r="CT117">
        <f t="shared" si="127"/>
        <v>5.747497174344165</v>
      </c>
      <c r="CU117">
        <f t="shared" si="127"/>
        <v>5.6538539671342409</v>
      </c>
      <c r="CV117">
        <f t="shared" si="127"/>
        <v>17.480261356755562</v>
      </c>
      <c r="CW117">
        <f t="shared" si="127"/>
        <v>13.679013224801503</v>
      </c>
      <c r="CX117">
        <f t="shared" si="127"/>
        <v>13.36740403226548</v>
      </c>
    </row>
    <row r="118" spans="1:102" x14ac:dyDescent="0.25">
      <c r="A118" t="s">
        <v>169</v>
      </c>
      <c r="B118">
        <f>B117+B109</f>
        <v>33.044340502147449</v>
      </c>
      <c r="C118">
        <f t="shared" ref="C118:BN118" si="128">C117+C109</f>
        <v>43.831674626659293</v>
      </c>
      <c r="D118">
        <f t="shared" si="128"/>
        <v>27.412084053137789</v>
      </c>
      <c r="E118">
        <f t="shared" si="128"/>
        <v>26.848625648352872</v>
      </c>
      <c r="F118">
        <f t="shared" si="128"/>
        <v>62.461654691268016</v>
      </c>
      <c r="G118">
        <f t="shared" si="128"/>
        <v>56.589405315127991</v>
      </c>
      <c r="H118">
        <f t="shared" si="128"/>
        <v>50.771512452651521</v>
      </c>
      <c r="I118">
        <f t="shared" si="128"/>
        <v>45.013564579714085</v>
      </c>
      <c r="J118">
        <f t="shared" si="128"/>
        <v>39.322433819314298</v>
      </c>
      <c r="K118">
        <f t="shared" si="128"/>
        <v>33.706777019143381</v>
      </c>
      <c r="L118">
        <f t="shared" si="128"/>
        <v>28.177837766916205</v>
      </c>
      <c r="M118">
        <f t="shared" si="128"/>
        <v>22.750816569907808</v>
      </c>
      <c r="N118">
        <f t="shared" si="128"/>
        <v>22.73235541112161</v>
      </c>
      <c r="O118">
        <f t="shared" si="128"/>
        <v>22.625861941972879</v>
      </c>
      <c r="P118">
        <f t="shared" si="128"/>
        <v>22.431461804850603</v>
      </c>
      <c r="Q118">
        <f t="shared" si="128"/>
        <v>22.14938319644294</v>
      </c>
      <c r="R118">
        <f t="shared" si="128"/>
        <v>21.779960962451568</v>
      </c>
      <c r="S118">
        <f t="shared" si="128"/>
        <v>21.323642781864596</v>
      </c>
      <c r="T118">
        <f t="shared" si="128"/>
        <v>20.780997772174018</v>
      </c>
      <c r="U118">
        <f t="shared" si="128"/>
        <v>20.152728003455017</v>
      </c>
      <c r="V118">
        <f t="shared" si="128"/>
        <v>19.439683622046623</v>
      </c>
      <c r="W118">
        <f t="shared" si="128"/>
        <v>18.642882585552773</v>
      </c>
      <c r="X118">
        <f t="shared" si="128"/>
        <v>17.763536451213735</v>
      </c>
      <c r="Y118">
        <f t="shared" si="128"/>
        <v>16.803084324744823</v>
      </c>
      <c r="Z118">
        <f t="shared" si="128"/>
        <v>15.763238114216174</v>
      </c>
      <c r="AA118">
        <f t="shared" si="128"/>
        <v>14.646043909471475</v>
      </c>
      <c r="AB118">
        <f t="shared" si="128"/>
        <v>13.453967123056341</v>
      </c>
      <c r="AC118">
        <f t="shared" si="128"/>
        <v>12.190013978037079</v>
      </c>
      <c r="AD118">
        <f t="shared" si="128"/>
        <v>9.9877456240273936</v>
      </c>
      <c r="AE118">
        <f t="shared" si="128"/>
        <v>8.0228624452283519</v>
      </c>
      <c r="AF118">
        <f t="shared" si="128"/>
        <v>6.2196681011919797</v>
      </c>
      <c r="AG118">
        <f t="shared" si="128"/>
        <v>9.7871341297948149</v>
      </c>
      <c r="AH118">
        <f t="shared" si="128"/>
        <v>7.8263191378761618</v>
      </c>
      <c r="AI118">
        <f t="shared" si="128"/>
        <v>6.1109816798701111</v>
      </c>
      <c r="AJ118">
        <f t="shared" si="128"/>
        <v>10.468087205682611</v>
      </c>
      <c r="AK118">
        <f t="shared" si="128"/>
        <v>8.7750551901130471</v>
      </c>
      <c r="AL118">
        <f t="shared" si="128"/>
        <v>7.115821075345945</v>
      </c>
      <c r="AM118">
        <f t="shared" si="128"/>
        <v>5.4973063476512181</v>
      </c>
      <c r="AN118">
        <f t="shared" si="128"/>
        <v>3.9300379928774776</v>
      </c>
      <c r="AO118">
        <f t="shared" si="128"/>
        <v>6.9322061520337979</v>
      </c>
      <c r="AP118">
        <f t="shared" si="128"/>
        <v>31.230827345634008</v>
      </c>
      <c r="AQ118">
        <f t="shared" si="128"/>
        <v>15.615413672817004</v>
      </c>
      <c r="AR118">
        <f t="shared" si="128"/>
        <v>7.807706836408502</v>
      </c>
      <c r="AS118">
        <f t="shared" si="128"/>
        <v>68.38362640945266</v>
      </c>
      <c r="AT118">
        <f t="shared" si="128"/>
        <v>74.351415156569729</v>
      </c>
      <c r="AU118">
        <f t="shared" si="128"/>
        <v>80.361684920122656</v>
      </c>
      <c r="AV118">
        <f t="shared" si="128"/>
        <v>86.41155286952673</v>
      </c>
      <c r="AW118">
        <f t="shared" si="128"/>
        <v>92.498502826437516</v>
      </c>
      <c r="AX118">
        <f t="shared" si="128"/>
        <v>98.620319458473347</v>
      </c>
      <c r="AY118">
        <f t="shared" si="128"/>
        <v>104.77503733973282</v>
      </c>
      <c r="AZ118">
        <f t="shared" si="128"/>
        <v>110.96090090230334</v>
      </c>
      <c r="BA118">
        <f t="shared" si="128"/>
        <v>117.17633251459429</v>
      </c>
      <c r="BB118">
        <f t="shared" si="128"/>
        <v>58.588166257297146</v>
      </c>
      <c r="BC118">
        <f t="shared" si="128"/>
        <v>29.294083128648573</v>
      </c>
      <c r="BD118">
        <f t="shared" si="128"/>
        <v>14.647041564324287</v>
      </c>
      <c r="BE118">
        <f t="shared" si="128"/>
        <v>7.3235207821621433</v>
      </c>
      <c r="BF118">
        <f t="shared" si="128"/>
        <v>97.854590254135971</v>
      </c>
      <c r="BG118">
        <f t="shared" si="128"/>
        <v>91.877459040915213</v>
      </c>
      <c r="BH118">
        <f t="shared" si="128"/>
        <v>85.934523368428103</v>
      </c>
      <c r="BI118">
        <f t="shared" si="128"/>
        <v>80.027911429930299</v>
      </c>
      <c r="BJ118">
        <f t="shared" si="128"/>
        <v>74.160034107211359</v>
      </c>
      <c r="BK118">
        <f t="shared" si="128"/>
        <v>68.333645352824504</v>
      </c>
      <c r="BL118">
        <f t="shared" si="128"/>
        <v>62.551921105559515</v>
      </c>
      <c r="BM118">
        <f t="shared" si="128"/>
        <v>56.818564449518632</v>
      </c>
      <c r="BN118">
        <f t="shared" si="128"/>
        <v>51.137948931515822</v>
      </c>
      <c r="BO118">
        <f t="shared" ref="BO118:CX118" si="129">BO117+BO109</f>
        <v>45.515319102787586</v>
      </c>
      <c r="BP118">
        <f t="shared" si="129"/>
        <v>95.868704070700119</v>
      </c>
      <c r="BQ118">
        <f t="shared" si="129"/>
        <v>90.026818175432012</v>
      </c>
      <c r="BR118">
        <f t="shared" si="129"/>
        <v>84.218925483948567</v>
      </c>
      <c r="BS118">
        <f t="shared" si="129"/>
        <v>78.447128447145246</v>
      </c>
      <c r="BT118">
        <f t="shared" si="129"/>
        <v>72.713806956200386</v>
      </c>
      <c r="BU118">
        <f t="shared" si="129"/>
        <v>67.021677193487989</v>
      </c>
      <c r="BV118">
        <f t="shared" si="129"/>
        <v>61.373868413995126</v>
      </c>
      <c r="BW118">
        <f t="shared" si="129"/>
        <v>55.774025058411048</v>
      </c>
      <c r="BX118">
        <f t="shared" si="129"/>
        <v>50.226445600935421</v>
      </c>
      <c r="BY118">
        <f t="shared" si="129"/>
        <v>44.736276316325572</v>
      </c>
      <c r="BZ118">
        <f t="shared" si="129"/>
        <v>86.640605398364755</v>
      </c>
      <c r="CA118">
        <f t="shared" si="129"/>
        <v>142.30709692832812</v>
      </c>
      <c r="CB118">
        <f t="shared" si="129"/>
        <v>39.957080077812265</v>
      </c>
      <c r="CC118">
        <f t="shared" si="129"/>
        <v>34.471231810468495</v>
      </c>
      <c r="CD118">
        <f t="shared" si="129"/>
        <v>34.453146379854232</v>
      </c>
      <c r="CE118">
        <f t="shared" si="129"/>
        <v>34.301159398593015</v>
      </c>
      <c r="CF118">
        <f t="shared" si="129"/>
        <v>34.015448121132728</v>
      </c>
      <c r="CG118">
        <f t="shared" si="129"/>
        <v>33.5963443655288</v>
      </c>
      <c r="CH118">
        <f t="shared" si="129"/>
        <v>33.044340502147449</v>
      </c>
      <c r="CI118">
        <f t="shared" si="129"/>
        <v>32.360098592320938</v>
      </c>
      <c r="CJ118">
        <f t="shared" si="129"/>
        <v>31.544463168580634</v>
      </c>
      <c r="CK118">
        <f t="shared" si="129"/>
        <v>30.598478383353189</v>
      </c>
      <c r="CL118">
        <f t="shared" si="129"/>
        <v>29.523410572310162</v>
      </c>
      <c r="CM118">
        <f t="shared" si="129"/>
        <v>28.320777729691091</v>
      </c>
      <c r="CN118">
        <f t="shared" si="129"/>
        <v>26.992388052589526</v>
      </c>
      <c r="CO118">
        <f t="shared" si="129"/>
        <v>24.088033185696286</v>
      </c>
      <c r="CP118">
        <f t="shared" si="129"/>
        <v>21.217865289622488</v>
      </c>
      <c r="CQ118">
        <f t="shared" si="129"/>
        <v>18.385983382584932</v>
      </c>
      <c r="CR118">
        <f t="shared" si="129"/>
        <v>15.597606812639967</v>
      </c>
      <c r="CS118">
        <f t="shared" si="129"/>
        <v>12.859609498239482</v>
      </c>
      <c r="CT118">
        <f t="shared" si="129"/>
        <v>10.181460446413309</v>
      </c>
      <c r="CU118">
        <f t="shared" si="129"/>
        <v>10.047800244766751</v>
      </c>
      <c r="CV118">
        <f t="shared" si="129"/>
        <v>31.19769870322672</v>
      </c>
      <c r="CW118">
        <f t="shared" si="129"/>
        <v>23.56358234882412</v>
      </c>
      <c r="CX118">
        <f t="shared" si="129"/>
        <v>22.329135471765159</v>
      </c>
    </row>
    <row r="119" spans="1:102" x14ac:dyDescent="0.25">
      <c r="A119" t="s">
        <v>171</v>
      </c>
      <c r="B119">
        <f>ABS((B20-B118)/B20)</f>
        <v>0.14834173963537498</v>
      </c>
      <c r="C119">
        <f t="shared" ref="C119:BN119" si="130">ABS((C20-C118)/C20)</f>
        <v>0.28960008708818002</v>
      </c>
      <c r="D119">
        <f t="shared" si="130"/>
        <v>3.478577277683835E-2</v>
      </c>
      <c r="E119">
        <f t="shared" si="130"/>
        <v>3.4222098980112539E-2</v>
      </c>
      <c r="F119">
        <f t="shared" si="130"/>
        <v>0.33480665930491998</v>
      </c>
      <c r="G119">
        <f t="shared" si="130"/>
        <v>0.32791680148304053</v>
      </c>
      <c r="H119">
        <f t="shared" si="130"/>
        <v>0.31941672315480529</v>
      </c>
      <c r="I119">
        <f t="shared" si="130"/>
        <v>0.30319559474126795</v>
      </c>
      <c r="J119">
        <f t="shared" si="130"/>
        <v>0.28112552432697813</v>
      </c>
      <c r="K119">
        <f t="shared" si="130"/>
        <v>0.25262135212542397</v>
      </c>
      <c r="L119">
        <f t="shared" si="130"/>
        <v>0.21728228425232762</v>
      </c>
      <c r="M119">
        <f t="shared" si="130"/>
        <v>0.17867088195278669</v>
      </c>
      <c r="N119">
        <f t="shared" si="130"/>
        <v>0.17933734977900323</v>
      </c>
      <c r="O119">
        <f t="shared" si="130"/>
        <v>0.18022239340677979</v>
      </c>
      <c r="P119">
        <f t="shared" si="130"/>
        <v>0.18431047982361445</v>
      </c>
      <c r="Q119">
        <f t="shared" si="130"/>
        <v>0.18568444130724482</v>
      </c>
      <c r="R119">
        <f t="shared" si="130"/>
        <v>0.18731488946076241</v>
      </c>
      <c r="S119">
        <f t="shared" si="130"/>
        <v>0.18612050450898487</v>
      </c>
      <c r="T119">
        <f t="shared" si="130"/>
        <v>0.18505891089513654</v>
      </c>
      <c r="U119">
        <f t="shared" si="130"/>
        <v>0.18410008083178064</v>
      </c>
      <c r="V119">
        <f t="shared" si="130"/>
        <v>0.17976018472377117</v>
      </c>
      <c r="W119">
        <f t="shared" si="130"/>
        <v>0.17509369090474464</v>
      </c>
      <c r="X119">
        <f t="shared" si="130"/>
        <v>0.16603115252517678</v>
      </c>
      <c r="Y119">
        <f t="shared" si="130"/>
        <v>0.15562390327915457</v>
      </c>
      <c r="Z119">
        <f t="shared" si="130"/>
        <v>0.14330227640129484</v>
      </c>
      <c r="AA119">
        <f t="shared" si="130"/>
        <v>0.1282116720552694</v>
      </c>
      <c r="AB119">
        <f t="shared" si="130"/>
        <v>0.10900879979759331</v>
      </c>
      <c r="AC119">
        <f t="shared" si="130"/>
        <v>9.0297464325591117E-2</v>
      </c>
      <c r="AD119">
        <f t="shared" si="130"/>
        <v>2.0809252546333888E-2</v>
      </c>
      <c r="AE119">
        <f t="shared" si="130"/>
        <v>1.555220825675336E-2</v>
      </c>
      <c r="AF119">
        <f t="shared" si="130"/>
        <v>3.1722743858031421E-3</v>
      </c>
      <c r="AG119">
        <f t="shared" si="130"/>
        <v>3.0224645241559461E-2</v>
      </c>
      <c r="AH119">
        <f t="shared" si="130"/>
        <v>0.1681073340113674</v>
      </c>
      <c r="AI119">
        <f t="shared" si="130"/>
        <v>0.30020886805747038</v>
      </c>
      <c r="AJ119">
        <f t="shared" si="130"/>
        <v>8.9731547331946868E-2</v>
      </c>
      <c r="AK119">
        <f t="shared" si="130"/>
        <v>7.6309979988100296E-2</v>
      </c>
      <c r="AL119">
        <f t="shared" si="130"/>
        <v>6.3707753243954557E-2</v>
      </c>
      <c r="AM119">
        <f t="shared" si="130"/>
        <v>5.2188560749789961E-2</v>
      </c>
      <c r="AN119">
        <f t="shared" si="130"/>
        <v>6.4276668362505382E-2</v>
      </c>
      <c r="AO119">
        <f t="shared" si="130"/>
        <v>1.944208118144089E-2</v>
      </c>
      <c r="AP119">
        <f t="shared" si="130"/>
        <v>0.42590390908761011</v>
      </c>
      <c r="AQ119">
        <f t="shared" si="130"/>
        <v>0.43216677553392713</v>
      </c>
      <c r="AR119">
        <f t="shared" si="130"/>
        <v>0.36002402980258175</v>
      </c>
      <c r="AS119">
        <f t="shared" si="130"/>
        <v>0.37889530963258256</v>
      </c>
      <c r="AT119">
        <f t="shared" si="130"/>
        <v>0.3845081526774029</v>
      </c>
      <c r="AU119">
        <f t="shared" si="130"/>
        <v>0.38561402966267089</v>
      </c>
      <c r="AV119">
        <f t="shared" si="130"/>
        <v>0.38100606826986583</v>
      </c>
      <c r="AW119">
        <f t="shared" si="130"/>
        <v>0.39025377174398468</v>
      </c>
      <c r="AX119">
        <f t="shared" si="130"/>
        <v>0.38745143193494813</v>
      </c>
      <c r="AY119">
        <f t="shared" si="130"/>
        <v>0.38149328607005423</v>
      </c>
      <c r="AZ119">
        <f t="shared" si="130"/>
        <v>0.36882308929292756</v>
      </c>
      <c r="BA119">
        <f t="shared" si="130"/>
        <v>0.39097540273079889</v>
      </c>
      <c r="BB119">
        <f t="shared" si="130"/>
        <v>0.48920517648389583</v>
      </c>
      <c r="BC119">
        <f t="shared" si="130"/>
        <v>0.50095258724619129</v>
      </c>
      <c r="BD119">
        <f t="shared" si="130"/>
        <v>0.5117652811891904</v>
      </c>
      <c r="BE119">
        <f t="shared" si="130"/>
        <v>0.52444670245700364</v>
      </c>
      <c r="BF119">
        <f t="shared" si="130"/>
        <v>0.39521266839223756</v>
      </c>
      <c r="BG119">
        <f t="shared" si="130"/>
        <v>0.38502370119869339</v>
      </c>
      <c r="BH119">
        <f t="shared" si="130"/>
        <v>0.37319822488382126</v>
      </c>
      <c r="BI119">
        <f t="shared" si="130"/>
        <v>0.36028847777833489</v>
      </c>
      <c r="BJ119">
        <f t="shared" si="130"/>
        <v>0.34545424442002332</v>
      </c>
      <c r="BK119">
        <f t="shared" si="130"/>
        <v>0.32940485424117272</v>
      </c>
      <c r="BL119">
        <f t="shared" si="130"/>
        <v>0.31186005384422982</v>
      </c>
      <c r="BM119">
        <f t="shared" si="130"/>
        <v>0.29153909663941857</v>
      </c>
      <c r="BN119">
        <f t="shared" si="130"/>
        <v>0.26945787240691682</v>
      </c>
      <c r="BO119">
        <f t="shared" ref="BO119:CX119" si="131">ABS((BO20-BO118)/BO20)</f>
        <v>0.24393157636565474</v>
      </c>
      <c r="BP119">
        <f t="shared" si="131"/>
        <v>0.35916641663970506</v>
      </c>
      <c r="BQ119">
        <f t="shared" si="131"/>
        <v>0.35232504909761142</v>
      </c>
      <c r="BR119">
        <f t="shared" si="131"/>
        <v>0.34966080707375624</v>
      </c>
      <c r="BS119">
        <f t="shared" si="131"/>
        <v>0.33855709572390175</v>
      </c>
      <c r="BT119">
        <f t="shared" si="131"/>
        <v>0.32484858907891939</v>
      </c>
      <c r="BU119">
        <f t="shared" si="131"/>
        <v>0.30905487429393824</v>
      </c>
      <c r="BV119">
        <f t="shared" si="131"/>
        <v>0.28965430076394533</v>
      </c>
      <c r="BW119">
        <f t="shared" si="131"/>
        <v>0.26805741393161359</v>
      </c>
      <c r="BX119">
        <f t="shared" si="131"/>
        <v>0.24357762649193651</v>
      </c>
      <c r="BY119">
        <f t="shared" si="131"/>
        <v>0.2151530470820075</v>
      </c>
      <c r="BZ119">
        <f t="shared" si="131"/>
        <v>0.18031593757460027</v>
      </c>
      <c r="CA119">
        <f t="shared" si="131"/>
        <v>0.46238346456997309</v>
      </c>
      <c r="CB119">
        <f t="shared" si="131"/>
        <v>0.21806105522872282</v>
      </c>
      <c r="CC119">
        <f t="shared" si="131"/>
        <v>0.19081615468383817</v>
      </c>
      <c r="CD119">
        <f t="shared" si="131"/>
        <v>0.19124069530858614</v>
      </c>
      <c r="CE119">
        <f t="shared" si="131"/>
        <v>0.19291389650369378</v>
      </c>
      <c r="CF119">
        <f t="shared" si="131"/>
        <v>0.19394672698737617</v>
      </c>
      <c r="CG119">
        <f t="shared" si="131"/>
        <v>0.19433226941177942</v>
      </c>
      <c r="CH119">
        <f t="shared" si="131"/>
        <v>0.19600144763631513</v>
      </c>
      <c r="CI119">
        <f t="shared" si="131"/>
        <v>0.19502242307659365</v>
      </c>
      <c r="CJ119">
        <f t="shared" si="131"/>
        <v>0.19529430692396346</v>
      </c>
      <c r="CK119">
        <f t="shared" si="131"/>
        <v>0.19051644488483621</v>
      </c>
      <c r="CL119">
        <f t="shared" si="131"/>
        <v>0.18668290434407261</v>
      </c>
      <c r="CM119">
        <f t="shared" si="131"/>
        <v>0.1814804124366737</v>
      </c>
      <c r="CN119">
        <f t="shared" si="131"/>
        <v>0.17201263642363421</v>
      </c>
      <c r="CO119">
        <f t="shared" si="131"/>
        <v>0.15480585313346365</v>
      </c>
      <c r="CP119">
        <f t="shared" si="131"/>
        <v>0.133964682056225</v>
      </c>
      <c r="CQ119">
        <f t="shared" si="131"/>
        <v>0.11178824238720131</v>
      </c>
      <c r="CR119">
        <f t="shared" si="131"/>
        <v>8.2493716903531369E-2</v>
      </c>
      <c r="CS119">
        <f t="shared" si="131"/>
        <v>6.1342372391278606E-2</v>
      </c>
      <c r="CT119">
        <f t="shared" si="131"/>
        <v>3.9484863545914177E-2</v>
      </c>
      <c r="CU119">
        <f t="shared" si="131"/>
        <v>3.3865361080120095E-2</v>
      </c>
      <c r="CV119">
        <f t="shared" si="131"/>
        <v>2.9016535847285471E-2</v>
      </c>
      <c r="CW119">
        <f t="shared" si="131"/>
        <v>0.18182005733249584</v>
      </c>
      <c r="CX119">
        <f t="shared" si="131"/>
        <v>0.20253087600838718</v>
      </c>
    </row>
    <row r="121" spans="1:102" x14ac:dyDescent="0.25">
      <c r="B121" t="s">
        <v>173</v>
      </c>
    </row>
    <row r="122" spans="1:102" x14ac:dyDescent="0.25">
      <c r="B122">
        <f>B23</f>
        <v>150</v>
      </c>
    </row>
    <row r="123" spans="1:102" x14ac:dyDescent="0.25">
      <c r="B123">
        <f>B122-2*(B$25+B$26)</f>
        <v>144</v>
      </c>
    </row>
    <row r="124" spans="1:102" x14ac:dyDescent="0.25">
      <c r="B124">
        <f t="shared" ref="B124:B143" si="132">B123-2*(B$25+B$26)</f>
        <v>138</v>
      </c>
    </row>
    <row r="125" spans="1:102" x14ac:dyDescent="0.25">
      <c r="B125">
        <f t="shared" si="132"/>
        <v>132</v>
      </c>
    </row>
    <row r="126" spans="1:102" x14ac:dyDescent="0.25">
      <c r="B126">
        <f t="shared" si="132"/>
        <v>126</v>
      </c>
    </row>
    <row r="127" spans="1:102" x14ac:dyDescent="0.25">
      <c r="B127">
        <f t="shared" si="132"/>
        <v>120</v>
      </c>
    </row>
    <row r="128" spans="1:102" x14ac:dyDescent="0.25">
      <c r="B128">
        <f t="shared" si="132"/>
        <v>114</v>
      </c>
    </row>
    <row r="129" spans="2:2" x14ac:dyDescent="0.25">
      <c r="B129">
        <f t="shared" si="132"/>
        <v>108</v>
      </c>
    </row>
    <row r="130" spans="2:2" x14ac:dyDescent="0.25">
      <c r="B130">
        <f t="shared" si="132"/>
        <v>102</v>
      </c>
    </row>
    <row r="131" spans="2:2" x14ac:dyDescent="0.25">
      <c r="B131">
        <f t="shared" si="132"/>
        <v>96</v>
      </c>
    </row>
    <row r="132" spans="2:2" x14ac:dyDescent="0.25">
      <c r="B132">
        <f t="shared" si="132"/>
        <v>90</v>
      </c>
    </row>
    <row r="133" spans="2:2" x14ac:dyDescent="0.25">
      <c r="B133">
        <f t="shared" si="132"/>
        <v>84</v>
      </c>
    </row>
    <row r="134" spans="2:2" x14ac:dyDescent="0.25">
      <c r="B134">
        <f t="shared" si="132"/>
        <v>78</v>
      </c>
    </row>
    <row r="135" spans="2:2" x14ac:dyDescent="0.25">
      <c r="B135">
        <f t="shared" si="132"/>
        <v>72</v>
      </c>
    </row>
    <row r="136" spans="2:2" x14ac:dyDescent="0.25">
      <c r="B136">
        <f t="shared" si="132"/>
        <v>66</v>
      </c>
    </row>
    <row r="137" spans="2:2" x14ac:dyDescent="0.25">
      <c r="B137">
        <f t="shared" si="132"/>
        <v>60</v>
      </c>
    </row>
    <row r="138" spans="2:2" x14ac:dyDescent="0.25">
      <c r="B138">
        <f t="shared" si="132"/>
        <v>54</v>
      </c>
    </row>
    <row r="139" spans="2:2" x14ac:dyDescent="0.25">
      <c r="B139">
        <f t="shared" si="132"/>
        <v>48</v>
      </c>
    </row>
    <row r="140" spans="2:2" x14ac:dyDescent="0.25">
      <c r="B140">
        <f t="shared" si="132"/>
        <v>42</v>
      </c>
    </row>
    <row r="141" spans="2:2" x14ac:dyDescent="0.25">
      <c r="B141">
        <f>B140-2*(B$25+B$26)</f>
        <v>36</v>
      </c>
    </row>
    <row r="142" spans="2:2" x14ac:dyDescent="0.25">
      <c r="B142">
        <f t="shared" si="132"/>
        <v>30</v>
      </c>
    </row>
    <row r="143" spans="2:2" x14ac:dyDescent="0.25">
      <c r="B143">
        <f t="shared" si="132"/>
        <v>24</v>
      </c>
    </row>
    <row r="150" spans="1:97" x14ac:dyDescent="0.25">
      <c r="A150" t="s">
        <v>174</v>
      </c>
      <c r="F150">
        <v>95.4</v>
      </c>
      <c r="G150">
        <v>83.2</v>
      </c>
      <c r="H150">
        <v>71.599999999999994</v>
      </c>
      <c r="I150">
        <v>60.5</v>
      </c>
      <c r="J150">
        <v>50.1</v>
      </c>
      <c r="K150">
        <v>40.5</v>
      </c>
      <c r="L150">
        <v>31.7</v>
      </c>
      <c r="M150">
        <v>24</v>
      </c>
      <c r="N150">
        <v>24</v>
      </c>
      <c r="O150">
        <v>24</v>
      </c>
      <c r="P150">
        <v>23.9</v>
      </c>
      <c r="Q150">
        <v>23.7</v>
      </c>
      <c r="R150">
        <v>23.4</v>
      </c>
      <c r="S150">
        <v>23</v>
      </c>
      <c r="T150">
        <v>22.5</v>
      </c>
      <c r="U150">
        <v>21.9</v>
      </c>
      <c r="V150">
        <v>21.1</v>
      </c>
      <c r="W150">
        <v>20.2</v>
      </c>
      <c r="X150">
        <v>19.100000000000001</v>
      </c>
      <c r="Y150">
        <v>17.899999999999999</v>
      </c>
      <c r="Z150">
        <v>16.600000000000001</v>
      </c>
      <c r="AA150">
        <v>15.2</v>
      </c>
      <c r="AB150">
        <v>13.7</v>
      </c>
      <c r="AC150">
        <v>12.1</v>
      </c>
      <c r="AD150">
        <v>8.6999999999999993</v>
      </c>
      <c r="AE150">
        <v>6.3</v>
      </c>
      <c r="AF150">
        <v>4.5999999999999996</v>
      </c>
      <c r="AG150">
        <v>8.3000000000000007</v>
      </c>
      <c r="AH150">
        <v>5.8</v>
      </c>
      <c r="AI150">
        <v>4</v>
      </c>
      <c r="AJ150">
        <v>10</v>
      </c>
      <c r="AK150">
        <v>8.1</v>
      </c>
      <c r="AL150">
        <v>6.2</v>
      </c>
      <c r="AM150">
        <v>4.5</v>
      </c>
      <c r="AN150">
        <v>3</v>
      </c>
    </row>
    <row r="151" spans="1:97" x14ac:dyDescent="0.25">
      <c r="A151" t="s">
        <v>175</v>
      </c>
      <c r="F151">
        <f>ABS(F150-F20)/F20</f>
        <v>1.5974440894568689E-2</v>
      </c>
      <c r="G151">
        <f t="shared" ref="G151:M151" si="133">ABS(G150-G20)/G20</f>
        <v>1.1876484560570071E-2</v>
      </c>
      <c r="H151">
        <f t="shared" si="133"/>
        <v>4.0214477211796253E-2</v>
      </c>
      <c r="I151">
        <f t="shared" si="133"/>
        <v>6.3467492260061834E-2</v>
      </c>
      <c r="J151">
        <f t="shared" si="133"/>
        <v>8.4095063985374793E-2</v>
      </c>
      <c r="K151">
        <f t="shared" si="133"/>
        <v>0.10199556541019958</v>
      </c>
      <c r="L151">
        <f t="shared" si="133"/>
        <v>0.11944444444444446</v>
      </c>
      <c r="M151">
        <f t="shared" si="133"/>
        <v>0.13357400722021659</v>
      </c>
      <c r="N151">
        <f t="shared" ref="N151:AN151" si="134">ABS(N150-N20)/N20</f>
        <v>0.13357400722021659</v>
      </c>
      <c r="O151">
        <f t="shared" si="134"/>
        <v>0.1304347826086957</v>
      </c>
      <c r="P151">
        <f t="shared" si="134"/>
        <v>0.13090909090909095</v>
      </c>
      <c r="Q151">
        <f t="shared" si="134"/>
        <v>0.12867647058823531</v>
      </c>
      <c r="R151">
        <f t="shared" si="134"/>
        <v>0.12686567164179113</v>
      </c>
      <c r="S151">
        <f t="shared" si="134"/>
        <v>0.12213740458015265</v>
      </c>
      <c r="T151">
        <f t="shared" si="134"/>
        <v>0.11764705882352941</v>
      </c>
      <c r="U151">
        <f t="shared" si="134"/>
        <v>0.11336032388663971</v>
      </c>
      <c r="V151">
        <f t="shared" si="134"/>
        <v>0.10970464135021088</v>
      </c>
      <c r="W151">
        <f t="shared" si="134"/>
        <v>0.10619469026548681</v>
      </c>
      <c r="X151">
        <f t="shared" si="134"/>
        <v>0.10328638497652579</v>
      </c>
      <c r="Y151">
        <f t="shared" si="134"/>
        <v>0.10050251256281408</v>
      </c>
      <c r="Z151">
        <f t="shared" si="134"/>
        <v>9.7826086956521591E-2</v>
      </c>
      <c r="AA151">
        <f t="shared" si="134"/>
        <v>9.5238095238095316E-2</v>
      </c>
      <c r="AB151">
        <f t="shared" si="134"/>
        <v>9.27152317880795E-2</v>
      </c>
      <c r="AC151">
        <f t="shared" si="134"/>
        <v>9.7014925373134372E-2</v>
      </c>
      <c r="AD151">
        <f t="shared" si="134"/>
        <v>0.14705882352941177</v>
      </c>
      <c r="AE151">
        <f t="shared" si="134"/>
        <v>0.20253164556962031</v>
      </c>
      <c r="AF151">
        <f t="shared" si="134"/>
        <v>0.25806451612903236</v>
      </c>
      <c r="AG151">
        <f t="shared" si="134"/>
        <v>0.12631578947368413</v>
      </c>
      <c r="AH151">
        <f t="shared" si="134"/>
        <v>0.13432835820895528</v>
      </c>
      <c r="AI151">
        <f t="shared" si="134"/>
        <v>0.14893617021276598</v>
      </c>
      <c r="AJ151">
        <f t="shared" si="134"/>
        <v>0.13043478260869565</v>
      </c>
      <c r="AK151">
        <f t="shared" si="134"/>
        <v>0.14736842105263162</v>
      </c>
      <c r="AL151">
        <f t="shared" si="134"/>
        <v>0.18421052631578941</v>
      </c>
      <c r="AM151">
        <f t="shared" si="134"/>
        <v>0.22413793103448273</v>
      </c>
      <c r="AN151">
        <f t="shared" si="134"/>
        <v>0.28571428571428575</v>
      </c>
    </row>
    <row r="157" spans="1:97" x14ac:dyDescent="0.25">
      <c r="A157" t="s">
        <v>182</v>
      </c>
      <c r="B157">
        <f>B26/(B26*LN((B25+B26)/B25)+B25*LN((B25+B26)/B26))</f>
        <v>0.38421791333501204</v>
      </c>
      <c r="C157">
        <f t="shared" ref="C157:BN157" si="135">C26/(C26*LN((C25+C26)/C25)+C25*LN((C25+C26)/C26))</f>
        <v>0.72134752044448169</v>
      </c>
      <c r="D157">
        <f t="shared" si="135"/>
        <v>0.22489269019099986</v>
      </c>
      <c r="E157">
        <f t="shared" si="135"/>
        <v>0.22489269019099986</v>
      </c>
      <c r="F157">
        <f t="shared" si="135"/>
        <v>0.72134752044448169</v>
      </c>
      <c r="G157">
        <f t="shared" si="135"/>
        <v>0.72134752044448169</v>
      </c>
      <c r="H157">
        <f t="shared" si="135"/>
        <v>0.72134752044448169</v>
      </c>
      <c r="I157">
        <f t="shared" si="135"/>
        <v>0.72134752044448169</v>
      </c>
      <c r="J157">
        <f t="shared" si="135"/>
        <v>0.72134752044448169</v>
      </c>
      <c r="K157">
        <f t="shared" si="135"/>
        <v>0.72134752044448169</v>
      </c>
      <c r="L157">
        <f t="shared" si="135"/>
        <v>0.72134752044448169</v>
      </c>
      <c r="M157">
        <f t="shared" si="135"/>
        <v>0.72134752044448169</v>
      </c>
      <c r="N157">
        <f t="shared" si="135"/>
        <v>0.72134752044448169</v>
      </c>
      <c r="O157">
        <f t="shared" si="135"/>
        <v>0.72134752044448169</v>
      </c>
      <c r="P157">
        <f t="shared" si="135"/>
        <v>0.72134752044448169</v>
      </c>
      <c r="Q157">
        <f t="shared" si="135"/>
        <v>0.72134752044448169</v>
      </c>
      <c r="R157">
        <f t="shared" si="135"/>
        <v>0.72134752044448169</v>
      </c>
      <c r="S157">
        <f t="shared" si="135"/>
        <v>0.72134752044448169</v>
      </c>
      <c r="T157">
        <f t="shared" si="135"/>
        <v>0.72134752044448169</v>
      </c>
      <c r="U157">
        <f t="shared" si="135"/>
        <v>0.72134752044448169</v>
      </c>
      <c r="V157">
        <f t="shared" si="135"/>
        <v>0.72134752044448169</v>
      </c>
      <c r="W157">
        <f t="shared" si="135"/>
        <v>0.72134752044448169</v>
      </c>
      <c r="X157">
        <f t="shared" si="135"/>
        <v>0.72134752044448169</v>
      </c>
      <c r="Y157">
        <f t="shared" si="135"/>
        <v>0.72134752044448169</v>
      </c>
      <c r="Z157">
        <f t="shared" si="135"/>
        <v>0.72134752044448169</v>
      </c>
      <c r="AA157">
        <f t="shared" si="135"/>
        <v>0.72134752044448169</v>
      </c>
      <c r="AB157">
        <f t="shared" si="135"/>
        <v>0.72134752044448169</v>
      </c>
      <c r="AC157">
        <f t="shared" si="135"/>
        <v>0.72134752044448169</v>
      </c>
      <c r="AD157">
        <f t="shared" si="135"/>
        <v>0.38421791333501204</v>
      </c>
      <c r="AE157">
        <f t="shared" si="135"/>
        <v>0.22489269019099986</v>
      </c>
      <c r="AF157">
        <f t="shared" si="135"/>
        <v>0.15012997049439719</v>
      </c>
      <c r="AG157">
        <f t="shared" si="135"/>
        <v>0.76843582667002408</v>
      </c>
      <c r="AH157">
        <f t="shared" si="135"/>
        <v>0.67467807057299956</v>
      </c>
      <c r="AI157">
        <f t="shared" si="135"/>
        <v>0.60051988197758877</v>
      </c>
      <c r="AJ157">
        <f t="shared" si="135"/>
        <v>0.72134752044448169</v>
      </c>
      <c r="AK157">
        <f t="shared" si="135"/>
        <v>0.72134752044448169</v>
      </c>
      <c r="AL157">
        <f t="shared" si="135"/>
        <v>0.72134752044448169</v>
      </c>
      <c r="AM157">
        <f t="shared" si="135"/>
        <v>0.72134752044448169</v>
      </c>
      <c r="AN157">
        <f t="shared" si="135"/>
        <v>0.72134752044448169</v>
      </c>
      <c r="AO157">
        <f t="shared" si="135"/>
        <v>0.38421791333501204</v>
      </c>
      <c r="AP157">
        <f t="shared" si="135"/>
        <v>0.72134752044448169</v>
      </c>
      <c r="AQ157">
        <f t="shared" si="135"/>
        <v>0.72134752044448169</v>
      </c>
      <c r="AR157">
        <f t="shared" si="135"/>
        <v>0.72134752044448169</v>
      </c>
      <c r="AS157">
        <f t="shared" si="135"/>
        <v>0.72134752044448169</v>
      </c>
      <c r="AT157">
        <f t="shared" si="135"/>
        <v>0.72134752044448169</v>
      </c>
      <c r="AU157">
        <f t="shared" si="135"/>
        <v>0.72134752044448169</v>
      </c>
      <c r="AV157">
        <f t="shared" si="135"/>
        <v>0.72134752044448169</v>
      </c>
      <c r="AW157">
        <f t="shared" si="135"/>
        <v>0.72134752044448169</v>
      </c>
      <c r="AX157">
        <f t="shared" si="135"/>
        <v>0.72134752044448169</v>
      </c>
      <c r="AY157">
        <f t="shared" si="135"/>
        <v>0.72134752044448169</v>
      </c>
      <c r="AZ157">
        <f t="shared" si="135"/>
        <v>0.72134752044448169</v>
      </c>
      <c r="BA157">
        <f t="shared" si="135"/>
        <v>0.72134752044448169</v>
      </c>
      <c r="BB157">
        <f t="shared" si="135"/>
        <v>0.72134752044448169</v>
      </c>
      <c r="BC157">
        <f t="shared" si="135"/>
        <v>0.72134752044448169</v>
      </c>
      <c r="BD157">
        <f t="shared" si="135"/>
        <v>0.72134752044448169</v>
      </c>
      <c r="BE157">
        <f t="shared" si="135"/>
        <v>0.72134752044448169</v>
      </c>
      <c r="BF157">
        <f t="shared" si="135"/>
        <v>0.38421791333501204</v>
      </c>
      <c r="BG157">
        <f t="shared" si="135"/>
        <v>0.38421791333501204</v>
      </c>
      <c r="BH157">
        <f t="shared" si="135"/>
        <v>0.38421791333501204</v>
      </c>
      <c r="BI157">
        <f t="shared" si="135"/>
        <v>0.38421791333501204</v>
      </c>
      <c r="BJ157">
        <f t="shared" si="135"/>
        <v>0.38421791333501204</v>
      </c>
      <c r="BK157">
        <f t="shared" si="135"/>
        <v>0.38421791333501204</v>
      </c>
      <c r="BL157">
        <f t="shared" si="135"/>
        <v>0.38421791333501204</v>
      </c>
      <c r="BM157">
        <f t="shared" si="135"/>
        <v>0.38421791333501204</v>
      </c>
      <c r="BN157">
        <f t="shared" si="135"/>
        <v>0.38421791333501204</v>
      </c>
      <c r="BO157">
        <f t="shared" ref="BO157:CI157" si="136">BO26/(BO26*LN((BO25+BO26)/BO25)+BO25*LN((BO25+BO26)/BO26))</f>
        <v>0.38421791333501204</v>
      </c>
      <c r="BP157">
        <f t="shared" si="136"/>
        <v>0.76843582667002408</v>
      </c>
      <c r="BQ157">
        <f t="shared" si="136"/>
        <v>0.76843582667002408</v>
      </c>
      <c r="BR157">
        <f t="shared" si="136"/>
        <v>0.76843582667002408</v>
      </c>
      <c r="BS157">
        <f t="shared" si="136"/>
        <v>0.76843582667002408</v>
      </c>
      <c r="BT157">
        <f t="shared" si="136"/>
        <v>0.76843582667002408</v>
      </c>
      <c r="BU157">
        <f t="shared" si="136"/>
        <v>0.76843582667002408</v>
      </c>
      <c r="BV157">
        <f t="shared" si="136"/>
        <v>0.76843582667002408</v>
      </c>
      <c r="BW157">
        <f t="shared" si="136"/>
        <v>0.76843582667002408</v>
      </c>
      <c r="BX157">
        <f t="shared" si="136"/>
        <v>0.76843582667002408</v>
      </c>
      <c r="BY157">
        <f t="shared" si="136"/>
        <v>0.76843582667002408</v>
      </c>
      <c r="BZ157">
        <f t="shared" si="136"/>
        <v>0.15012997049439719</v>
      </c>
      <c r="CA157">
        <f t="shared" si="136"/>
        <v>0.72134752044448169</v>
      </c>
      <c r="CB157">
        <f t="shared" si="136"/>
        <v>0.38421791333501204</v>
      </c>
      <c r="CC157">
        <f t="shared" si="136"/>
        <v>0.38421791333501204</v>
      </c>
      <c r="CD157">
        <f t="shared" si="136"/>
        <v>0.38421791333501204</v>
      </c>
      <c r="CE157">
        <f t="shared" si="136"/>
        <v>0.38421791333501204</v>
      </c>
      <c r="CF157">
        <f t="shared" si="136"/>
        <v>0.38421791333501204</v>
      </c>
      <c r="CG157">
        <f t="shared" si="136"/>
        <v>0.38421791333501204</v>
      </c>
      <c r="CH157">
        <f t="shared" si="136"/>
        <v>0.38421791333501204</v>
      </c>
      <c r="CI157">
        <f t="shared" si="136"/>
        <v>0.38421791333501204</v>
      </c>
      <c r="CJ157">
        <f>CJ26/(CJ26*LN((CJ25+CJ26)/CJ25)+CJ25*LN((CJ25+CJ26)/CJ26))</f>
        <v>0.38421791333501204</v>
      </c>
      <c r="CK157">
        <f>CK26/(CK26*LN((CK25+CK26)/CK25)+CK25*LN((CK25+CK26)/CK26))</f>
        <v>0.38421791333501204</v>
      </c>
      <c r="CL157">
        <f>CL26/(CL26*LN((CL25+CL26)/CL25)+CL25*LN((CL25+CL26)/CL26))</f>
        <v>0.38421791333501204</v>
      </c>
      <c r="CM157">
        <f>CM26/(CM26*LN((CM25+CM26)/CM25)+CM25*LN((CM25+CM26)/CM26))</f>
        <v>0.38421791333501204</v>
      </c>
    </row>
    <row r="158" spans="1:97" x14ac:dyDescent="0.25">
      <c r="A158" t="s">
        <v>183</v>
      </c>
      <c r="B158">
        <f>B21*10^(-9)/(B104*B157)</f>
        <v>7.7841179242585111E-12</v>
      </c>
      <c r="C158">
        <f t="shared" ref="C158:BN158" si="137">C21*10^(-9)/(C104*C157)</f>
        <v>3.7531383923001931E-12</v>
      </c>
      <c r="D158">
        <f t="shared" si="137"/>
        <v>1.5324769197707329E-11</v>
      </c>
      <c r="E158">
        <f t="shared" si="137"/>
        <v>1.5984914884942631E-11</v>
      </c>
      <c r="F158">
        <f t="shared" si="137"/>
        <v>3.220807570446389E-12</v>
      </c>
      <c r="G158">
        <f t="shared" si="137"/>
        <v>3.1044429708476314E-12</v>
      </c>
      <c r="H158">
        <f t="shared" si="137"/>
        <v>3.1265362186959236E-12</v>
      </c>
      <c r="I158">
        <f t="shared" si="137"/>
        <v>3.1865059959390849E-12</v>
      </c>
      <c r="J158">
        <f t="shared" si="137"/>
        <v>3.2989357791355691E-12</v>
      </c>
      <c r="K158">
        <f t="shared" si="137"/>
        <v>3.4444737193469672E-12</v>
      </c>
      <c r="L158">
        <f t="shared" si="137"/>
        <v>3.6901360691680544E-12</v>
      </c>
      <c r="M158">
        <f t="shared" si="137"/>
        <v>4.0081989136727276E-12</v>
      </c>
      <c r="N158">
        <f t="shared" si="137"/>
        <v>4.0151818386094396E-12</v>
      </c>
      <c r="O158">
        <f t="shared" si="137"/>
        <v>4.0362773649068629E-12</v>
      </c>
      <c r="P158">
        <f t="shared" si="137"/>
        <v>4.1025495669184041E-12</v>
      </c>
      <c r="Q158">
        <f t="shared" si="137"/>
        <v>4.1849226017706902E-12</v>
      </c>
      <c r="R158">
        <f t="shared" si="137"/>
        <v>4.2218964634105764E-12</v>
      </c>
      <c r="S158">
        <f t="shared" si="137"/>
        <v>4.4045066668234007E-12</v>
      </c>
      <c r="T158">
        <f t="shared" si="137"/>
        <v>4.5133632954711259E-12</v>
      </c>
      <c r="U158">
        <f t="shared" si="137"/>
        <v>4.7136721182892566E-12</v>
      </c>
      <c r="V158">
        <f t="shared" si="137"/>
        <v>4.9460401041979907E-12</v>
      </c>
      <c r="W158">
        <f t="shared" si="137"/>
        <v>5.1803631389216974E-12</v>
      </c>
      <c r="X158">
        <f t="shared" si="137"/>
        <v>5.4963212555414175E-12</v>
      </c>
      <c r="Y158">
        <f t="shared" si="137"/>
        <v>5.7896284223104486E-12</v>
      </c>
      <c r="Z158">
        <f t="shared" si="137"/>
        <v>6.2314955887778342E-12</v>
      </c>
      <c r="AA158">
        <f t="shared" si="137"/>
        <v>6.7668722112712352E-12</v>
      </c>
      <c r="AB158">
        <f t="shared" si="137"/>
        <v>7.377066421673705E-12</v>
      </c>
      <c r="AC158">
        <f t="shared" si="137"/>
        <v>8.0396381444256993E-12</v>
      </c>
      <c r="AD158">
        <f t="shared" si="137"/>
        <v>1.5079452100886713E-11</v>
      </c>
      <c r="AE158">
        <f t="shared" si="137"/>
        <v>2.6698808249959595E-11</v>
      </c>
      <c r="AF158">
        <f t="shared" si="137"/>
        <v>4.3893127343879711E-11</v>
      </c>
      <c r="AG158">
        <f t="shared" si="137"/>
        <v>8.1621452149536774E-12</v>
      </c>
      <c r="AH158">
        <f t="shared" si="137"/>
        <v>1.0051277511449641E-11</v>
      </c>
      <c r="AI158">
        <f t="shared" si="137"/>
        <v>1.2627289480664665E-11</v>
      </c>
      <c r="AJ158">
        <f t="shared" si="137"/>
        <v>8.1364050764653073E-12</v>
      </c>
      <c r="AK158">
        <f t="shared" si="137"/>
        <v>8.410572483781763E-12</v>
      </c>
      <c r="AL158">
        <f t="shared" si="137"/>
        <v>8.6208003612355022E-12</v>
      </c>
      <c r="AM158">
        <f t="shared" si="137"/>
        <v>8.9368032713703613E-12</v>
      </c>
      <c r="AN158">
        <f t="shared" si="137"/>
        <v>9.6108642682681507E-12</v>
      </c>
      <c r="AO158">
        <f t="shared" si="137"/>
        <v>2.0902430116263186E-11</v>
      </c>
      <c r="AP158">
        <f t="shared" si="137"/>
        <v>3.0616041544167193E-12</v>
      </c>
      <c r="AQ158">
        <f t="shared" si="137"/>
        <v>3.477982319417393E-12</v>
      </c>
      <c r="AR158">
        <f t="shared" si="137"/>
        <v>4.3107386494187407E-12</v>
      </c>
      <c r="AS158">
        <f t="shared" si="137"/>
        <v>2.8899947593378834E-12</v>
      </c>
      <c r="AT158">
        <f t="shared" si="137"/>
        <v>3.01550435047227E-12</v>
      </c>
      <c r="AU158">
        <f t="shared" si="137"/>
        <v>3.0264172672335641E-12</v>
      </c>
      <c r="AV158">
        <f t="shared" si="137"/>
        <v>2.880492900743837E-12</v>
      </c>
      <c r="AW158">
        <f t="shared" si="137"/>
        <v>2.7175497401605801E-12</v>
      </c>
      <c r="AX158">
        <f t="shared" si="137"/>
        <v>2.8894659985871258E-12</v>
      </c>
      <c r="AY158">
        <f t="shared" si="137"/>
        <v>2.8740248950046517E-12</v>
      </c>
      <c r="AZ158">
        <f t="shared" si="137"/>
        <v>2.9112181583517703E-12</v>
      </c>
      <c r="BA158">
        <f t="shared" si="137"/>
        <v>2.8198171874482749E-12</v>
      </c>
      <c r="BB158">
        <f t="shared" si="137"/>
        <v>2.8198171874482749E-12</v>
      </c>
      <c r="BC158">
        <f t="shared" si="137"/>
        <v>2.917052262877526E-12</v>
      </c>
      <c r="BD158">
        <f t="shared" si="137"/>
        <v>2.8892708127548826E-12</v>
      </c>
      <c r="BE158">
        <f t="shared" si="137"/>
        <v>2.8892708127548826E-12</v>
      </c>
      <c r="BF158">
        <f t="shared" si="137"/>
        <v>5.3223204973085039E-12</v>
      </c>
      <c r="BG158">
        <f t="shared" si="137"/>
        <v>5.5545206701556976E-12</v>
      </c>
      <c r="BH158">
        <f t="shared" si="137"/>
        <v>5.411032312355228E-12</v>
      </c>
      <c r="BI158">
        <f t="shared" si="137"/>
        <v>5.3923128842079776E-12</v>
      </c>
      <c r="BJ158">
        <f t="shared" si="137"/>
        <v>5.4864390558553947E-12</v>
      </c>
      <c r="BK158">
        <f t="shared" si="137"/>
        <v>5.7192862514542205E-12</v>
      </c>
      <c r="BL158">
        <f t="shared" si="137"/>
        <v>5.7438668920151929E-12</v>
      </c>
      <c r="BM158">
        <f t="shared" si="137"/>
        <v>5.9685740906807302E-12</v>
      </c>
      <c r="BN158">
        <f t="shared" si="137"/>
        <v>6.0765275713887471E-12</v>
      </c>
      <c r="BO158">
        <f t="shared" ref="BO158:BZ158" si="138">BO21*10^(-9)/(BO104*BO157)</f>
        <v>6.4768768548329271E-12</v>
      </c>
      <c r="BP158">
        <f t="shared" si="138"/>
        <v>2.8457654875018322E-12</v>
      </c>
      <c r="BQ158">
        <f t="shared" si="138"/>
        <v>2.9476244630333991E-12</v>
      </c>
      <c r="BR158">
        <f t="shared" si="138"/>
        <v>2.8206899084579473E-12</v>
      </c>
      <c r="BS158">
        <f t="shared" si="138"/>
        <v>2.801260015669024E-12</v>
      </c>
      <c r="BT158">
        <f t="shared" si="138"/>
        <v>3.0636616924144901E-12</v>
      </c>
      <c r="BU158">
        <f t="shared" si="138"/>
        <v>2.9576019152777086E-12</v>
      </c>
      <c r="BV158">
        <f t="shared" si="138"/>
        <v>3.1541069916826017E-12</v>
      </c>
      <c r="BW158">
        <f t="shared" si="138"/>
        <v>3.0732867134398632E-12</v>
      </c>
      <c r="BX158">
        <f t="shared" si="138"/>
        <v>3.3060481328266216E-12</v>
      </c>
      <c r="BY158">
        <f t="shared" si="138"/>
        <v>3.3554855810101361E-12</v>
      </c>
      <c r="BZ158">
        <f t="shared" si="138"/>
        <v>1.5944517887514897E-11</v>
      </c>
      <c r="CA158">
        <f t="shared" ref="CA158:CM158" si="139">CA21/(CA104*CA157)</f>
        <v>2.8424859169180953E-3</v>
      </c>
      <c r="CB158" t="e">
        <f t="shared" si="139"/>
        <v>#DIV/0!</v>
      </c>
      <c r="CC158" t="e">
        <f t="shared" si="139"/>
        <v>#DIV/0!</v>
      </c>
      <c r="CD158" t="e">
        <f t="shared" si="139"/>
        <v>#DIV/0!</v>
      </c>
      <c r="CE158" t="e">
        <f t="shared" si="139"/>
        <v>#DIV/0!</v>
      </c>
      <c r="CF158" t="e">
        <f t="shared" si="139"/>
        <v>#DIV/0!</v>
      </c>
      <c r="CG158" t="e">
        <f t="shared" si="139"/>
        <v>#DIV/0!</v>
      </c>
      <c r="CH158" t="e">
        <f t="shared" si="139"/>
        <v>#DIV/0!</v>
      </c>
      <c r="CI158" t="e">
        <f t="shared" si="139"/>
        <v>#DIV/0!</v>
      </c>
      <c r="CJ158" t="e">
        <f t="shared" si="139"/>
        <v>#DIV/0!</v>
      </c>
      <c r="CK158" t="e">
        <f t="shared" si="139"/>
        <v>#DIV/0!</v>
      </c>
      <c r="CL158" t="e">
        <f t="shared" si="139"/>
        <v>#DIV/0!</v>
      </c>
      <c r="CM158" t="e">
        <f t="shared" si="139"/>
        <v>#DIV/0!</v>
      </c>
    </row>
    <row r="160" spans="1:97" x14ac:dyDescent="0.25">
      <c r="A160" t="s">
        <v>212</v>
      </c>
      <c r="B160">
        <f>8.85*10^(-12)*11.9*(B29)*10^(-12)/(500*10^(-6))</f>
        <v>4.7391749999999992E-15</v>
      </c>
      <c r="C160">
        <f t="shared" ref="C160:BN160" si="140">8.85*10^(-12)*11.9*(C29)*10^(-12)/(500*10^(-6))</f>
        <v>4.7391749999999992E-15</v>
      </c>
      <c r="D160">
        <f t="shared" si="140"/>
        <v>5.3921279999999991E-15</v>
      </c>
      <c r="E160">
        <f t="shared" si="140"/>
        <v>5.3921279999999991E-15</v>
      </c>
      <c r="F160">
        <f t="shared" si="140"/>
        <v>6.0872069999999987E-15</v>
      </c>
      <c r="G160">
        <f t="shared" si="140"/>
        <v>5.3921279999999991E-15</v>
      </c>
      <c r="H160">
        <f t="shared" si="140"/>
        <v>4.7391749999999992E-15</v>
      </c>
      <c r="I160">
        <f t="shared" si="140"/>
        <v>4.1283479999999997E-15</v>
      </c>
      <c r="J160">
        <f t="shared" si="140"/>
        <v>3.5596469999999991E-15</v>
      </c>
      <c r="K160">
        <f t="shared" si="140"/>
        <v>3.0330719999999994E-15</v>
      </c>
      <c r="L160">
        <f t="shared" si="140"/>
        <v>2.5486229999999994E-15</v>
      </c>
      <c r="M160">
        <f t="shared" si="140"/>
        <v>2.1062999999999995E-15</v>
      </c>
      <c r="N160">
        <f t="shared" si="140"/>
        <v>2.1062999999999995E-15</v>
      </c>
      <c r="O160">
        <f t="shared" si="140"/>
        <v>2.1062999999999995E-15</v>
      </c>
      <c r="P160">
        <f t="shared" si="140"/>
        <v>2.1062999999999995E-15</v>
      </c>
      <c r="Q160">
        <f t="shared" si="140"/>
        <v>2.1062999999999995E-15</v>
      </c>
      <c r="R160">
        <f t="shared" si="140"/>
        <v>2.1062999999999995E-15</v>
      </c>
      <c r="S160">
        <f t="shared" si="140"/>
        <v>2.1062999999999995E-15</v>
      </c>
      <c r="T160">
        <f t="shared" si="140"/>
        <v>2.1062999999999995E-15</v>
      </c>
      <c r="U160">
        <f t="shared" si="140"/>
        <v>2.1062999999999995E-15</v>
      </c>
      <c r="V160">
        <f t="shared" si="140"/>
        <v>2.1062999999999995E-15</v>
      </c>
      <c r="W160">
        <f t="shared" si="140"/>
        <v>2.1062999999999995E-15</v>
      </c>
      <c r="X160">
        <f t="shared" si="140"/>
        <v>2.1062999999999995E-15</v>
      </c>
      <c r="Y160">
        <f t="shared" si="140"/>
        <v>2.1062999999999995E-15</v>
      </c>
      <c r="Z160">
        <f t="shared" si="140"/>
        <v>2.1062999999999995E-15</v>
      </c>
      <c r="AA160">
        <f t="shared" si="140"/>
        <v>2.1062999999999995E-15</v>
      </c>
      <c r="AB160">
        <f t="shared" si="140"/>
        <v>2.1062999999999995E-15</v>
      </c>
      <c r="AC160">
        <f t="shared" si="140"/>
        <v>2.1062999999999995E-15</v>
      </c>
      <c r="AD160">
        <f t="shared" si="140"/>
        <v>2.1062999999999995E-15</v>
      </c>
      <c r="AE160">
        <f t="shared" si="140"/>
        <v>2.1062999999999995E-15</v>
      </c>
      <c r="AF160">
        <f t="shared" si="140"/>
        <v>2.1062999999999995E-15</v>
      </c>
      <c r="AG160">
        <f t="shared" si="140"/>
        <v>2.1062999999999995E-15</v>
      </c>
      <c r="AH160">
        <f t="shared" si="140"/>
        <v>2.1062999999999995E-15</v>
      </c>
      <c r="AI160">
        <f t="shared" si="140"/>
        <v>2.1062999999999995E-15</v>
      </c>
      <c r="AJ160">
        <f t="shared" si="140"/>
        <v>1.7061029999999995E-15</v>
      </c>
      <c r="AK160">
        <f t="shared" si="140"/>
        <v>1.3480319999999998E-15</v>
      </c>
      <c r="AL160">
        <f t="shared" si="140"/>
        <v>1.0320869999999999E-15</v>
      </c>
      <c r="AM160">
        <f t="shared" si="140"/>
        <v>7.5826799999999986E-16</v>
      </c>
      <c r="AN160">
        <f t="shared" si="140"/>
        <v>5.2657499999999988E-16</v>
      </c>
      <c r="AO160">
        <f t="shared" si="140"/>
        <v>2.1062999999999995E-15</v>
      </c>
      <c r="AP160">
        <f t="shared" si="140"/>
        <v>1.5218017499999997E-15</v>
      </c>
      <c r="AQ160">
        <f t="shared" si="140"/>
        <v>3.8045043749999992E-16</v>
      </c>
      <c r="AR160">
        <f t="shared" si="140"/>
        <v>9.511260937499998E-17</v>
      </c>
      <c r="AS160">
        <f t="shared" si="140"/>
        <v>6.8244119999999981E-15</v>
      </c>
      <c r="AT160">
        <f t="shared" si="140"/>
        <v>7.6037429999999986E-15</v>
      </c>
      <c r="AU160">
        <f t="shared" si="140"/>
        <v>8.4251999999999981E-15</v>
      </c>
      <c r="AV160">
        <f t="shared" si="140"/>
        <v>9.2887829999999989E-15</v>
      </c>
      <c r="AW160">
        <f t="shared" si="140"/>
        <v>1.0194491999999998E-14</v>
      </c>
      <c r="AX160">
        <f t="shared" si="140"/>
        <v>1.1142326999999998E-14</v>
      </c>
      <c r="AY160">
        <f t="shared" si="140"/>
        <v>1.2132287999999998E-14</v>
      </c>
      <c r="AZ160">
        <f t="shared" si="140"/>
        <v>1.3164374999999999E-14</v>
      </c>
      <c r="BA160">
        <f t="shared" si="140"/>
        <v>1.4238587999999997E-14</v>
      </c>
      <c r="BB160">
        <f t="shared" si="140"/>
        <v>3.5596469999999991E-15</v>
      </c>
      <c r="BC160">
        <f t="shared" si="140"/>
        <v>8.8991174999999978E-16</v>
      </c>
      <c r="BD160">
        <f t="shared" si="140"/>
        <v>2.2247793749999995E-16</v>
      </c>
      <c r="BE160">
        <f t="shared" si="140"/>
        <v>5.5619484374999986E-17</v>
      </c>
      <c r="BF160">
        <f t="shared" si="140"/>
        <v>1.4238587999999997E-14</v>
      </c>
      <c r="BG160">
        <f t="shared" si="140"/>
        <v>1.3164374999999999E-14</v>
      </c>
      <c r="BH160">
        <f t="shared" si="140"/>
        <v>1.2132287999999998E-14</v>
      </c>
      <c r="BI160">
        <f t="shared" si="140"/>
        <v>1.1142326999999998E-14</v>
      </c>
      <c r="BJ160">
        <f t="shared" si="140"/>
        <v>1.0194491999999998E-14</v>
      </c>
      <c r="BK160">
        <f t="shared" si="140"/>
        <v>9.2887829999999989E-15</v>
      </c>
      <c r="BL160">
        <f t="shared" si="140"/>
        <v>8.4251999999999981E-15</v>
      </c>
      <c r="BM160">
        <f t="shared" si="140"/>
        <v>7.6037429999999986E-15</v>
      </c>
      <c r="BN160">
        <f t="shared" si="140"/>
        <v>6.8244119999999981E-15</v>
      </c>
      <c r="BO160">
        <f t="shared" ref="BO160:CP160" si="141">8.85*10^(-12)*11.9*(BO29)*10^(-12)/(500*10^(-6))</f>
        <v>6.0872069999999987E-15</v>
      </c>
      <c r="BP160">
        <f t="shared" si="141"/>
        <v>1.4238587999999997E-14</v>
      </c>
      <c r="BQ160">
        <f t="shared" si="141"/>
        <v>1.3164374999999999E-14</v>
      </c>
      <c r="BR160">
        <f t="shared" si="141"/>
        <v>1.2132287999999998E-14</v>
      </c>
      <c r="BS160">
        <f t="shared" si="141"/>
        <v>1.1142326999999998E-14</v>
      </c>
      <c r="BT160">
        <f t="shared" si="141"/>
        <v>1.0194491999999998E-14</v>
      </c>
      <c r="BU160">
        <f t="shared" si="141"/>
        <v>9.2887829999999989E-15</v>
      </c>
      <c r="BV160">
        <f t="shared" si="141"/>
        <v>8.4251999999999981E-15</v>
      </c>
      <c r="BW160">
        <f t="shared" si="141"/>
        <v>7.6037429999999986E-15</v>
      </c>
      <c r="BX160">
        <f t="shared" si="141"/>
        <v>6.8244119999999981E-15</v>
      </c>
      <c r="BY160">
        <f t="shared" si="141"/>
        <v>6.0872069999999987E-15</v>
      </c>
      <c r="BZ160">
        <f t="shared" si="141"/>
        <v>1.8956699999999997E-14</v>
      </c>
      <c r="CA160">
        <f t="shared" si="141"/>
        <v>1.8956699999999997E-14</v>
      </c>
      <c r="CB160">
        <f t="shared" si="141"/>
        <v>5.3921279999999991E-15</v>
      </c>
      <c r="CC160">
        <f t="shared" si="141"/>
        <v>4.7391749999999992E-15</v>
      </c>
      <c r="CD160">
        <f t="shared" si="141"/>
        <v>4.7391749999999992E-15</v>
      </c>
      <c r="CE160">
        <f t="shared" si="141"/>
        <v>4.7391749999999992E-15</v>
      </c>
      <c r="CF160">
        <f t="shared" si="141"/>
        <v>4.7391749999999992E-15</v>
      </c>
      <c r="CG160">
        <f t="shared" si="141"/>
        <v>4.7391749999999992E-15</v>
      </c>
      <c r="CH160">
        <f t="shared" si="141"/>
        <v>4.7391749999999992E-15</v>
      </c>
      <c r="CI160">
        <f t="shared" si="141"/>
        <v>4.7391749999999992E-15</v>
      </c>
      <c r="CJ160">
        <f t="shared" si="141"/>
        <v>4.7391749999999992E-15</v>
      </c>
      <c r="CK160">
        <f t="shared" si="141"/>
        <v>4.7391749999999992E-15</v>
      </c>
      <c r="CL160">
        <f t="shared" si="141"/>
        <v>4.7391749999999992E-15</v>
      </c>
      <c r="CM160">
        <f t="shared" si="141"/>
        <v>4.7391749999999992E-15</v>
      </c>
      <c r="CN160">
        <f t="shared" si="141"/>
        <v>4.7391749999999992E-15</v>
      </c>
      <c r="CO160">
        <f t="shared" si="141"/>
        <v>4.1283479999999997E-15</v>
      </c>
      <c r="CP160">
        <f t="shared" si="141"/>
        <v>3.5596469999999991E-15</v>
      </c>
      <c r="CQ160">
        <f>8.85*10^(-12)*11.9*(CQ29)*10^(-12)/(500*10^(-6))</f>
        <v>3.0330719999999994E-15</v>
      </c>
      <c r="CR160">
        <f t="shared" ref="CR160:CS160" si="142">8.85*10^(-12)*11.9*(CR29)*10^(-12)/(500*10^(-6))</f>
        <v>2.5486229999999994E-15</v>
      </c>
      <c r="CS160">
        <f t="shared" si="142"/>
        <v>2.1062999999999995E-15</v>
      </c>
    </row>
    <row r="161" spans="1:97" x14ac:dyDescent="0.25">
      <c r="A161" t="s">
        <v>213</v>
      </c>
      <c r="B161">
        <f>B21*10^(-15)-B160</f>
        <v>1.4760825000000001E-14</v>
      </c>
      <c r="C161">
        <f t="shared" ref="C161:BN161" si="143">C21*10^(-15)-C160</f>
        <v>1.7460825000000005E-14</v>
      </c>
      <c r="D161">
        <f t="shared" si="143"/>
        <v>1.3907872000000005E-14</v>
      </c>
      <c r="E161">
        <f t="shared" si="143"/>
        <v>1.4307872000000002E-14</v>
      </c>
      <c r="F161">
        <f t="shared" si="143"/>
        <v>2.0212793000000005E-14</v>
      </c>
      <c r="G161">
        <f t="shared" si="143"/>
        <v>1.7807872000000003E-14</v>
      </c>
      <c r="H161">
        <f t="shared" si="143"/>
        <v>1.6460825000000003E-14</v>
      </c>
      <c r="I161">
        <f t="shared" si="143"/>
        <v>1.5271652E-14</v>
      </c>
      <c r="J161">
        <f t="shared" si="143"/>
        <v>1.4240353000000004E-14</v>
      </c>
      <c r="K161">
        <f t="shared" si="143"/>
        <v>1.3166928E-14</v>
      </c>
      <c r="L161">
        <f t="shared" si="143"/>
        <v>1.2251377000000001E-14</v>
      </c>
      <c r="M161">
        <f t="shared" si="143"/>
        <v>1.1193700000000004E-14</v>
      </c>
      <c r="N161">
        <f t="shared" si="143"/>
        <v>1.1193700000000004E-14</v>
      </c>
      <c r="O161">
        <f t="shared" si="143"/>
        <v>1.1193700000000004E-14</v>
      </c>
      <c r="P161">
        <f t="shared" si="143"/>
        <v>1.1293700000000001E-14</v>
      </c>
      <c r="Q161">
        <f t="shared" si="143"/>
        <v>1.1393700000000002E-14</v>
      </c>
      <c r="R161">
        <f t="shared" si="143"/>
        <v>1.1293700000000001E-14</v>
      </c>
      <c r="S161">
        <f t="shared" si="143"/>
        <v>1.1593700000000001E-14</v>
      </c>
      <c r="T161">
        <f t="shared" si="143"/>
        <v>1.1593700000000001E-14</v>
      </c>
      <c r="U161">
        <f t="shared" si="143"/>
        <v>1.1793700000000002E-14</v>
      </c>
      <c r="V161">
        <f t="shared" si="143"/>
        <v>1.1993700000000001E-14</v>
      </c>
      <c r="W161">
        <f t="shared" si="143"/>
        <v>1.2093700000000002E-14</v>
      </c>
      <c r="X161">
        <f t="shared" si="143"/>
        <v>1.22937E-14</v>
      </c>
      <c r="Y161">
        <f t="shared" si="143"/>
        <v>1.22937E-14</v>
      </c>
      <c r="Z161">
        <f t="shared" si="143"/>
        <v>1.2493700000000002E-14</v>
      </c>
      <c r="AA161">
        <f t="shared" si="143"/>
        <v>1.26937E-14</v>
      </c>
      <c r="AB161">
        <f t="shared" si="143"/>
        <v>1.2793700000000001E-14</v>
      </c>
      <c r="AC161">
        <f t="shared" si="143"/>
        <v>1.26937E-14</v>
      </c>
      <c r="AD161">
        <f t="shared" si="143"/>
        <v>1.0593700000000002E-14</v>
      </c>
      <c r="AE161">
        <f t="shared" si="143"/>
        <v>8.8937000000000001E-15</v>
      </c>
      <c r="AF161">
        <f t="shared" si="143"/>
        <v>7.5937000000000019E-15</v>
      </c>
      <c r="AG161">
        <f t="shared" si="143"/>
        <v>1.2093700000000002E-14</v>
      </c>
      <c r="AH161">
        <f t="shared" si="143"/>
        <v>1.1293700000000001E-14</v>
      </c>
      <c r="AI161">
        <f t="shared" si="143"/>
        <v>1.0693700000000003E-14</v>
      </c>
      <c r="AJ161">
        <f t="shared" si="143"/>
        <v>1.1393897000000001E-14</v>
      </c>
      <c r="AK161">
        <f t="shared" si="143"/>
        <v>1.0251968000000001E-14</v>
      </c>
      <c r="AL161">
        <f t="shared" si="143"/>
        <v>8.8679130000000012E-15</v>
      </c>
      <c r="AM161">
        <f t="shared" si="143"/>
        <v>7.441732E-15</v>
      </c>
      <c r="AN161">
        <f t="shared" si="143"/>
        <v>6.0734249999999999E-15</v>
      </c>
      <c r="AO161">
        <f t="shared" si="143"/>
        <v>1.0293700000000002E-14</v>
      </c>
      <c r="AP161">
        <f t="shared" si="143"/>
        <v>1.097819825E-14</v>
      </c>
      <c r="AQ161">
        <f t="shared" si="143"/>
        <v>6.7195495625000006E-15</v>
      </c>
      <c r="AR161">
        <f t="shared" si="143"/>
        <v>4.3048873906250004E-15</v>
      </c>
      <c r="AS161">
        <f t="shared" si="143"/>
        <v>1.8775588000000005E-14</v>
      </c>
      <c r="AT161">
        <f t="shared" si="143"/>
        <v>2.1196257000000002E-14</v>
      </c>
      <c r="AU161">
        <f t="shared" si="143"/>
        <v>2.2574800000000002E-14</v>
      </c>
      <c r="AV161">
        <f t="shared" si="143"/>
        <v>2.2211217000000006E-14</v>
      </c>
      <c r="AW161">
        <f t="shared" si="143"/>
        <v>2.1405508000000008E-14</v>
      </c>
      <c r="AX161">
        <f t="shared" si="143"/>
        <v>2.4457673000000009E-14</v>
      </c>
      <c r="AY161">
        <f t="shared" si="143"/>
        <v>2.5267712000000004E-14</v>
      </c>
      <c r="AZ161">
        <f t="shared" si="143"/>
        <v>2.6735625E-14</v>
      </c>
      <c r="BA161">
        <f t="shared" si="143"/>
        <v>2.6361412000000008E-14</v>
      </c>
      <c r="BB161">
        <f t="shared" si="143"/>
        <v>1.6740353000000003E-14</v>
      </c>
      <c r="BC161">
        <f t="shared" si="143"/>
        <v>9.610088250000001E-15</v>
      </c>
      <c r="BD161">
        <f t="shared" si="143"/>
        <v>4.9775220625000013E-15</v>
      </c>
      <c r="BE161">
        <f t="shared" si="143"/>
        <v>2.5443805156250003E-15</v>
      </c>
      <c r="BF161">
        <f t="shared" si="143"/>
        <v>2.1261412000000004E-14</v>
      </c>
      <c r="BG161">
        <f t="shared" si="143"/>
        <v>2.1835625000000003E-14</v>
      </c>
      <c r="BH161">
        <f t="shared" si="143"/>
        <v>1.9967712000000004E-14</v>
      </c>
      <c r="BI161">
        <f t="shared" si="143"/>
        <v>1.8857673000000007E-14</v>
      </c>
      <c r="BJ161">
        <f t="shared" si="143"/>
        <v>1.8305508000000007E-14</v>
      </c>
      <c r="BK161">
        <f t="shared" si="143"/>
        <v>1.8311217000000005E-14</v>
      </c>
      <c r="BL161">
        <f t="shared" si="143"/>
        <v>1.7174800000000004E-14</v>
      </c>
      <c r="BM161">
        <f t="shared" si="143"/>
        <v>1.6796257E-14</v>
      </c>
      <c r="BN161">
        <f t="shared" si="143"/>
        <v>1.5775588000000006E-14</v>
      </c>
      <c r="BO161">
        <f t="shared" ref="BO161:CS161" si="144">BO21*10^(-15)-BO160</f>
        <v>1.5612793000000004E-14</v>
      </c>
      <c r="BP161">
        <f t="shared" si="144"/>
        <v>2.4161412000000003E-14</v>
      </c>
      <c r="BQ161">
        <f t="shared" si="144"/>
        <v>2.4435625000000006E-14</v>
      </c>
      <c r="BR161">
        <f t="shared" si="144"/>
        <v>2.1767712E-14</v>
      </c>
      <c r="BS161">
        <f t="shared" si="144"/>
        <v>2.0457673000000008E-14</v>
      </c>
      <c r="BT161">
        <f t="shared" si="144"/>
        <v>2.2105508000000001E-14</v>
      </c>
      <c r="BU161">
        <f t="shared" si="144"/>
        <v>1.9711217000000004E-14</v>
      </c>
      <c r="BV161">
        <f t="shared" si="144"/>
        <v>2.0174800000000007E-14</v>
      </c>
      <c r="BW161">
        <f t="shared" si="144"/>
        <v>1.7996257000000004E-14</v>
      </c>
      <c r="BX161">
        <f t="shared" si="144"/>
        <v>1.8275588000000007E-14</v>
      </c>
      <c r="BY161">
        <f t="shared" si="144"/>
        <v>1.6912793000000003E-14</v>
      </c>
      <c r="BZ161">
        <f t="shared" si="144"/>
        <v>1.9343300000000002E-14</v>
      </c>
      <c r="CA161">
        <f t="shared" si="144"/>
        <v>2.9843300000000001E-14</v>
      </c>
      <c r="CB161">
        <f t="shared" si="144"/>
        <v>1.4407872000000003E-14</v>
      </c>
      <c r="CC161">
        <f t="shared" si="144"/>
        <v>1.4160825000000001E-14</v>
      </c>
      <c r="CD161">
        <f t="shared" si="144"/>
        <v>1.4260825000000004E-14</v>
      </c>
      <c r="CE161">
        <f t="shared" si="144"/>
        <v>1.4260825000000004E-14</v>
      </c>
      <c r="CF161">
        <f t="shared" si="144"/>
        <v>1.4360825000000004E-14</v>
      </c>
      <c r="CG161">
        <f t="shared" si="144"/>
        <v>1.4560825000000006E-14</v>
      </c>
      <c r="CH161">
        <f t="shared" si="144"/>
        <v>1.4260825000000004E-14</v>
      </c>
      <c r="CI161">
        <f t="shared" si="144"/>
        <v>1.4660825000000001E-14</v>
      </c>
      <c r="CJ161">
        <f t="shared" si="144"/>
        <v>1.5160824999999998E-14</v>
      </c>
      <c r="CK161">
        <f t="shared" si="144"/>
        <v>1.5160824999999998E-14</v>
      </c>
      <c r="CL161">
        <f t="shared" si="144"/>
        <v>1.5260825000000006E-14</v>
      </c>
      <c r="CM161">
        <f t="shared" si="144"/>
        <v>1.5660825000000003E-14</v>
      </c>
      <c r="CN161">
        <f t="shared" si="144"/>
        <v>1.5460825000000001E-14</v>
      </c>
      <c r="CO161">
        <f t="shared" si="144"/>
        <v>1.4571652E-14</v>
      </c>
      <c r="CP161">
        <f t="shared" si="144"/>
        <v>1.3940353000000001E-14</v>
      </c>
      <c r="CQ161">
        <f t="shared" si="144"/>
        <v>1.2766928000000003E-14</v>
      </c>
      <c r="CR161">
        <f t="shared" si="144"/>
        <v>1.1451377000000001E-14</v>
      </c>
      <c r="CS161">
        <f t="shared" si="144"/>
        <v>1.0593700000000002E-14</v>
      </c>
    </row>
    <row r="162" spans="1:97" x14ac:dyDescent="0.25">
      <c r="A162" t="s">
        <v>214</v>
      </c>
      <c r="B162">
        <f>B161*10^6/(B104)</f>
        <v>2.2639302147239265E-12</v>
      </c>
      <c r="C162">
        <f t="shared" ref="C162:BN162" si="145">C161*10^6/(C104)</f>
        <v>2.1293689024390253E-12</v>
      </c>
      <c r="D162">
        <f t="shared" si="145"/>
        <v>2.4835485714285724E-12</v>
      </c>
      <c r="E162">
        <f t="shared" si="145"/>
        <v>2.6109255474452558E-12</v>
      </c>
      <c r="F162">
        <f t="shared" si="145"/>
        <v>1.7855824204946997E-12</v>
      </c>
      <c r="G162">
        <f t="shared" si="145"/>
        <v>1.7189065637065639E-12</v>
      </c>
      <c r="H162">
        <f t="shared" si="145"/>
        <v>1.751151595744681E-12</v>
      </c>
      <c r="I162">
        <f t="shared" si="145"/>
        <v>1.8094374407582939E-12</v>
      </c>
      <c r="J162">
        <f t="shared" si="145"/>
        <v>1.9037905080213907E-12</v>
      </c>
      <c r="K162">
        <f t="shared" si="145"/>
        <v>2.0194674846625765E-12</v>
      </c>
      <c r="L162">
        <f t="shared" si="145"/>
        <v>2.2034850719424463E-12</v>
      </c>
      <c r="M162">
        <f t="shared" si="145"/>
        <v>2.4334130434782616E-12</v>
      </c>
      <c r="N162">
        <f t="shared" si="145"/>
        <v>2.4376524390243909E-12</v>
      </c>
      <c r="O162">
        <f t="shared" si="145"/>
        <v>2.4504597197898429E-12</v>
      </c>
      <c r="P162">
        <f t="shared" si="145"/>
        <v>2.4941916961130747E-12</v>
      </c>
      <c r="Q162">
        <f t="shared" si="145"/>
        <v>2.5477862254025048E-12</v>
      </c>
      <c r="R162">
        <f t="shared" si="145"/>
        <v>2.5667500000000005E-12</v>
      </c>
      <c r="S162">
        <f t="shared" si="145"/>
        <v>2.688705936920223E-12</v>
      </c>
      <c r="T162">
        <f t="shared" si="145"/>
        <v>2.7551568441064637E-12</v>
      </c>
      <c r="U162">
        <f t="shared" si="145"/>
        <v>2.8849559686888457E-12</v>
      </c>
      <c r="V162">
        <f t="shared" si="145"/>
        <v>3.0348431174089068E-12</v>
      </c>
      <c r="W162">
        <f t="shared" si="145"/>
        <v>3.1825526315789482E-12</v>
      </c>
      <c r="X162">
        <f t="shared" si="145"/>
        <v>3.3848292951541848E-12</v>
      </c>
      <c r="Y162">
        <f t="shared" si="145"/>
        <v>3.5654582366589324E-12</v>
      </c>
      <c r="Z162">
        <f t="shared" si="145"/>
        <v>3.8465825123152715E-12</v>
      </c>
      <c r="AA162">
        <f t="shared" si="145"/>
        <v>4.1865765171503954E-12</v>
      </c>
      <c r="AB162">
        <f t="shared" si="145"/>
        <v>4.5691785714285719E-12</v>
      </c>
      <c r="AC162">
        <f t="shared" si="145"/>
        <v>4.9740203761755481E-12</v>
      </c>
      <c r="AD162">
        <f t="shared" si="145"/>
        <v>4.8328923357664247E-12</v>
      </c>
      <c r="AE162">
        <f t="shared" si="145"/>
        <v>4.8546397379912668E-12</v>
      </c>
      <c r="AF162">
        <f t="shared" si="145"/>
        <v>5.1587635869565235E-12</v>
      </c>
      <c r="AG162">
        <f t="shared" si="145"/>
        <v>5.3417402826855128E-12</v>
      </c>
      <c r="AH162">
        <f t="shared" si="145"/>
        <v>5.7154352226720656E-12</v>
      </c>
      <c r="AI162">
        <f t="shared" si="145"/>
        <v>6.3351303317535558E-12</v>
      </c>
      <c r="AJ162">
        <f t="shared" si="145"/>
        <v>5.1047925627240149E-12</v>
      </c>
      <c r="AK162">
        <f t="shared" si="145"/>
        <v>5.3619079497907953E-12</v>
      </c>
      <c r="AL162">
        <f t="shared" si="145"/>
        <v>5.5702971105527641E-12</v>
      </c>
      <c r="AM162">
        <f t="shared" si="145"/>
        <v>5.8504182389937103E-12</v>
      </c>
      <c r="AN162">
        <f t="shared" si="145"/>
        <v>6.3796481092436976E-12</v>
      </c>
      <c r="AO162">
        <f t="shared" si="145"/>
        <v>6.6669041450777222E-12</v>
      </c>
      <c r="AP162">
        <f t="shared" si="145"/>
        <v>1.9396109982332151E-12</v>
      </c>
      <c r="AQ162">
        <f t="shared" si="145"/>
        <v>2.3743991386925791E-12</v>
      </c>
      <c r="AR162">
        <f t="shared" si="145"/>
        <v>3.0423232442579502E-12</v>
      </c>
      <c r="AS162">
        <f t="shared" si="145"/>
        <v>1.5289566775244305E-12</v>
      </c>
      <c r="AT162">
        <f t="shared" si="145"/>
        <v>1.6009257552870092E-12</v>
      </c>
      <c r="AU162">
        <f t="shared" si="145"/>
        <v>1.589774647887324E-12</v>
      </c>
      <c r="AV162">
        <f t="shared" si="145"/>
        <v>1.4651198548812671E-12</v>
      </c>
      <c r="AW162">
        <f t="shared" si="145"/>
        <v>1.3278851116625314E-12</v>
      </c>
      <c r="AX162">
        <f t="shared" si="145"/>
        <v>1.4319480679156913E-12</v>
      </c>
      <c r="AY162">
        <f t="shared" si="145"/>
        <v>1.4006492239467851E-12</v>
      </c>
      <c r="AZ162">
        <f t="shared" si="145"/>
        <v>1.4071381578947369E-12</v>
      </c>
      <c r="BA162">
        <f t="shared" si="145"/>
        <v>1.3207120240480966E-12</v>
      </c>
      <c r="BB162">
        <f t="shared" si="145"/>
        <v>1.677390080160321E-12</v>
      </c>
      <c r="BC162">
        <f t="shared" si="145"/>
        <v>1.9258693887775552E-12</v>
      </c>
      <c r="BD162">
        <f t="shared" si="145"/>
        <v>1.9949988226452915E-12</v>
      </c>
      <c r="BE162">
        <f t="shared" si="145"/>
        <v>2.0395835796593191E-12</v>
      </c>
      <c r="BF162">
        <f t="shared" si="145"/>
        <v>1.2247357142857146E-12</v>
      </c>
      <c r="BG162">
        <f t="shared" si="145"/>
        <v>1.3314405487804881E-12</v>
      </c>
      <c r="BH162">
        <f t="shared" si="145"/>
        <v>1.2932455958549227E-12</v>
      </c>
      <c r="BI162">
        <f t="shared" si="145"/>
        <v>1.3023254834254149E-12</v>
      </c>
      <c r="BJ162">
        <f t="shared" si="145"/>
        <v>1.3539576923076926E-12</v>
      </c>
      <c r="BK162">
        <f t="shared" si="145"/>
        <v>1.4578994426751597E-12</v>
      </c>
      <c r="BL162">
        <f t="shared" si="145"/>
        <v>1.4805862068965522E-12</v>
      </c>
      <c r="BM162">
        <f t="shared" si="145"/>
        <v>1.5785955827067669E-12</v>
      </c>
      <c r="BN162">
        <f t="shared" si="145"/>
        <v>1.6297095041322317E-12</v>
      </c>
      <c r="BO162">
        <f t="shared" ref="BO162:CS162" si="146">BO161*10^6/(BO104)</f>
        <v>1.7904579128440373E-12</v>
      </c>
      <c r="BP162">
        <f t="shared" si="146"/>
        <v>1.375934624145786E-12</v>
      </c>
      <c r="BQ162">
        <f t="shared" si="146"/>
        <v>1.4720256024096389E-12</v>
      </c>
      <c r="BR162">
        <f t="shared" si="146"/>
        <v>1.3917974424552429E-12</v>
      </c>
      <c r="BS162">
        <f t="shared" si="146"/>
        <v>1.3935744550408726E-12</v>
      </c>
      <c r="BT162">
        <f t="shared" si="146"/>
        <v>1.6111886297376096E-12</v>
      </c>
      <c r="BU162">
        <f t="shared" si="146"/>
        <v>1.5447662225705329E-12</v>
      </c>
      <c r="BV162">
        <f t="shared" si="146"/>
        <v>1.7097288135593229E-12</v>
      </c>
      <c r="BW162">
        <f t="shared" si="146"/>
        <v>1.6601713099631E-12</v>
      </c>
      <c r="BX162">
        <f t="shared" si="146"/>
        <v>1.8497558704453449E-12</v>
      </c>
      <c r="BY162">
        <f t="shared" si="146"/>
        <v>1.8960530269058301E-12</v>
      </c>
      <c r="BZ162">
        <f t="shared" si="146"/>
        <v>1.20895625E-12</v>
      </c>
      <c r="CA162">
        <f t="shared" si="146"/>
        <v>1.2539201680672269E-12</v>
      </c>
      <c r="CB162" t="e">
        <f t="shared" si="146"/>
        <v>#DIV/0!</v>
      </c>
      <c r="CC162" t="e">
        <f t="shared" si="146"/>
        <v>#DIV/0!</v>
      </c>
      <c r="CD162" t="e">
        <f t="shared" si="146"/>
        <v>#DIV/0!</v>
      </c>
      <c r="CE162" t="e">
        <f t="shared" si="146"/>
        <v>#DIV/0!</v>
      </c>
      <c r="CF162" t="e">
        <f t="shared" si="146"/>
        <v>#DIV/0!</v>
      </c>
      <c r="CG162" t="e">
        <f t="shared" si="146"/>
        <v>#DIV/0!</v>
      </c>
      <c r="CH162" t="e">
        <f t="shared" si="146"/>
        <v>#DIV/0!</v>
      </c>
      <c r="CI162" t="e">
        <f t="shared" si="146"/>
        <v>#DIV/0!</v>
      </c>
      <c r="CJ162" t="e">
        <f t="shared" si="146"/>
        <v>#DIV/0!</v>
      </c>
      <c r="CK162" t="e">
        <f t="shared" si="146"/>
        <v>#DIV/0!</v>
      </c>
      <c r="CL162" t="e">
        <f t="shared" si="146"/>
        <v>#DIV/0!</v>
      </c>
      <c r="CM162" t="e">
        <f t="shared" si="146"/>
        <v>#DIV/0!</v>
      </c>
      <c r="CN162" t="e">
        <f t="shared" si="146"/>
        <v>#DIV/0!</v>
      </c>
      <c r="CO162" t="e">
        <f t="shared" si="146"/>
        <v>#DIV/0!</v>
      </c>
      <c r="CP162" t="e">
        <f t="shared" si="146"/>
        <v>#DIV/0!</v>
      </c>
      <c r="CQ162" t="e">
        <f t="shared" si="146"/>
        <v>#DIV/0!</v>
      </c>
      <c r="CR162" t="e">
        <f t="shared" si="146"/>
        <v>#DIV/0!</v>
      </c>
      <c r="CS162" t="e">
        <f t="shared" si="146"/>
        <v>#DIV/0!</v>
      </c>
    </row>
  </sheetData>
  <sortState columnSort="1" ref="CW4:FA13">
    <sortCondition ref="CW9:FA9"/>
  </sortState>
  <mergeCells count="2">
    <mergeCell ref="A58:E58"/>
    <mergeCell ref="B103:C10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CAPELLE</dc:creator>
  <cp:lastModifiedBy>Thibault CAPELLE</cp:lastModifiedBy>
  <dcterms:created xsi:type="dcterms:W3CDTF">2015-04-01T14:22:41Z</dcterms:created>
  <dcterms:modified xsi:type="dcterms:W3CDTF">2015-07-08T18:44:34Z</dcterms:modified>
</cp:coreProperties>
</file>