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sch\Desktop\Bachelor_Thesis_2017_Sources\Notebook\data_taza_fromXLSXround2\rawdatas\"/>
    </mc:Choice>
  </mc:AlternateContent>
  <bookViews>
    <workbookView xWindow="0" yWindow="0" windowWidth="30720" windowHeight="12864"/>
  </bookViews>
  <sheets>
    <sheet name="Hoja1" sheetId="1" r:id="rId1"/>
  </sheets>
  <definedNames>
    <definedName name="_xlnm._FilterDatabase" localSheetId="0" hidden="1">Hoja1!$S$4:$S$7</definedName>
  </definedNames>
  <calcPr calcId="162913"/>
</workbook>
</file>

<file path=xl/calcChain.xml><?xml version="1.0" encoding="utf-8"?>
<calcChain xmlns="http://schemas.openxmlformats.org/spreadsheetml/2006/main">
  <c r="G99" i="1" l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F5" i="1"/>
  <c r="E5" i="1"/>
  <c r="G5" i="1"/>
</calcChain>
</file>

<file path=xl/sharedStrings.xml><?xml version="1.0" encoding="utf-8"?>
<sst xmlns="http://schemas.openxmlformats.org/spreadsheetml/2006/main" count="733" uniqueCount="371">
  <si>
    <t>RESULTADOS DE ANÁLISIS FÍSICO Y SENSORIAL DE CAFÉ</t>
  </si>
  <si>
    <t>DATOS DE LA MUESTRA</t>
  </si>
  <si>
    <t xml:space="preserve">NOMBRE </t>
  </si>
  <si>
    <t>MUNICIPIO</t>
  </si>
  <si>
    <t>VEREDA</t>
  </si>
  <si>
    <t>SICA</t>
  </si>
  <si>
    <t>17-18</t>
  </si>
  <si>
    <t>14-16</t>
  </si>
  <si>
    <t>&lt; 13</t>
  </si>
  <si>
    <t>ANÁLSIS FÍSICO</t>
  </si>
  <si>
    <t>ANÁLISIS SENSORIAL</t>
  </si>
  <si>
    <t>AROMA-FRAGANCIA</t>
  </si>
  <si>
    <t>ACIDEZ</t>
  </si>
  <si>
    <t>CUERPO</t>
  </si>
  <si>
    <t>SABOR</t>
  </si>
  <si>
    <t>SABOR RESIDUAL</t>
  </si>
  <si>
    <t>DULZOR</t>
  </si>
  <si>
    <t>UNIFORMIDAD</t>
  </si>
  <si>
    <t>BALANCE</t>
  </si>
  <si>
    <t>TAZA LIMPIA</t>
  </si>
  <si>
    <t>PUNTAJE CATADOR</t>
  </si>
  <si>
    <t>PUNTAJE TOTAL</t>
  </si>
  <si>
    <t>ATRIBUTOS</t>
  </si>
  <si>
    <t>FRAGANCIA-AROMA</t>
  </si>
  <si>
    <t>CARACTERIZACIÓN FÍSICA</t>
  </si>
  <si>
    <t>CIELO ZAPATA GRISALES</t>
  </si>
  <si>
    <t>MARSELLA</t>
  </si>
  <si>
    <t>ALTO CAUCA</t>
  </si>
  <si>
    <t>MERMA (%)</t>
  </si>
  <si>
    <t>Albaricoque, limón, avellanas, vainilla</t>
  </si>
  <si>
    <t>Caramelo, limón, vainilla</t>
  </si>
  <si>
    <t>Caramelo</t>
  </si>
  <si>
    <t>Málica</t>
  </si>
  <si>
    <t>Cítrica</t>
  </si>
  <si>
    <t>EMMA GRISALES DE ZAPATA</t>
  </si>
  <si>
    <t>Chocolate, paja</t>
  </si>
  <si>
    <t>Chocolate, caramelo, paja, maní, floral</t>
  </si>
  <si>
    <t>Limón, vainilla, albaricoque</t>
  </si>
  <si>
    <t xml:space="preserve">Chocolate, caramelo </t>
  </si>
  <si>
    <t>Cítrico</t>
  </si>
  <si>
    <t>Cremoso</t>
  </si>
  <si>
    <t>HÉCTOR DARÍO MONTOYA ARROYAVE</t>
  </si>
  <si>
    <t>Caramelo, chocolate, floral, avellana</t>
  </si>
  <si>
    <t>Denso</t>
  </si>
  <si>
    <t xml:space="preserve">HERNANDO SILVA </t>
  </si>
  <si>
    <t>Albaricoque, vainilla, caramelo y cítrico</t>
  </si>
  <si>
    <t>Caramelo, floral, vainilla</t>
  </si>
  <si>
    <t>Sedoso</t>
  </si>
  <si>
    <t>INSTITUTO AGRÍCOLA ALTO CAUCA</t>
  </si>
  <si>
    <t>Mantequilla, cítrico, vainilla y floral</t>
  </si>
  <si>
    <t>Cítrico, caramelo</t>
  </si>
  <si>
    <t>IVAMA PATRICIA DUQUE PALACIO</t>
  </si>
  <si>
    <t>Caramelo, chocolate, cítrico y tabaco</t>
  </si>
  <si>
    <t>Chocolate</t>
  </si>
  <si>
    <t xml:space="preserve">Chocolate </t>
  </si>
  <si>
    <t>JOSÉ ÓLIVER HERNÁNDEZ OLAYA</t>
  </si>
  <si>
    <t>Floral, limón, vainilla y chocolate</t>
  </si>
  <si>
    <t>Caramelo, floral, chocolate y maní</t>
  </si>
  <si>
    <t>LUCY ZAPATA GRISALES</t>
  </si>
  <si>
    <t>Chocolate, manzana</t>
  </si>
  <si>
    <t>Chocolate, tabaco</t>
  </si>
  <si>
    <t>Humo</t>
  </si>
  <si>
    <t>LUZ MARY RODRÍGUEZ VASCO</t>
  </si>
  <si>
    <t>Miel, flor, caramelo</t>
  </si>
  <si>
    <t>Cítrico y paja</t>
  </si>
  <si>
    <t>CARACTERÍSTICAS</t>
  </si>
  <si>
    <t>Chocolate y almendra</t>
  </si>
  <si>
    <t>MÉLIDA MOLINA OSORNO</t>
  </si>
  <si>
    <t>Chocolate, cítrica y maní</t>
  </si>
  <si>
    <t>Tabaco, chocolate</t>
  </si>
  <si>
    <t>BUENAVISTA</t>
  </si>
  <si>
    <t>Nuez, chocolate, vainilla, almendra</t>
  </si>
  <si>
    <t>Chocolate, caramelo y vainilla</t>
  </si>
  <si>
    <t>Tabaco, chocolate, paja</t>
  </si>
  <si>
    <t>Caramelo, tabaco</t>
  </si>
  <si>
    <t>Floral</t>
  </si>
  <si>
    <t>Cítrica, málica</t>
  </si>
  <si>
    <t>LUZ MARÍA ORTIZ SALAZAR</t>
  </si>
  <si>
    <t>Chocolate, avellana, flora, tabaco</t>
  </si>
  <si>
    <t>Chocolate, paja, tabaco</t>
  </si>
  <si>
    <t>BUENOS AIRES</t>
  </si>
  <si>
    <t>Caramelo, floral, chocolate, nuez</t>
  </si>
  <si>
    <t>Caramelo, chocolate, paja</t>
  </si>
  <si>
    <t>Chocolate, caramelo, cítrico, tabaco</t>
  </si>
  <si>
    <t>GILDARDO GARCÍA CASTRILLÓN</t>
  </si>
  <si>
    <t>Caramelo, vainilla, almendras, cítrico</t>
  </si>
  <si>
    <t>Caramelo, floral, cerezas</t>
  </si>
  <si>
    <t>Chocolate y caramelo</t>
  </si>
  <si>
    <t>INSTITUTO AGRÍCOLA MARSELLA</t>
  </si>
  <si>
    <t>Tabaco, chocolate, clavos</t>
  </si>
  <si>
    <t>Tabaco</t>
  </si>
  <si>
    <t>JOSÉ WALTER PINEDA VILLADA</t>
  </si>
  <si>
    <t>CANTADELICIA</t>
  </si>
  <si>
    <t>Caramelo, almendra, vainilla, avellana</t>
  </si>
  <si>
    <t xml:space="preserve">Caramelo, chocolate </t>
  </si>
  <si>
    <t>GRANULOMETRÍA                                                                        MALLA (%)</t>
  </si>
  <si>
    <t>JORGE IVÁN OSPINA ALZATE</t>
  </si>
  <si>
    <t>COROZAL</t>
  </si>
  <si>
    <t>Chocolate, vainilla,paja</t>
  </si>
  <si>
    <t>Chocolate, caramelo y tabaco</t>
  </si>
  <si>
    <t>ALBERTO URIBE AGUDELO</t>
  </si>
  <si>
    <t>EL GUAYABO</t>
  </si>
  <si>
    <t>Caramelo, mora, vainilla, nuez, tabaco</t>
  </si>
  <si>
    <t>Nuez, chocolate, cítrico</t>
  </si>
  <si>
    <t>Chocolate, tabaco y maní</t>
  </si>
  <si>
    <t>ÁNGELA MARÍA HENAO ABAD</t>
  </si>
  <si>
    <t>EL KIOSKO</t>
  </si>
  <si>
    <t>Limón, vainilla, albaricoque, floral</t>
  </si>
  <si>
    <t>Floral, caramelo, limón, maní</t>
  </si>
  <si>
    <t>GUILLERMO PELÁEZ OCAMPO</t>
  </si>
  <si>
    <t>Chocolate, vainilla, caramelo</t>
  </si>
  <si>
    <t xml:space="preserve">Chocolate, tabaco  </t>
  </si>
  <si>
    <t>CARLOS MANUEL MORALES</t>
  </si>
  <si>
    <t>EL NIVEL</t>
  </si>
  <si>
    <t>Limón, vainilla, caramelo, almendra, maní</t>
  </si>
  <si>
    <t>Chocolate, nuez, almendra</t>
  </si>
  <si>
    <t>Chocolate, caramelo, almendra</t>
  </si>
  <si>
    <t>Vainilla, floral, nuez, avellanas</t>
  </si>
  <si>
    <t>Vainilla, caramelo</t>
  </si>
  <si>
    <t>Caramelo, vainilla, almendra</t>
  </si>
  <si>
    <t>EVELIO GIRALDO DUQUE</t>
  </si>
  <si>
    <t>Caramelo, vainilla, cítrica</t>
  </si>
  <si>
    <t>Caramelo, nuez, cítrica</t>
  </si>
  <si>
    <t>Caramelo, cítrica</t>
  </si>
  <si>
    <t>Fosfórica, málica y cítrica</t>
  </si>
  <si>
    <t>GUSTAVO GÓMEZ GÓMEZ</t>
  </si>
  <si>
    <t>Nuez, almendra y caramelo</t>
  </si>
  <si>
    <t>Cítrico, floral, almendra y vainilla</t>
  </si>
  <si>
    <t>Chocolate, caramelo y nuez</t>
  </si>
  <si>
    <t>Caramelo, nuez y chocolate</t>
  </si>
  <si>
    <t>NÉSTOR SALAZAR MARTÍNEZ</t>
  </si>
  <si>
    <t>Cerezas, avellana, nuez, caramelo</t>
  </si>
  <si>
    <t>Caramelo, nuez, almendras</t>
  </si>
  <si>
    <t>Vainilla, chocolate</t>
  </si>
  <si>
    <t>Caramelo, floral, miel, almendra</t>
  </si>
  <si>
    <t>Caramelo, cítrico y floral</t>
  </si>
  <si>
    <t>LUZ ESTELLA LONDOÑO SUÁREZ</t>
  </si>
  <si>
    <t>EL NUDO</t>
  </si>
  <si>
    <t>Chocolate, caramelo, cítrico, vainilla</t>
  </si>
  <si>
    <t>Chocolate, caramelo y cítrico</t>
  </si>
  <si>
    <t>Málica y cítrica</t>
  </si>
  <si>
    <t>Denso y cremoso</t>
  </si>
  <si>
    <t>MARÍA GLADYS OSPINA SUÁRES</t>
  </si>
  <si>
    <t>Caramelo, miel, vainilla, cítrico y floral</t>
  </si>
  <si>
    <t>Caramelo, chocolate, vainilla, cítrico</t>
  </si>
  <si>
    <t>Chocolate, caramelo, tabaco, floral</t>
  </si>
  <si>
    <t>RICARDO TORO ÁVILA</t>
  </si>
  <si>
    <t>Caramelo, chocolate, vainilla y cítrico</t>
  </si>
  <si>
    <t>Caramelo y vainilla</t>
  </si>
  <si>
    <t>GILBERTO GRISALES AGUIRRE</t>
  </si>
  <si>
    <t>EL PAJUÍ</t>
  </si>
  <si>
    <t>Caramelo, miel, frutal, floral</t>
  </si>
  <si>
    <t>Caramelo, paja</t>
  </si>
  <si>
    <t>Caramelo, cítrico</t>
  </si>
  <si>
    <t>JOSÉ CONRADO GÓMEZ DUQUE</t>
  </si>
  <si>
    <t>Caramelo, tabaco, cítrico, vainilla</t>
  </si>
  <si>
    <t>Cítrico y caramelo</t>
  </si>
  <si>
    <t>Cítrico, limón</t>
  </si>
  <si>
    <t>JUAN CARLOS GÓMEZ VALLEJO</t>
  </si>
  <si>
    <t>Chocolate, miel, avellana, malta</t>
  </si>
  <si>
    <t xml:space="preserve">Vainilla </t>
  </si>
  <si>
    <t>Limón</t>
  </si>
  <si>
    <t>JUAN MANUEL VÉLEZ CIFUENTES</t>
  </si>
  <si>
    <t>Vainilla, almendra, cítrico, caramelo, chocolate</t>
  </si>
  <si>
    <t>Caramelo, cítrico, paja, nuez</t>
  </si>
  <si>
    <t>LIBIA DUQUE ZULUAGA</t>
  </si>
  <si>
    <t>Caramelo, cítrico, avellana, vainilla</t>
  </si>
  <si>
    <t>PETER WILLIAN LONDOÑO</t>
  </si>
  <si>
    <t>Caramelo, vainilla, paja</t>
  </si>
  <si>
    <t>Chocolate, cítrico, nuez, vainilla y floral</t>
  </si>
  <si>
    <t>AMPARO REYES CALDERÓN</t>
  </si>
  <si>
    <t>EL RAYO</t>
  </si>
  <si>
    <t>Cerezas, almendras, cítrico, caramelo</t>
  </si>
  <si>
    <t>Chocolate, caramelo, tabaco</t>
  </si>
  <si>
    <t>Chocolate, nuez, tabaco</t>
  </si>
  <si>
    <t>GILDARDO SÁNCHEZ</t>
  </si>
  <si>
    <t>Cerezas, floral, mora, chocolate, vainilla</t>
  </si>
  <si>
    <t>Cerezas y caramelo</t>
  </si>
  <si>
    <t>Chocolate y vainilla</t>
  </si>
  <si>
    <t>Málica, cítrica</t>
  </si>
  <si>
    <t>LUIS FERNANDO TORO</t>
  </si>
  <si>
    <t>Caramelo, vainilla, cítrico y floral</t>
  </si>
  <si>
    <t>MARCO TULIO ZULUAGA BUSTOS</t>
  </si>
  <si>
    <t>EL SINAÍ</t>
  </si>
  <si>
    <t>Floral, vainilla, caramelo, chocolate</t>
  </si>
  <si>
    <t>Manzana</t>
  </si>
  <si>
    <t>EL ZURRUMBO</t>
  </si>
  <si>
    <t>Chocolate, vainilla, tabaco, maní, paja</t>
  </si>
  <si>
    <t>Almendra, chocolate, nuez y cítrico</t>
  </si>
  <si>
    <t>Almendra, caramelo, nuez, chocolate, y avellana</t>
  </si>
  <si>
    <t>Chocolate, nuez, malta</t>
  </si>
  <si>
    <t>Cremoso, mantequilloso</t>
  </si>
  <si>
    <t>LUIS NOÉ GARCÍA CASTRILLÓN</t>
  </si>
  <si>
    <t>Chocolate, caramelo, cítrico, floral</t>
  </si>
  <si>
    <t>Caramelo, manzana, nuez, floral</t>
  </si>
  <si>
    <t>Caramelo, nuez, chocolate</t>
  </si>
  <si>
    <t>RODRIGO LÓPEZ HURTADO</t>
  </si>
  <si>
    <t>Caramelo, floral, vainilla, cítrico</t>
  </si>
  <si>
    <t>Caramelo, avellana</t>
  </si>
  <si>
    <t>Paja</t>
  </si>
  <si>
    <t>EDUARDO MEJÍA ESTRADA</t>
  </si>
  <si>
    <t>LA ARMENIA</t>
  </si>
  <si>
    <t>Chocolate, vainilla, caramelo, mantequilla, nuez, avellanas</t>
  </si>
  <si>
    <t>Caramelo, chocolate, cítrico y avellanas</t>
  </si>
  <si>
    <t>Caramelo, chocolate, cítrico y avellana</t>
  </si>
  <si>
    <t>Cítrica, brillante</t>
  </si>
  <si>
    <t>MARÍA LIBIA DAVID VÉLEZ</t>
  </si>
  <si>
    <t>Caramelo, vainilla, chocolate</t>
  </si>
  <si>
    <t>GUSTAVO ALBERTO ARISTIZABAL PELÁEZ</t>
  </si>
  <si>
    <t>LA AURORA</t>
  </si>
  <si>
    <t>Caramelo, cítrico, floral, avellana y nuez</t>
  </si>
  <si>
    <t>Caramelo y maní</t>
  </si>
  <si>
    <t>JOSÉ ENRIQUE LÓPEZ MEJÍA</t>
  </si>
  <si>
    <t>LA CEJA</t>
  </si>
  <si>
    <t>Chocolate, mora, vino</t>
  </si>
  <si>
    <t>Vinoso, chocolate</t>
  </si>
  <si>
    <t>JOSÉ JAIRO VASQUES RUBIO</t>
  </si>
  <si>
    <t>Chocolate, cítrica, caramelo, nuez, vainilla</t>
  </si>
  <si>
    <t xml:space="preserve">Caramelo, vainilla </t>
  </si>
  <si>
    <t>Caramelo, chocolate, regaliz, nuez</t>
  </si>
  <si>
    <t>JESÚS MARÍA URIBE AGUDELO</t>
  </si>
  <si>
    <t>Caramelo, vainilla, chocolate, floral, vainilla</t>
  </si>
  <si>
    <t>Chocolate, nuez</t>
  </si>
  <si>
    <t>JOSÉ ARTURO QUINTERO</t>
  </si>
  <si>
    <t>Chocolate, manzana, floral, cítrico</t>
  </si>
  <si>
    <t>Cítrico, limón, frutos rojos</t>
  </si>
  <si>
    <t>Limón, chocolate, nuez, floral</t>
  </si>
  <si>
    <t>LUIS ARCÁNGEL DUQUE</t>
  </si>
  <si>
    <t>Nuez, vainilla</t>
  </si>
  <si>
    <t>LUIS EDUARDO RESTREPO MOTATO</t>
  </si>
  <si>
    <t>Avellana, cedro, mora</t>
  </si>
  <si>
    <t>Chocolate, avellana, nuez</t>
  </si>
  <si>
    <t>Chocolate, maní</t>
  </si>
  <si>
    <t>DAIANA MIRELLA GIRALDO PINEDA</t>
  </si>
  <si>
    <t>LA LINDA</t>
  </si>
  <si>
    <t>Chocolate, almendra, caramelo y cítrico</t>
  </si>
  <si>
    <t>Chocolate, paja y tabaco</t>
  </si>
  <si>
    <t>FABIÁN ECHEVERRY CARMONA</t>
  </si>
  <si>
    <t>Avellana, vainilla, cítrico</t>
  </si>
  <si>
    <t>MARCELO GÓMEZ SERNA</t>
  </si>
  <si>
    <t>Caramelo, vainilla y floral</t>
  </si>
  <si>
    <t>SANTIAGO TRUJILLO QUINTERO</t>
  </si>
  <si>
    <t>Caramelo, regaliz, vainilla, limón</t>
  </si>
  <si>
    <t>Chocolate, mora, caramelo, maní, tabaco y paja</t>
  </si>
  <si>
    <t>TRUJLLOS Y RESTREPO LIMITADA</t>
  </si>
  <si>
    <t>Caramelo, vainilla, floral, almendras</t>
  </si>
  <si>
    <t>LA NUBIA</t>
  </si>
  <si>
    <t>Maní, avellana, nuez, chocolate, vainilla, caramelo</t>
  </si>
  <si>
    <t>Cítrico, chocolate y caramelo</t>
  </si>
  <si>
    <t>Caramelo, cítrico y nuez</t>
  </si>
  <si>
    <t>MARÍA EMILIA BARCO DE BERNAL Y GABRIEL BERN</t>
  </si>
  <si>
    <t>Caramelo, albaricoque, vainilla, chocolate</t>
  </si>
  <si>
    <t>Caramelo, chocolate</t>
  </si>
  <si>
    <t>Cremoso y denso</t>
  </si>
  <si>
    <t>MIRYAM LÓPEZ GRAJALES</t>
  </si>
  <si>
    <t>Caramelo, floral, cítrico, albaricoque, vainilla, paja</t>
  </si>
  <si>
    <t>Chocolate, caramelo</t>
  </si>
  <si>
    <t>Málica, cítrico</t>
  </si>
  <si>
    <t>CLEMENTINA ARANGO DE M</t>
  </si>
  <si>
    <t>LA ONDINA</t>
  </si>
  <si>
    <t>Caramelo, manzana, vainilla, floral</t>
  </si>
  <si>
    <t>Limón, chocolate, nuez, maní</t>
  </si>
  <si>
    <t>Limón, cítrica</t>
  </si>
  <si>
    <t>MARCO ANTONIO LÓPEZ MARÍN</t>
  </si>
  <si>
    <t>LA ORIENTAL</t>
  </si>
  <si>
    <t>Almendra, caramelo, cítrico</t>
  </si>
  <si>
    <t>Chocolate y maní</t>
  </si>
  <si>
    <t>ANA MILENA PÉREZ</t>
  </si>
  <si>
    <t>LA PALMA</t>
  </si>
  <si>
    <t>Albaricoque, chocolate, floral, avellana</t>
  </si>
  <si>
    <t>Chocolate, tabaco, paja</t>
  </si>
  <si>
    <t>Humo, chocolate</t>
  </si>
  <si>
    <t>LA POPA</t>
  </si>
  <si>
    <t>Caramelo, almendra y maní</t>
  </si>
  <si>
    <t>LUIS EVELIO GIRALDO GONZÁLES</t>
  </si>
  <si>
    <t>Caramelo, maní, avellana, tabaco</t>
  </si>
  <si>
    <t>Cítrico, vainilla, chocolate</t>
  </si>
  <si>
    <t>MARÍA RUBY VÁSQUEZ DE GÓMEZ</t>
  </si>
  <si>
    <t>Chocolate, caramelo, nuez, paja</t>
  </si>
  <si>
    <t>Chocolate, caramelo, nuez paja</t>
  </si>
  <si>
    <t>EDWIN YADIR SUÁREZ MALDONADO</t>
  </si>
  <si>
    <t>LAS TAZAS</t>
  </si>
  <si>
    <t>Caramelo, frutal, nuez, cítrico, floral</t>
  </si>
  <si>
    <t xml:space="preserve">Caramelo, chocolate, cítrico  </t>
  </si>
  <si>
    <t>ELÍAS TABARES PIEDRAHITA</t>
  </si>
  <si>
    <t>Caramelo, frutal</t>
  </si>
  <si>
    <t>Paja, caramelo</t>
  </si>
  <si>
    <t>JAIRO CARDONA RAMÍREZ</t>
  </si>
  <si>
    <t>Caramelo, mora, chocolate y cítrico</t>
  </si>
  <si>
    <t>Cítrico, frutal, chocolate y caramelo</t>
  </si>
  <si>
    <t>Cítrica, tartátrica</t>
  </si>
  <si>
    <t>JHON JAIRO GARCÍA ARISTIZABAL</t>
  </si>
  <si>
    <t>Frutos rojos, cítrico, chocolate, nuez, maní</t>
  </si>
  <si>
    <t>Chocolate, cereza, nuez, cítrico</t>
  </si>
  <si>
    <t>Cítrico, nuez, maní</t>
  </si>
  <si>
    <t>JOSÉ ALEXANDER HERNÁNDEZ JARAMILLO</t>
  </si>
  <si>
    <t>Chocolate, maní, humo, avellana, nuez, malta</t>
  </si>
  <si>
    <t>Floral, chocolate, caramelo</t>
  </si>
  <si>
    <t>Denso y mantequilloso</t>
  </si>
  <si>
    <t>MARTÍN URIBE</t>
  </si>
  <si>
    <t>Limón, mantequilla, vainilla, nuez, caramelo</t>
  </si>
  <si>
    <t xml:space="preserve">Limón, chocolate, nuez </t>
  </si>
  <si>
    <t>Fosfórica, cítrica y málica</t>
  </si>
  <si>
    <t>ROBERTO CANO ARENAS</t>
  </si>
  <si>
    <t>Caramelo, mora, cítrico y nuez</t>
  </si>
  <si>
    <t>Frutos rojos, frutal, vainilla, cítrico y floral</t>
  </si>
  <si>
    <t>WILMER DE JESÚS CORREA</t>
  </si>
  <si>
    <t>Nuez, caramelo, avellana</t>
  </si>
  <si>
    <t>Caramelo, maní</t>
  </si>
  <si>
    <t>Pepino, guisante</t>
  </si>
  <si>
    <t>MATILDE CORREA DE ACEVEDO</t>
  </si>
  <si>
    <t>MANGABONITA</t>
  </si>
  <si>
    <t>Vainilla, almendra, caramelo y floral</t>
  </si>
  <si>
    <t>OLIVA CORREA DE CARDONA</t>
  </si>
  <si>
    <t>Vainilla, chocolate, paja, cítrico y caramelo</t>
  </si>
  <si>
    <t>Caramelo, cítrico, paja, chocolate, floral</t>
  </si>
  <si>
    <t>Caramelo, chocolate, cítrico y floral</t>
  </si>
  <si>
    <t>DEYANIRA OSORIO TORRES</t>
  </si>
  <si>
    <t>MIL OCHENTA</t>
  </si>
  <si>
    <t>Vainilla, avellana y caramelo</t>
  </si>
  <si>
    <t>Caramelo, nuez</t>
  </si>
  <si>
    <t>JORGE VÉLEZ ISSA</t>
  </si>
  <si>
    <t>Chocolate, caramelo, vainilla, nuez</t>
  </si>
  <si>
    <t>JAIME MARÍN ORREGO</t>
  </si>
  <si>
    <t>MIRACAMPO</t>
  </si>
  <si>
    <t>Chocolate, cítrico, nuez, avellana</t>
  </si>
  <si>
    <t>Caramelo, nuez, maní</t>
  </si>
  <si>
    <t>LUIS ÁNGEL MARÍN ORREGO</t>
  </si>
  <si>
    <t>SAN ANDRÉS</t>
  </si>
  <si>
    <t>Limón, caramelo, floral</t>
  </si>
  <si>
    <t>Floral, limón</t>
  </si>
  <si>
    <t>Cítrica, fosfórica</t>
  </si>
  <si>
    <t>LUIS ÉRLY SANTA ARIAS</t>
  </si>
  <si>
    <t>Chocolate, vainilla, floral</t>
  </si>
  <si>
    <t>Nuez, avellana, malta</t>
  </si>
  <si>
    <t>Vainilla</t>
  </si>
  <si>
    <t>COMERCIALIZADORA GIRALDO OSORIO</t>
  </si>
  <si>
    <t>SAN JUÁN</t>
  </si>
  <si>
    <t>Caramelo, vainilla, cítrico, maní</t>
  </si>
  <si>
    <t>Chocolate, maní, caramelo, nuez, tabaco</t>
  </si>
  <si>
    <t>Vainilla, chocolate, tabaco, paja</t>
  </si>
  <si>
    <t>SAN JOSÉ</t>
  </si>
  <si>
    <t>Mora, caramelo, nuez, vainilla</t>
  </si>
  <si>
    <t>Vainilla, tabaco, paja, maní</t>
  </si>
  <si>
    <t>Nuez</t>
  </si>
  <si>
    <t>LUIS EDUARDO GÓMEZ CASTRILLÓN</t>
  </si>
  <si>
    <t>ALBA LUCÍA CARDONA CASTRILLÓN</t>
  </si>
  <si>
    <t>VALENCIA</t>
  </si>
  <si>
    <t>Vainilla, nuez, caramelo, cítrico</t>
  </si>
  <si>
    <t>Chocolate, tabaco, caramelo y cítrico</t>
  </si>
  <si>
    <t>ANCÍZAR DE JESÚS MONTOYA CANO</t>
  </si>
  <si>
    <t>Caramelo, almendra, avellana, tabaco y nuez</t>
  </si>
  <si>
    <t>BENICIO SALAZAR JIMÉNEZ</t>
  </si>
  <si>
    <t>Caramelo, chocolate, maní, papa</t>
  </si>
  <si>
    <t>Chocolate, miel, nuez, cítrico</t>
  </si>
  <si>
    <t>Cítrica y málica</t>
  </si>
  <si>
    <t>Limón, caramelo, paja y chocolate</t>
  </si>
  <si>
    <t>Chocolate, tabaco y limón</t>
  </si>
  <si>
    <t>JOSÉ ANDRÉS GIRALDO</t>
  </si>
  <si>
    <t>Chocolate, caramelo, vainilla y cítrica</t>
  </si>
  <si>
    <t>LIBARDO DE J. GÓMEZ C.</t>
  </si>
  <si>
    <t>Chocolate, caramelo, pepino, tabaco</t>
  </si>
  <si>
    <t>Chocolate, tabaco y paja</t>
  </si>
  <si>
    <t>LUZ MARINA ARCILA DE GONZALEZ</t>
  </si>
  <si>
    <t>Cítrica, limón, caramelo</t>
  </si>
  <si>
    <t>MIGUEL VÉLEZ Y CIA S. EN C</t>
  </si>
  <si>
    <t xml:space="preserve">Caramelo, vainilla, chocolate </t>
  </si>
  <si>
    <t>Chocolate, caramelo, nuez, maní</t>
  </si>
  <si>
    <t>RAMÓN ÁLVAREZ A</t>
  </si>
  <si>
    <t>Cítrica, vainilla, floral</t>
  </si>
  <si>
    <t>Chocolate, vainilla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</si>
</sst>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(* #,##0.00_);_(* \(#,##0.00\);_(* &quot;-&quot;??_);_(@_)"/>
    <numFmt numFmtId="172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2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3" fillId="0" borderId="0" xfId="1" applyNumberFormat="1" applyFont="1"/>
    <xf numFmtId="2" fontId="3" fillId="0" borderId="0" xfId="0" applyNumberFormat="1" applyFont="1" applyAlignment="1">
      <alignment horizontal="center"/>
    </xf>
    <xf numFmtId="172" fontId="3" fillId="0" borderId="0" xfId="0" applyNumberFormat="1" applyFont="1" applyAlignment="1">
      <alignment horizontal="center"/>
    </xf>
    <xf numFmtId="1" fontId="3" fillId="0" borderId="0" xfId="1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72" fontId="3" fillId="0" borderId="0" xfId="2" applyNumberFormat="1" applyFont="1" applyAlignment="1">
      <alignment horizontal="center"/>
    </xf>
    <xf numFmtId="0" fontId="3" fillId="0" borderId="0" xfId="0" applyFont="1" applyAlignment="1">
      <alignment horizontal="left"/>
    </xf>
    <xf numFmtId="172" fontId="3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2"/>
  <sheetViews>
    <sheetView tabSelected="1" topLeftCell="A5" workbookViewId="0">
      <selection activeCell="Q99" sqref="Q99"/>
    </sheetView>
  </sheetViews>
  <sheetFormatPr baseColWidth="10" defaultRowHeight="14.4" x14ac:dyDescent="0.3"/>
  <cols>
    <col min="1" max="1" width="44.5546875" customWidth="1"/>
    <col min="2" max="2" width="17.109375" customWidth="1"/>
    <col min="3" max="3" width="16.5546875" customWidth="1"/>
    <col min="4" max="4" width="16.88671875" bestFit="1" customWidth="1"/>
    <col min="8" max="8" width="31.88671875" customWidth="1"/>
    <col min="9" max="9" width="23.5546875" customWidth="1"/>
    <col min="13" max="13" width="20.5546875" customWidth="1"/>
    <col min="15" max="15" width="18.44140625" customWidth="1"/>
    <col min="17" max="17" width="15.88671875" customWidth="1"/>
    <col min="18" max="18" width="22.6640625" customWidth="1"/>
    <col min="19" max="19" width="20.5546875" customWidth="1"/>
    <col min="20" max="20" width="47" customWidth="1"/>
    <col min="21" max="21" width="38.44140625" customWidth="1"/>
    <col min="22" max="22" width="34.33203125" customWidth="1"/>
    <col min="23" max="23" width="24.6640625" customWidth="1"/>
    <col min="24" max="24" width="26" customWidth="1"/>
  </cols>
  <sheetData>
    <row r="1" spans="1:24" ht="15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s="2" customFormat="1" ht="18.75" customHeight="1" x14ac:dyDescent="0.3">
      <c r="A2" s="17" t="s">
        <v>1</v>
      </c>
      <c r="B2" s="17"/>
      <c r="C2" s="17"/>
      <c r="D2" s="17"/>
      <c r="E2" s="17" t="s">
        <v>9</v>
      </c>
      <c r="F2" s="17"/>
      <c r="G2" s="17"/>
      <c r="H2" s="17"/>
      <c r="I2" s="17" t="s">
        <v>10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1:24" ht="27.75" customHeight="1" x14ac:dyDescent="0.3">
      <c r="A3" s="18" t="s">
        <v>2</v>
      </c>
      <c r="B3" s="18" t="s">
        <v>3</v>
      </c>
      <c r="C3" s="18" t="s">
        <v>4</v>
      </c>
      <c r="D3" s="18" t="s">
        <v>5</v>
      </c>
      <c r="E3" s="18" t="s">
        <v>95</v>
      </c>
      <c r="F3" s="18"/>
      <c r="G3" s="18"/>
      <c r="H3" s="3" t="s">
        <v>24</v>
      </c>
      <c r="I3" s="15" t="s">
        <v>65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8" t="s">
        <v>22</v>
      </c>
      <c r="U3" s="18"/>
      <c r="V3" s="18"/>
      <c r="W3" s="18"/>
      <c r="X3" s="18"/>
    </row>
    <row r="4" spans="1:24" ht="16.5" customHeight="1" x14ac:dyDescent="0.3">
      <c r="A4" s="18"/>
      <c r="B4" s="18"/>
      <c r="C4" s="18"/>
      <c r="D4" s="18"/>
      <c r="E4" s="3" t="s">
        <v>6</v>
      </c>
      <c r="F4" s="3" t="s">
        <v>7</v>
      </c>
      <c r="G4" s="3" t="s">
        <v>8</v>
      </c>
      <c r="H4" s="3" t="s">
        <v>28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3" t="s">
        <v>23</v>
      </c>
      <c r="U4" s="3" t="s">
        <v>14</v>
      </c>
      <c r="V4" s="3" t="s">
        <v>15</v>
      </c>
      <c r="W4" s="3" t="s">
        <v>12</v>
      </c>
      <c r="X4" s="3" t="s">
        <v>13</v>
      </c>
    </row>
    <row r="5" spans="1:24" x14ac:dyDescent="0.3">
      <c r="A5" s="5" t="s">
        <v>25</v>
      </c>
      <c r="B5" s="5" t="s">
        <v>26</v>
      </c>
      <c r="C5" s="5" t="s">
        <v>27</v>
      </c>
      <c r="D5" s="6">
        <v>6644001948</v>
      </c>
      <c r="E5" s="7">
        <f>(18.67+6.24)</f>
        <v>24.910000000000004</v>
      </c>
      <c r="F5" s="7">
        <f>(10.05+23.24+36.38)</f>
        <v>69.67</v>
      </c>
      <c r="G5" s="7">
        <f>(0.2+0.71+4.52)</f>
        <v>5.43</v>
      </c>
      <c r="H5" s="7">
        <v>21.16</v>
      </c>
      <c r="I5" s="8">
        <v>8</v>
      </c>
      <c r="J5" s="8">
        <v>8</v>
      </c>
      <c r="K5" s="8">
        <v>8</v>
      </c>
      <c r="L5" s="8">
        <v>8</v>
      </c>
      <c r="M5" s="8">
        <v>8</v>
      </c>
      <c r="N5" s="8">
        <v>10</v>
      </c>
      <c r="O5" s="9">
        <v>10</v>
      </c>
      <c r="P5" s="8">
        <v>8</v>
      </c>
      <c r="Q5" s="10">
        <v>10</v>
      </c>
      <c r="R5" s="8">
        <v>8</v>
      </c>
      <c r="S5" s="8">
        <v>86</v>
      </c>
      <c r="T5" s="12" t="s">
        <v>29</v>
      </c>
      <c r="U5" s="12" t="s">
        <v>30</v>
      </c>
      <c r="V5" s="12" t="s">
        <v>31</v>
      </c>
      <c r="W5" s="12" t="s">
        <v>32</v>
      </c>
      <c r="X5" s="12" t="s">
        <v>33</v>
      </c>
    </row>
    <row r="6" spans="1:24" x14ac:dyDescent="0.3">
      <c r="A6" s="5" t="s">
        <v>34</v>
      </c>
      <c r="B6" s="5" t="s">
        <v>26</v>
      </c>
      <c r="C6" s="5" t="s">
        <v>27</v>
      </c>
      <c r="D6" s="5">
        <v>6644001271</v>
      </c>
      <c r="E6" s="7">
        <f>(24.55+12.9)</f>
        <v>37.450000000000003</v>
      </c>
      <c r="F6" s="7">
        <f>(6.63+18.37+33.08)</f>
        <v>58.08</v>
      </c>
      <c r="G6" s="7">
        <f>(0.15+0.4+3.92)</f>
        <v>4.47</v>
      </c>
      <c r="H6" s="7">
        <v>20.32</v>
      </c>
      <c r="I6" s="8">
        <v>7</v>
      </c>
      <c r="J6" s="8">
        <v>7</v>
      </c>
      <c r="K6" s="8">
        <v>7</v>
      </c>
      <c r="L6" s="8">
        <v>7</v>
      </c>
      <c r="M6" s="8">
        <v>7</v>
      </c>
      <c r="N6" s="8">
        <v>10</v>
      </c>
      <c r="O6" s="10">
        <v>10</v>
      </c>
      <c r="P6" s="8">
        <v>7</v>
      </c>
      <c r="Q6" s="10">
        <v>10</v>
      </c>
      <c r="R6" s="11">
        <v>7</v>
      </c>
      <c r="S6" s="8">
        <v>79</v>
      </c>
      <c r="T6" s="12" t="s">
        <v>35</v>
      </c>
      <c r="U6" s="12" t="s">
        <v>36</v>
      </c>
      <c r="V6" s="12" t="s">
        <v>31</v>
      </c>
      <c r="W6" s="12"/>
      <c r="X6" s="12"/>
    </row>
    <row r="7" spans="1:24" x14ac:dyDescent="0.3">
      <c r="A7" s="5" t="s">
        <v>34</v>
      </c>
      <c r="B7" s="5" t="s">
        <v>26</v>
      </c>
      <c r="C7" s="5" t="s">
        <v>27</v>
      </c>
      <c r="D7" s="5">
        <v>6644001602</v>
      </c>
      <c r="E7" s="7">
        <f>(31.98+19.89)</f>
        <v>51.870000000000005</v>
      </c>
      <c r="F7" s="7">
        <f>(5.3+12.39+27.74)</f>
        <v>45.43</v>
      </c>
      <c r="G7" s="7">
        <f>(0.1+0.2+2.4)</f>
        <v>2.7</v>
      </c>
      <c r="H7" s="7">
        <v>19.96</v>
      </c>
      <c r="I7" s="8">
        <v>7.5</v>
      </c>
      <c r="J7" s="8">
        <v>7</v>
      </c>
      <c r="K7" s="7">
        <v>7.25</v>
      </c>
      <c r="L7" s="7">
        <v>7.75</v>
      </c>
      <c r="M7" s="8">
        <v>7.5</v>
      </c>
      <c r="N7" s="8">
        <v>10</v>
      </c>
      <c r="O7" s="10">
        <v>10</v>
      </c>
      <c r="P7" s="8">
        <v>7</v>
      </c>
      <c r="Q7" s="10">
        <v>10</v>
      </c>
      <c r="R7" s="8">
        <v>7</v>
      </c>
      <c r="S7" s="8">
        <v>81</v>
      </c>
      <c r="T7" s="12" t="s">
        <v>37</v>
      </c>
      <c r="U7" s="12" t="s">
        <v>38</v>
      </c>
      <c r="V7" s="12" t="s">
        <v>38</v>
      </c>
      <c r="W7" s="12" t="s">
        <v>39</v>
      </c>
      <c r="X7" s="12" t="s">
        <v>40</v>
      </c>
    </row>
    <row r="8" spans="1:24" x14ac:dyDescent="0.3">
      <c r="A8" s="5" t="s">
        <v>41</v>
      </c>
      <c r="B8" s="5" t="s">
        <v>26</v>
      </c>
      <c r="C8" s="5" t="s">
        <v>27</v>
      </c>
      <c r="D8" s="5">
        <v>6644001989</v>
      </c>
      <c r="E8" s="7">
        <f>(25.59+19.37)</f>
        <v>44.96</v>
      </c>
      <c r="F8" s="7">
        <f>(7.54+17.5+26.1)</f>
        <v>51.14</v>
      </c>
      <c r="G8" s="7">
        <f>(0.2+0.46+3.24)</f>
        <v>3.9000000000000004</v>
      </c>
      <c r="H8" s="7">
        <v>20.92</v>
      </c>
      <c r="I8" s="7">
        <v>7.75</v>
      </c>
      <c r="J8" s="7">
        <v>7.75</v>
      </c>
      <c r="K8" s="8">
        <v>7</v>
      </c>
      <c r="L8" s="7">
        <v>7.75</v>
      </c>
      <c r="M8" s="7">
        <v>7.75</v>
      </c>
      <c r="N8" s="8">
        <v>10</v>
      </c>
      <c r="O8" s="10">
        <v>10</v>
      </c>
      <c r="P8" s="7">
        <v>7.25</v>
      </c>
      <c r="Q8" s="10">
        <v>10</v>
      </c>
      <c r="R8" s="7">
        <v>7.75</v>
      </c>
      <c r="S8" s="8">
        <v>83</v>
      </c>
      <c r="T8" s="12" t="s">
        <v>42</v>
      </c>
      <c r="U8" s="12" t="s">
        <v>66</v>
      </c>
      <c r="V8" s="12" t="s">
        <v>31</v>
      </c>
      <c r="W8" s="12" t="s">
        <v>33</v>
      </c>
      <c r="X8" s="12" t="s">
        <v>43</v>
      </c>
    </row>
    <row r="9" spans="1:24" x14ac:dyDescent="0.3">
      <c r="A9" s="5" t="s">
        <v>44</v>
      </c>
      <c r="B9" s="5" t="s">
        <v>26</v>
      </c>
      <c r="C9" s="5" t="s">
        <v>27</v>
      </c>
      <c r="D9" s="5">
        <v>6644001290</v>
      </c>
      <c r="E9" s="7">
        <f>(19.68+7.15)</f>
        <v>26.83</v>
      </c>
      <c r="F9" s="7">
        <f>(9.26+23.55+34.27)</f>
        <v>67.080000000000013</v>
      </c>
      <c r="G9" s="7">
        <f>(0.4+1.26+4.43)</f>
        <v>6.09</v>
      </c>
      <c r="H9" s="7">
        <v>20.52</v>
      </c>
      <c r="I9" s="7">
        <v>7.75</v>
      </c>
      <c r="J9" s="7">
        <v>7.75</v>
      </c>
      <c r="K9" s="8">
        <v>7.5</v>
      </c>
      <c r="L9" s="7">
        <v>7.75</v>
      </c>
      <c r="M9" s="7">
        <v>7.75</v>
      </c>
      <c r="N9" s="8">
        <v>10</v>
      </c>
      <c r="O9" s="10">
        <v>10</v>
      </c>
      <c r="P9" s="7">
        <v>7.75</v>
      </c>
      <c r="Q9" s="10">
        <v>10</v>
      </c>
      <c r="R9" s="7">
        <v>7.75</v>
      </c>
      <c r="S9" s="8">
        <v>84</v>
      </c>
      <c r="T9" s="12" t="s">
        <v>45</v>
      </c>
      <c r="U9" s="12" t="s">
        <v>46</v>
      </c>
      <c r="V9" s="12" t="s">
        <v>31</v>
      </c>
      <c r="W9" s="12" t="s">
        <v>33</v>
      </c>
      <c r="X9" s="12" t="s">
        <v>47</v>
      </c>
    </row>
    <row r="10" spans="1:24" x14ac:dyDescent="0.3">
      <c r="A10" s="5" t="s">
        <v>48</v>
      </c>
      <c r="B10" s="5" t="s">
        <v>26</v>
      </c>
      <c r="C10" s="5" t="s">
        <v>27</v>
      </c>
      <c r="D10" s="5">
        <v>6644001108</v>
      </c>
      <c r="E10" s="7">
        <f>(34.68+37.68)</f>
        <v>72.36</v>
      </c>
      <c r="F10" s="7">
        <f>(2.36+8.13+16.7)</f>
        <v>27.189999999999998</v>
      </c>
      <c r="G10" s="7">
        <f>(0.1+0.1+0.25)</f>
        <v>0.45</v>
      </c>
      <c r="H10" s="7">
        <v>18.8</v>
      </c>
      <c r="I10" s="7">
        <v>7.75</v>
      </c>
      <c r="J10" s="7">
        <v>7.75</v>
      </c>
      <c r="K10" s="8">
        <v>7.5</v>
      </c>
      <c r="L10" s="7">
        <v>7.75</v>
      </c>
      <c r="M10" s="7">
        <v>7.75</v>
      </c>
      <c r="N10" s="8">
        <v>10</v>
      </c>
      <c r="O10" s="10">
        <v>10</v>
      </c>
      <c r="P10" s="8">
        <v>7.5</v>
      </c>
      <c r="Q10" s="10">
        <v>10</v>
      </c>
      <c r="R10" s="8">
        <v>7</v>
      </c>
      <c r="S10" s="8">
        <v>83</v>
      </c>
      <c r="T10" s="12" t="s">
        <v>49</v>
      </c>
      <c r="U10" s="12" t="s">
        <v>50</v>
      </c>
      <c r="V10" s="12" t="s">
        <v>31</v>
      </c>
      <c r="W10" s="12" t="s">
        <v>39</v>
      </c>
      <c r="X10" s="12"/>
    </row>
    <row r="11" spans="1:24" x14ac:dyDescent="0.3">
      <c r="A11" s="5" t="s">
        <v>51</v>
      </c>
      <c r="B11" s="5" t="s">
        <v>26</v>
      </c>
      <c r="C11" s="5" t="s">
        <v>27</v>
      </c>
      <c r="D11" s="5">
        <v>6644001097</v>
      </c>
      <c r="E11" s="7">
        <f>(18.03+6.88)</f>
        <v>24.91</v>
      </c>
      <c r="F11" s="7">
        <f>(8.2+27.31+32.86)</f>
        <v>68.37</v>
      </c>
      <c r="G11" s="7">
        <f>(0.36+1.17+5.2)</f>
        <v>6.73</v>
      </c>
      <c r="H11" s="7">
        <v>21.48</v>
      </c>
      <c r="I11" s="8">
        <v>7.5</v>
      </c>
      <c r="J11" s="7">
        <v>6.75</v>
      </c>
      <c r="K11" s="7">
        <v>6.75</v>
      </c>
      <c r="L11" s="7">
        <v>6.75</v>
      </c>
      <c r="M11" s="7">
        <v>6.75</v>
      </c>
      <c r="N11" s="8">
        <v>10</v>
      </c>
      <c r="O11" s="10">
        <v>10</v>
      </c>
      <c r="P11" s="7">
        <v>6.75</v>
      </c>
      <c r="Q11" s="10">
        <v>10</v>
      </c>
      <c r="R11" s="7">
        <v>6.75</v>
      </c>
      <c r="S11" s="8">
        <v>78</v>
      </c>
      <c r="T11" s="12" t="s">
        <v>52</v>
      </c>
      <c r="U11" s="12" t="s">
        <v>53</v>
      </c>
      <c r="V11" s="12" t="s">
        <v>54</v>
      </c>
      <c r="W11" s="12"/>
      <c r="X11" s="12"/>
    </row>
    <row r="12" spans="1:24" x14ac:dyDescent="0.3">
      <c r="A12" s="5" t="s">
        <v>55</v>
      </c>
      <c r="B12" s="5" t="s">
        <v>26</v>
      </c>
      <c r="C12" s="5" t="s">
        <v>27</v>
      </c>
      <c r="D12" s="5">
        <v>6644001135</v>
      </c>
      <c r="E12" s="7">
        <f>(23.08+10.07)</f>
        <v>33.15</v>
      </c>
      <c r="F12" s="7">
        <f>(9.56+23.33+28.44)</f>
        <v>61.33</v>
      </c>
      <c r="G12" s="7">
        <f>(0.4+0.86+4.25)</f>
        <v>5.51</v>
      </c>
      <c r="H12" s="7">
        <v>20.96</v>
      </c>
      <c r="I12" s="7">
        <v>7.75</v>
      </c>
      <c r="J12" s="7">
        <v>7.75</v>
      </c>
      <c r="K12" s="7">
        <v>7.75</v>
      </c>
      <c r="L12" s="7">
        <v>7.75</v>
      </c>
      <c r="M12" s="7">
        <v>7.75</v>
      </c>
      <c r="N12" s="8">
        <v>10</v>
      </c>
      <c r="O12" s="10">
        <v>10</v>
      </c>
      <c r="P12" s="7">
        <v>7.75</v>
      </c>
      <c r="Q12" s="10">
        <v>10</v>
      </c>
      <c r="R12" s="7">
        <v>7.75</v>
      </c>
      <c r="S12" s="7">
        <v>84.25</v>
      </c>
      <c r="T12" s="12" t="s">
        <v>56</v>
      </c>
      <c r="U12" s="12" t="s">
        <v>57</v>
      </c>
      <c r="V12" s="12" t="s">
        <v>31</v>
      </c>
      <c r="W12" s="12" t="s">
        <v>39</v>
      </c>
      <c r="X12" s="12" t="s">
        <v>43</v>
      </c>
    </row>
    <row r="13" spans="1:24" x14ac:dyDescent="0.3">
      <c r="A13" s="5" t="s">
        <v>58</v>
      </c>
      <c r="B13" s="5" t="s">
        <v>26</v>
      </c>
      <c r="C13" s="5" t="s">
        <v>27</v>
      </c>
      <c r="D13" s="5">
        <v>6644001276</v>
      </c>
      <c r="E13" s="7">
        <f>(21.97+8)</f>
        <v>29.97</v>
      </c>
      <c r="F13" s="7">
        <f>(8.92+20.49+35.07)</f>
        <v>64.47999999999999</v>
      </c>
      <c r="G13" s="7">
        <f>(0.2+0.51+4.84)</f>
        <v>5.55</v>
      </c>
      <c r="H13" s="7">
        <v>21.52</v>
      </c>
      <c r="I13" s="8">
        <v>6</v>
      </c>
      <c r="J13" s="8">
        <v>7</v>
      </c>
      <c r="K13" s="8">
        <v>7</v>
      </c>
      <c r="L13" s="8">
        <v>7</v>
      </c>
      <c r="M13" s="8">
        <v>7</v>
      </c>
      <c r="N13" s="8">
        <v>10</v>
      </c>
      <c r="O13" s="10">
        <v>10</v>
      </c>
      <c r="P13" s="8">
        <v>7</v>
      </c>
      <c r="Q13" s="10">
        <v>10</v>
      </c>
      <c r="R13" s="8">
        <v>7</v>
      </c>
      <c r="S13" s="8">
        <v>78</v>
      </c>
      <c r="T13" s="12" t="s">
        <v>59</v>
      </c>
      <c r="U13" s="12" t="s">
        <v>60</v>
      </c>
      <c r="V13" s="12" t="s">
        <v>61</v>
      </c>
      <c r="W13" s="12" t="s">
        <v>33</v>
      </c>
      <c r="X13" s="12"/>
    </row>
    <row r="14" spans="1:24" x14ac:dyDescent="0.3">
      <c r="A14" s="5" t="s">
        <v>62</v>
      </c>
      <c r="B14" s="5" t="s">
        <v>26</v>
      </c>
      <c r="C14" s="5" t="s">
        <v>27</v>
      </c>
      <c r="D14" s="5">
        <v>6644001100</v>
      </c>
      <c r="E14" s="7">
        <f>(28.32+34.4)</f>
        <v>62.72</v>
      </c>
      <c r="F14" s="7">
        <f>(2.53+11.87+21.41)</f>
        <v>35.81</v>
      </c>
      <c r="G14" s="7">
        <f>(0.19+0.1+1.17)</f>
        <v>1.46</v>
      </c>
      <c r="H14" s="8">
        <v>17.8</v>
      </c>
      <c r="I14" s="8">
        <v>8</v>
      </c>
      <c r="J14" s="7">
        <v>7.75</v>
      </c>
      <c r="K14" s="7">
        <v>7.25</v>
      </c>
      <c r="L14" s="7">
        <v>7.75</v>
      </c>
      <c r="M14" s="7">
        <v>7.75</v>
      </c>
      <c r="N14" s="8">
        <v>10</v>
      </c>
      <c r="O14" s="10">
        <v>10</v>
      </c>
      <c r="P14" s="8">
        <v>7.5</v>
      </c>
      <c r="Q14" s="10">
        <v>10</v>
      </c>
      <c r="R14" s="8">
        <v>7</v>
      </c>
      <c r="S14" s="8">
        <v>83</v>
      </c>
      <c r="T14" s="12" t="s">
        <v>63</v>
      </c>
      <c r="U14" s="12" t="s">
        <v>64</v>
      </c>
      <c r="V14" s="12" t="s">
        <v>31</v>
      </c>
      <c r="W14" s="12" t="s">
        <v>33</v>
      </c>
      <c r="X14" s="12"/>
    </row>
    <row r="15" spans="1:24" x14ac:dyDescent="0.3">
      <c r="A15" s="5" t="s">
        <v>67</v>
      </c>
      <c r="B15" s="5" t="s">
        <v>26</v>
      </c>
      <c r="C15" s="5" t="s">
        <v>27</v>
      </c>
      <c r="D15" s="5">
        <v>6644001280</v>
      </c>
      <c r="E15" s="7">
        <f>(24.49+11.87)</f>
        <v>36.36</v>
      </c>
      <c r="F15" s="7">
        <f>(8.87+19.88+30.53)</f>
        <v>59.28</v>
      </c>
      <c r="G15" s="7">
        <f>(0.2+0.61+3.55)</f>
        <v>4.3599999999999994</v>
      </c>
      <c r="H15" s="7">
        <v>21.12</v>
      </c>
      <c r="I15" s="7">
        <v>6.75</v>
      </c>
      <c r="J15" s="7">
        <v>6.75</v>
      </c>
      <c r="K15" s="7">
        <v>6.75</v>
      </c>
      <c r="L15" s="7">
        <v>6.75</v>
      </c>
      <c r="M15" s="7">
        <v>6.75</v>
      </c>
      <c r="N15" s="8">
        <v>10</v>
      </c>
      <c r="O15" s="10">
        <v>10</v>
      </c>
      <c r="P15" s="7">
        <v>6.75</v>
      </c>
      <c r="Q15" s="10">
        <v>10</v>
      </c>
      <c r="R15" s="7">
        <v>6.75</v>
      </c>
      <c r="S15" s="7">
        <v>77.25</v>
      </c>
      <c r="T15" s="5" t="s">
        <v>68</v>
      </c>
      <c r="U15" s="5" t="s">
        <v>69</v>
      </c>
      <c r="V15" s="5" t="s">
        <v>53</v>
      </c>
      <c r="W15" s="5"/>
      <c r="X15" s="5"/>
    </row>
    <row r="16" spans="1:24" x14ac:dyDescent="0.3">
      <c r="A16" s="5" t="s">
        <v>25</v>
      </c>
      <c r="B16" s="5" t="s">
        <v>26</v>
      </c>
      <c r="C16" s="5" t="s">
        <v>70</v>
      </c>
      <c r="D16" s="5">
        <v>6644001084</v>
      </c>
      <c r="E16" s="7">
        <f>(19.34+5.97)</f>
        <v>25.31</v>
      </c>
      <c r="F16" s="7">
        <f>(6.33+26.28+37.87)</f>
        <v>70.47999999999999</v>
      </c>
      <c r="G16" s="7">
        <f>(0.3+0.56+3.34)</f>
        <v>4.2</v>
      </c>
      <c r="H16" s="8">
        <v>21</v>
      </c>
      <c r="I16" s="7">
        <v>6.75</v>
      </c>
      <c r="J16" s="7">
        <v>6.75</v>
      </c>
      <c r="K16" s="7">
        <v>6.75</v>
      </c>
      <c r="L16" s="7">
        <v>6.75</v>
      </c>
      <c r="M16" s="7">
        <v>6.75</v>
      </c>
      <c r="N16" s="8">
        <v>10</v>
      </c>
      <c r="O16" s="10">
        <v>10</v>
      </c>
      <c r="P16" s="7">
        <v>6.75</v>
      </c>
      <c r="Q16" s="10">
        <v>10</v>
      </c>
      <c r="R16" s="7">
        <v>6.75</v>
      </c>
      <c r="S16" s="7">
        <v>77.25</v>
      </c>
      <c r="T16" s="5" t="s">
        <v>71</v>
      </c>
      <c r="U16" s="5" t="s">
        <v>72</v>
      </c>
      <c r="V16" s="5" t="s">
        <v>53</v>
      </c>
      <c r="W16" s="5" t="s">
        <v>33</v>
      </c>
      <c r="X16" s="5"/>
    </row>
    <row r="17" spans="1:24" x14ac:dyDescent="0.3">
      <c r="A17" s="5" t="s">
        <v>58</v>
      </c>
      <c r="B17" s="5" t="s">
        <v>26</v>
      </c>
      <c r="C17" s="5" t="s">
        <v>70</v>
      </c>
      <c r="D17" s="5">
        <v>6644002038</v>
      </c>
      <c r="E17" s="7">
        <f>(24.38+49.7)</f>
        <v>74.08</v>
      </c>
      <c r="F17" s="7">
        <f>(2.27+6.9+15.81)</f>
        <v>24.98</v>
      </c>
      <c r="G17" s="7">
        <f>(0+0+0.94)</f>
        <v>0.94</v>
      </c>
      <c r="H17" s="8">
        <v>18.8</v>
      </c>
      <c r="I17" s="8">
        <v>6.5</v>
      </c>
      <c r="J17" s="8">
        <v>7</v>
      </c>
      <c r="K17" s="8">
        <v>7</v>
      </c>
      <c r="L17" s="7">
        <v>6.25</v>
      </c>
      <c r="M17" s="8">
        <v>7</v>
      </c>
      <c r="N17" s="8">
        <v>10</v>
      </c>
      <c r="O17" s="10">
        <v>10</v>
      </c>
      <c r="P17" s="8">
        <v>7</v>
      </c>
      <c r="Q17" s="10">
        <v>10</v>
      </c>
      <c r="R17" s="8">
        <v>7</v>
      </c>
      <c r="S17" s="7">
        <v>77.75</v>
      </c>
      <c r="T17" s="5" t="s">
        <v>73</v>
      </c>
      <c r="U17" s="5" t="s">
        <v>74</v>
      </c>
      <c r="V17" s="5" t="s">
        <v>75</v>
      </c>
      <c r="W17" s="5" t="s">
        <v>76</v>
      </c>
      <c r="X17" s="5" t="s">
        <v>43</v>
      </c>
    </row>
    <row r="18" spans="1:24" x14ac:dyDescent="0.3">
      <c r="A18" s="5" t="s">
        <v>77</v>
      </c>
      <c r="B18" s="5" t="s">
        <v>26</v>
      </c>
      <c r="C18" s="5" t="s">
        <v>70</v>
      </c>
      <c r="D18" s="5">
        <v>6644001973</v>
      </c>
      <c r="E18" s="7">
        <f>(17.69+5.07)</f>
        <v>22.76</v>
      </c>
      <c r="F18" s="7">
        <f>(8.43+23.85+37.56)</f>
        <v>69.84</v>
      </c>
      <c r="G18" s="7">
        <f>(1.03+0.98+5.38)</f>
        <v>7.39</v>
      </c>
      <c r="H18" s="7">
        <v>22.68</v>
      </c>
      <c r="I18" s="7">
        <v>7.75</v>
      </c>
      <c r="J18" s="8">
        <v>7</v>
      </c>
      <c r="K18" s="8">
        <v>7</v>
      </c>
      <c r="L18" s="8">
        <v>7.5</v>
      </c>
      <c r="M18" s="8">
        <v>7</v>
      </c>
      <c r="N18" s="8">
        <v>10</v>
      </c>
      <c r="O18" s="10">
        <v>10</v>
      </c>
      <c r="P18" s="8">
        <v>7</v>
      </c>
      <c r="Q18" s="10">
        <v>10</v>
      </c>
      <c r="R18" s="8">
        <v>7</v>
      </c>
      <c r="S18" s="7">
        <v>80.25</v>
      </c>
      <c r="T18" s="5" t="s">
        <v>78</v>
      </c>
      <c r="U18" s="5" t="s">
        <v>79</v>
      </c>
      <c r="V18" s="5" t="s">
        <v>31</v>
      </c>
      <c r="W18" s="5" t="s">
        <v>76</v>
      </c>
      <c r="X18" s="5" t="s">
        <v>43</v>
      </c>
    </row>
    <row r="19" spans="1:24" x14ac:dyDescent="0.3">
      <c r="A19" s="5" t="s">
        <v>350</v>
      </c>
      <c r="B19" s="5" t="s">
        <v>26</v>
      </c>
      <c r="C19" s="5" t="s">
        <v>80</v>
      </c>
      <c r="D19" s="5">
        <v>6644000967</v>
      </c>
      <c r="E19" s="7">
        <f>(28.25+22.39)</f>
        <v>50.64</v>
      </c>
      <c r="F19" s="7">
        <f>(5.61+15.55+24.51)</f>
        <v>45.67</v>
      </c>
      <c r="G19" s="7">
        <f>(0.3+0.54+2.85)</f>
        <v>3.6900000000000004</v>
      </c>
      <c r="H19" s="7">
        <v>18.72</v>
      </c>
      <c r="I19" s="7">
        <v>7.75</v>
      </c>
      <c r="J19" s="8">
        <v>7</v>
      </c>
      <c r="K19" s="8">
        <v>7</v>
      </c>
      <c r="L19" s="7">
        <v>7.75</v>
      </c>
      <c r="M19" s="7">
        <v>7.75</v>
      </c>
      <c r="N19" s="8">
        <v>10</v>
      </c>
      <c r="O19" s="10">
        <v>10</v>
      </c>
      <c r="P19" s="8">
        <v>7</v>
      </c>
      <c r="Q19" s="10">
        <v>10</v>
      </c>
      <c r="R19" s="8">
        <v>7</v>
      </c>
      <c r="S19" s="7">
        <v>81.25</v>
      </c>
      <c r="T19" s="5" t="s">
        <v>81</v>
      </c>
      <c r="U19" s="5" t="s">
        <v>82</v>
      </c>
      <c r="V19" s="5" t="s">
        <v>83</v>
      </c>
      <c r="W19" s="5" t="s">
        <v>33</v>
      </c>
      <c r="X19" s="5"/>
    </row>
    <row r="20" spans="1:24" x14ac:dyDescent="0.3">
      <c r="A20" s="5" t="s">
        <v>84</v>
      </c>
      <c r="B20" s="5" t="s">
        <v>26</v>
      </c>
      <c r="C20" s="5" t="s">
        <v>80</v>
      </c>
      <c r="D20" s="5">
        <v>6644001891</v>
      </c>
      <c r="E20" s="7">
        <f>(25.89+27.8)</f>
        <v>53.69</v>
      </c>
      <c r="F20" s="7">
        <f>(5.18+14.58+22.57)</f>
        <v>42.33</v>
      </c>
      <c r="G20" s="7">
        <f>(0.25+0.6+3.12)</f>
        <v>3.97</v>
      </c>
      <c r="H20" s="7">
        <v>20.440000000000001</v>
      </c>
      <c r="I20" s="7">
        <v>7.75</v>
      </c>
      <c r="J20" s="7">
        <v>7.75</v>
      </c>
      <c r="K20" s="8">
        <v>7</v>
      </c>
      <c r="L20" s="7">
        <v>7.75</v>
      </c>
      <c r="M20" s="8">
        <v>7.5</v>
      </c>
      <c r="N20" s="8">
        <v>10</v>
      </c>
      <c r="O20" s="10">
        <v>10</v>
      </c>
      <c r="P20" s="8">
        <v>7</v>
      </c>
      <c r="Q20" s="10">
        <v>10</v>
      </c>
      <c r="R20" s="8">
        <v>7</v>
      </c>
      <c r="S20" s="7">
        <v>81.75</v>
      </c>
      <c r="T20" s="5" t="s">
        <v>85</v>
      </c>
      <c r="U20" s="5" t="s">
        <v>86</v>
      </c>
      <c r="V20" s="5" t="s">
        <v>87</v>
      </c>
      <c r="W20" s="5" t="s">
        <v>39</v>
      </c>
      <c r="X20" s="5"/>
    </row>
    <row r="21" spans="1:24" x14ac:dyDescent="0.3">
      <c r="A21" s="5" t="s">
        <v>88</v>
      </c>
      <c r="B21" s="5" t="s">
        <v>26</v>
      </c>
      <c r="C21" s="5" t="s">
        <v>80</v>
      </c>
      <c r="D21" s="5">
        <v>6644000655</v>
      </c>
      <c r="E21" s="7">
        <f>(27.26+36)</f>
        <v>63.260000000000005</v>
      </c>
      <c r="F21" s="7">
        <f>(2.48+10.53+22.24)</f>
        <v>35.25</v>
      </c>
      <c r="G21" s="7">
        <f>(0.15+0.2+1.14)</f>
        <v>1.4899999999999998</v>
      </c>
      <c r="H21" s="7">
        <v>19.440000000000001</v>
      </c>
      <c r="I21" s="8">
        <v>6.5</v>
      </c>
      <c r="J21" s="8">
        <v>6.5</v>
      </c>
      <c r="K21" s="8">
        <v>6.5</v>
      </c>
      <c r="L21" s="8">
        <v>6.5</v>
      </c>
      <c r="M21" s="8">
        <v>6.5</v>
      </c>
      <c r="N21" s="8">
        <v>10</v>
      </c>
      <c r="O21" s="10">
        <v>10</v>
      </c>
      <c r="P21" s="8">
        <v>6.5</v>
      </c>
      <c r="Q21" s="10">
        <v>10</v>
      </c>
      <c r="R21" s="8">
        <v>6.5</v>
      </c>
      <c r="S21" s="8">
        <v>75.5</v>
      </c>
      <c r="T21" s="5" t="s">
        <v>89</v>
      </c>
      <c r="U21" s="5" t="s">
        <v>69</v>
      </c>
      <c r="V21" s="5" t="s">
        <v>90</v>
      </c>
      <c r="W21" s="5"/>
      <c r="X21" s="5"/>
    </row>
    <row r="22" spans="1:24" x14ac:dyDescent="0.3">
      <c r="A22" s="5" t="s">
        <v>91</v>
      </c>
      <c r="B22" s="5" t="s">
        <v>26</v>
      </c>
      <c r="C22" s="5" t="s">
        <v>92</v>
      </c>
      <c r="D22" s="5">
        <v>6644000610</v>
      </c>
      <c r="E22" s="7">
        <f>(32.08+21.16)</f>
        <v>53.239999999999995</v>
      </c>
      <c r="F22" s="7">
        <f>(4.75+13.17+26.2)</f>
        <v>44.120000000000005</v>
      </c>
      <c r="G22" s="7">
        <f>(0.2+0.24+2.2)</f>
        <v>2.64</v>
      </c>
      <c r="H22" s="7">
        <v>18.32</v>
      </c>
      <c r="I22" s="7">
        <v>6.75</v>
      </c>
      <c r="J22" s="7">
        <v>6.75</v>
      </c>
      <c r="K22" s="7">
        <v>7.25</v>
      </c>
      <c r="L22" s="7">
        <v>6.75</v>
      </c>
      <c r="M22" s="7">
        <v>6.75</v>
      </c>
      <c r="N22" s="8">
        <v>10</v>
      </c>
      <c r="O22" s="10">
        <v>10</v>
      </c>
      <c r="P22" s="8">
        <v>7</v>
      </c>
      <c r="Q22" s="10">
        <v>10</v>
      </c>
      <c r="R22" s="8">
        <v>7</v>
      </c>
      <c r="S22" s="7">
        <v>78.25</v>
      </c>
      <c r="T22" s="5" t="s">
        <v>93</v>
      </c>
      <c r="U22" s="5" t="s">
        <v>94</v>
      </c>
      <c r="V22" s="5" t="s">
        <v>53</v>
      </c>
      <c r="W22" s="5" t="s">
        <v>33</v>
      </c>
      <c r="X22" s="5"/>
    </row>
    <row r="23" spans="1:24" x14ac:dyDescent="0.3">
      <c r="A23" s="5" t="s">
        <v>96</v>
      </c>
      <c r="B23" s="5" t="s">
        <v>26</v>
      </c>
      <c r="C23" s="5" t="s">
        <v>97</v>
      </c>
      <c r="D23" s="5">
        <v>6644001781</v>
      </c>
      <c r="E23" s="7">
        <f>(26.53+28.95)</f>
        <v>55.480000000000004</v>
      </c>
      <c r="F23" s="7">
        <f>(4+13.44+24.36)</f>
        <v>41.8</v>
      </c>
      <c r="G23" s="7">
        <f>(0.2+0.35+2.17)</f>
        <v>2.7199999999999998</v>
      </c>
      <c r="H23" s="7">
        <v>19.04</v>
      </c>
      <c r="I23" s="8">
        <v>7.5</v>
      </c>
      <c r="J23" s="8">
        <v>7</v>
      </c>
      <c r="K23" s="8">
        <v>7</v>
      </c>
      <c r="L23" s="8">
        <v>7.5</v>
      </c>
      <c r="M23" s="8">
        <v>7.5</v>
      </c>
      <c r="N23" s="8">
        <v>10</v>
      </c>
      <c r="O23" s="10">
        <v>10</v>
      </c>
      <c r="P23" s="8">
        <v>7</v>
      </c>
      <c r="Q23" s="10">
        <v>10</v>
      </c>
      <c r="R23" s="8">
        <v>7</v>
      </c>
      <c r="S23" s="8">
        <v>80.5</v>
      </c>
      <c r="T23" s="5" t="s">
        <v>98</v>
      </c>
      <c r="U23" s="5" t="s">
        <v>99</v>
      </c>
      <c r="V23" s="5" t="s">
        <v>90</v>
      </c>
      <c r="W23" s="5" t="s">
        <v>33</v>
      </c>
      <c r="X23" s="5"/>
    </row>
    <row r="24" spans="1:24" x14ac:dyDescent="0.3">
      <c r="A24" s="5" t="s">
        <v>100</v>
      </c>
      <c r="B24" s="5" t="s">
        <v>26</v>
      </c>
      <c r="C24" s="5" t="s">
        <v>101</v>
      </c>
      <c r="D24" s="5">
        <v>6644001856</v>
      </c>
      <c r="E24" s="7">
        <f>(21.51+51.74)</f>
        <v>73.25</v>
      </c>
      <c r="F24" s="7">
        <f>(3.28+7.15+12.54)</f>
        <v>22.97</v>
      </c>
      <c r="G24" s="7">
        <f>(1.27+1.03+1.47)</f>
        <v>3.7699999999999996</v>
      </c>
      <c r="H24" s="7">
        <v>18.36</v>
      </c>
      <c r="I24" s="8">
        <v>7</v>
      </c>
      <c r="J24" s="8">
        <v>7</v>
      </c>
      <c r="K24" s="8">
        <v>7</v>
      </c>
      <c r="L24" s="8">
        <v>7</v>
      </c>
      <c r="M24" s="8">
        <v>7</v>
      </c>
      <c r="N24" s="8">
        <v>10</v>
      </c>
      <c r="O24" s="10">
        <v>10</v>
      </c>
      <c r="P24" s="8">
        <v>7</v>
      </c>
      <c r="Q24" s="10">
        <v>10</v>
      </c>
      <c r="R24" s="8">
        <v>7</v>
      </c>
      <c r="S24" s="8">
        <v>79</v>
      </c>
      <c r="T24" s="5" t="s">
        <v>102</v>
      </c>
      <c r="U24" s="5" t="s">
        <v>103</v>
      </c>
      <c r="V24" s="5" t="s">
        <v>104</v>
      </c>
      <c r="W24" s="5" t="s">
        <v>39</v>
      </c>
      <c r="X24" s="5"/>
    </row>
    <row r="25" spans="1:24" x14ac:dyDescent="0.3">
      <c r="A25" s="5" t="s">
        <v>105</v>
      </c>
      <c r="B25" s="5" t="s">
        <v>26</v>
      </c>
      <c r="C25" s="5" t="s">
        <v>106</v>
      </c>
      <c r="D25" s="5">
        <v>6644000787</v>
      </c>
      <c r="E25" s="7">
        <f>(19.72+12.96)</f>
        <v>32.68</v>
      </c>
      <c r="F25" s="7">
        <f>(8.12+24.26+30.56)</f>
        <v>62.94</v>
      </c>
      <c r="G25" s="7">
        <f>(0.15+0.55+3.68)</f>
        <v>4.38</v>
      </c>
      <c r="H25" s="7">
        <v>20.68</v>
      </c>
      <c r="I25" s="8">
        <v>7</v>
      </c>
      <c r="J25" s="8">
        <v>8</v>
      </c>
      <c r="K25" s="8">
        <v>8</v>
      </c>
      <c r="L25" s="8">
        <v>8</v>
      </c>
      <c r="M25" s="8">
        <v>8</v>
      </c>
      <c r="N25" s="8">
        <v>10</v>
      </c>
      <c r="O25" s="10">
        <v>10</v>
      </c>
      <c r="P25" s="8">
        <v>8</v>
      </c>
      <c r="Q25" s="10">
        <v>10</v>
      </c>
      <c r="R25" s="8">
        <v>8</v>
      </c>
      <c r="S25" s="8">
        <v>85</v>
      </c>
      <c r="T25" s="5" t="s">
        <v>107</v>
      </c>
      <c r="U25" s="5" t="s">
        <v>108</v>
      </c>
      <c r="V25" s="5" t="s">
        <v>31</v>
      </c>
      <c r="W25" s="5" t="s">
        <v>39</v>
      </c>
      <c r="X25" s="5"/>
    </row>
    <row r="26" spans="1:24" x14ac:dyDescent="0.3">
      <c r="A26" s="5" t="s">
        <v>109</v>
      </c>
      <c r="B26" s="5" t="s">
        <v>26</v>
      </c>
      <c r="C26" s="5" t="s">
        <v>106</v>
      </c>
      <c r="D26" s="5">
        <v>6644000819</v>
      </c>
      <c r="E26" s="7">
        <f>(28.55+32.7)</f>
        <v>61.25</v>
      </c>
      <c r="F26" s="7">
        <f>(3+10.35+22.9)</f>
        <v>36.25</v>
      </c>
      <c r="G26" s="7">
        <f>(0.35+0.45+1.7)</f>
        <v>2.5</v>
      </c>
      <c r="H26" s="8">
        <v>20</v>
      </c>
      <c r="I26" s="8">
        <v>8</v>
      </c>
      <c r="J26" s="7">
        <v>6.75</v>
      </c>
      <c r="K26" s="7">
        <v>6.75</v>
      </c>
      <c r="L26" s="7">
        <v>6.75</v>
      </c>
      <c r="M26" s="7">
        <v>6.75</v>
      </c>
      <c r="N26" s="8">
        <v>10</v>
      </c>
      <c r="O26" s="10">
        <v>10</v>
      </c>
      <c r="P26" s="7">
        <v>6.75</v>
      </c>
      <c r="Q26" s="10">
        <v>10</v>
      </c>
      <c r="R26" s="7">
        <v>6.75</v>
      </c>
      <c r="S26" s="8">
        <v>78.5</v>
      </c>
      <c r="T26" s="5" t="s">
        <v>110</v>
      </c>
      <c r="U26" s="5" t="s">
        <v>53</v>
      </c>
      <c r="V26" s="5" t="s">
        <v>111</v>
      </c>
      <c r="W26" s="5"/>
      <c r="X26" s="5"/>
    </row>
    <row r="27" spans="1:24" x14ac:dyDescent="0.3">
      <c r="A27" s="5" t="s">
        <v>112</v>
      </c>
      <c r="B27" s="5" t="s">
        <v>26</v>
      </c>
      <c r="C27" s="5" t="s">
        <v>113</v>
      </c>
      <c r="D27" s="5">
        <v>6644000413</v>
      </c>
      <c r="E27" s="7">
        <f>(30.42+27.82)</f>
        <v>58.24</v>
      </c>
      <c r="F27" s="7">
        <f>(4.3+11.24+24.58)</f>
        <v>40.119999999999997</v>
      </c>
      <c r="G27" s="7">
        <f>(0+0.15+1.5)</f>
        <v>1.65</v>
      </c>
      <c r="H27" s="7">
        <v>19.920000000000002</v>
      </c>
      <c r="I27" s="7">
        <v>7.75</v>
      </c>
      <c r="J27" s="7">
        <v>7.75</v>
      </c>
      <c r="K27" s="8">
        <v>7.5</v>
      </c>
      <c r="L27" s="7">
        <v>7.75</v>
      </c>
      <c r="M27" s="7">
        <v>7.75</v>
      </c>
      <c r="N27" s="8">
        <v>10</v>
      </c>
      <c r="O27" s="10">
        <v>10</v>
      </c>
      <c r="P27" s="7">
        <v>7.25</v>
      </c>
      <c r="Q27" s="10">
        <v>10</v>
      </c>
      <c r="R27" s="7">
        <v>7.25</v>
      </c>
      <c r="S27" s="8">
        <v>83</v>
      </c>
      <c r="T27" s="5" t="s">
        <v>114</v>
      </c>
      <c r="U27" s="5" t="s">
        <v>115</v>
      </c>
      <c r="V27" s="5" t="s">
        <v>116</v>
      </c>
      <c r="W27" s="5" t="s">
        <v>33</v>
      </c>
      <c r="X27" s="5" t="s">
        <v>43</v>
      </c>
    </row>
    <row r="28" spans="1:24" x14ac:dyDescent="0.3">
      <c r="A28" s="5" t="s">
        <v>25</v>
      </c>
      <c r="B28" s="5" t="s">
        <v>26</v>
      </c>
      <c r="C28" s="5" t="s">
        <v>113</v>
      </c>
      <c r="D28" s="5">
        <v>6644000410</v>
      </c>
      <c r="E28" s="7">
        <f>(27.35+23.38)</f>
        <v>50.730000000000004</v>
      </c>
      <c r="F28" s="7">
        <f>(4.87+14+27.45)</f>
        <v>46.32</v>
      </c>
      <c r="G28" s="7">
        <f>(0.15+0.2+2.61)</f>
        <v>2.96</v>
      </c>
      <c r="H28" s="7">
        <v>20.28</v>
      </c>
      <c r="I28" s="7">
        <v>7.75</v>
      </c>
      <c r="J28" s="7">
        <v>7.75</v>
      </c>
      <c r="K28" s="7">
        <v>7.75</v>
      </c>
      <c r="L28" s="7">
        <v>7.75</v>
      </c>
      <c r="M28" s="7">
        <v>7.75</v>
      </c>
      <c r="N28" s="8">
        <v>10</v>
      </c>
      <c r="O28" s="10">
        <v>10</v>
      </c>
      <c r="P28" s="7">
        <v>7.75</v>
      </c>
      <c r="Q28" s="10">
        <v>10</v>
      </c>
      <c r="R28" s="7">
        <v>7.75</v>
      </c>
      <c r="S28" s="7">
        <v>84.25</v>
      </c>
      <c r="T28" s="5" t="s">
        <v>117</v>
      </c>
      <c r="U28" s="5" t="s">
        <v>118</v>
      </c>
      <c r="V28" s="5" t="s">
        <v>119</v>
      </c>
      <c r="W28" s="5" t="s">
        <v>76</v>
      </c>
      <c r="X28" s="5" t="s">
        <v>43</v>
      </c>
    </row>
    <row r="29" spans="1:24" x14ac:dyDescent="0.3">
      <c r="A29" s="5" t="s">
        <v>120</v>
      </c>
      <c r="B29" s="5" t="s">
        <v>26</v>
      </c>
      <c r="C29" s="5" t="s">
        <v>113</v>
      </c>
      <c r="D29" s="5">
        <v>6644000437</v>
      </c>
      <c r="E29" s="7">
        <f>(19.16+58.92)</f>
        <v>78.08</v>
      </c>
      <c r="F29" s="7">
        <f>(2.14+4.94+11.16)</f>
        <v>18.240000000000002</v>
      </c>
      <c r="G29" s="7">
        <f>(0.92+1.38+1.38)</f>
        <v>3.6799999999999997</v>
      </c>
      <c r="H29" s="7">
        <v>21.52</v>
      </c>
      <c r="I29" s="7">
        <v>7.75</v>
      </c>
      <c r="J29" s="7">
        <v>7.75</v>
      </c>
      <c r="K29" s="7">
        <v>7.75</v>
      </c>
      <c r="L29" s="7">
        <v>7.75</v>
      </c>
      <c r="M29" s="7">
        <v>7.75</v>
      </c>
      <c r="N29" s="8">
        <v>10</v>
      </c>
      <c r="O29" s="10">
        <v>10</v>
      </c>
      <c r="P29" s="7">
        <v>7.75</v>
      </c>
      <c r="Q29" s="10">
        <v>10</v>
      </c>
      <c r="R29" s="7">
        <v>7.75</v>
      </c>
      <c r="S29" s="7">
        <v>84.25</v>
      </c>
      <c r="T29" s="5" t="s">
        <v>121</v>
      </c>
      <c r="U29" s="5" t="s">
        <v>122</v>
      </c>
      <c r="V29" s="5" t="s">
        <v>123</v>
      </c>
      <c r="W29" s="5" t="s">
        <v>124</v>
      </c>
      <c r="X29" s="5" t="s">
        <v>40</v>
      </c>
    </row>
    <row r="30" spans="1:24" x14ac:dyDescent="0.3">
      <c r="A30" s="5" t="s">
        <v>125</v>
      </c>
      <c r="B30" s="5" t="s">
        <v>26</v>
      </c>
      <c r="C30" s="5" t="s">
        <v>113</v>
      </c>
      <c r="D30" s="5">
        <v>6644000430</v>
      </c>
      <c r="E30" s="7">
        <f>(14.05+67.24)</f>
        <v>81.289999999999992</v>
      </c>
      <c r="F30" s="7">
        <f>(1.93+6.28+9.75)</f>
        <v>17.96</v>
      </c>
      <c r="G30" s="7">
        <f>(0.2+0+0.54)</f>
        <v>0.74</v>
      </c>
      <c r="H30" s="7">
        <v>19.16</v>
      </c>
      <c r="I30" s="7">
        <v>7.75</v>
      </c>
      <c r="J30" s="8">
        <v>7.5</v>
      </c>
      <c r="K30" s="8">
        <v>7</v>
      </c>
      <c r="L30" s="7">
        <v>7.75</v>
      </c>
      <c r="M30" s="7">
        <v>7.75</v>
      </c>
      <c r="N30" s="8">
        <v>10</v>
      </c>
      <c r="O30" s="10">
        <v>10</v>
      </c>
      <c r="P30" s="8">
        <v>7</v>
      </c>
      <c r="Q30" s="10">
        <v>10</v>
      </c>
      <c r="R30" s="7">
        <v>7.25</v>
      </c>
      <c r="S30" s="8">
        <v>82</v>
      </c>
      <c r="T30" s="5" t="s">
        <v>118</v>
      </c>
      <c r="U30" s="5" t="s">
        <v>126</v>
      </c>
      <c r="V30" s="5" t="s">
        <v>31</v>
      </c>
      <c r="W30" s="5" t="s">
        <v>39</v>
      </c>
      <c r="X30" s="5" t="s">
        <v>43</v>
      </c>
    </row>
    <row r="31" spans="1:24" x14ac:dyDescent="0.3">
      <c r="A31" s="5" t="s">
        <v>58</v>
      </c>
      <c r="B31" s="5" t="s">
        <v>26</v>
      </c>
      <c r="C31" s="5" t="s">
        <v>113</v>
      </c>
      <c r="D31" s="5">
        <v>6644000658</v>
      </c>
      <c r="E31" s="7">
        <f>(29.35+24.23)</f>
        <v>53.58</v>
      </c>
      <c r="F31" s="7">
        <f>(5.87+15+22.63)</f>
        <v>43.5</v>
      </c>
      <c r="G31" s="7">
        <f>(0.05+0.45+2.41)</f>
        <v>2.91</v>
      </c>
      <c r="H31" s="7">
        <v>20.28</v>
      </c>
      <c r="I31" s="7">
        <v>7.75</v>
      </c>
      <c r="J31" s="7">
        <v>7.75</v>
      </c>
      <c r="K31" s="7">
        <v>7.75</v>
      </c>
      <c r="L31" s="7">
        <v>7.75</v>
      </c>
      <c r="M31" s="7">
        <v>7.75</v>
      </c>
      <c r="N31" s="8">
        <v>10</v>
      </c>
      <c r="O31" s="10">
        <v>10</v>
      </c>
      <c r="P31" s="7">
        <v>7.75</v>
      </c>
      <c r="Q31" s="10">
        <v>10</v>
      </c>
      <c r="R31" s="7">
        <v>7.75</v>
      </c>
      <c r="S31" s="7">
        <v>84.25</v>
      </c>
      <c r="T31" s="5" t="s">
        <v>127</v>
      </c>
      <c r="U31" s="5" t="s">
        <v>128</v>
      </c>
      <c r="V31" s="5" t="s">
        <v>129</v>
      </c>
      <c r="W31" s="5" t="s">
        <v>76</v>
      </c>
      <c r="X31" s="5" t="s">
        <v>43</v>
      </c>
    </row>
    <row r="32" spans="1:24" x14ac:dyDescent="0.3">
      <c r="A32" s="5" t="s">
        <v>130</v>
      </c>
      <c r="B32" s="5" t="s">
        <v>26</v>
      </c>
      <c r="C32" s="5" t="s">
        <v>113</v>
      </c>
      <c r="D32" s="5">
        <v>6644001474</v>
      </c>
      <c r="E32" s="7">
        <f>(28.02+34.69)</f>
        <v>62.709999999999994</v>
      </c>
      <c r="F32" s="7">
        <f>(4.43+12.99+18.42)</f>
        <v>35.840000000000003</v>
      </c>
      <c r="G32" s="7">
        <f>(0+0.25+1.19)</f>
        <v>1.44</v>
      </c>
      <c r="H32" s="7">
        <v>19.64</v>
      </c>
      <c r="I32" s="7">
        <v>7.75</v>
      </c>
      <c r="J32" s="7">
        <v>7.75</v>
      </c>
      <c r="K32" s="7">
        <v>7.75</v>
      </c>
      <c r="L32" s="8">
        <v>7.5</v>
      </c>
      <c r="M32" s="7">
        <v>7.75</v>
      </c>
      <c r="N32" s="8">
        <v>10</v>
      </c>
      <c r="O32" s="10">
        <v>10</v>
      </c>
      <c r="P32" s="8">
        <v>7.5</v>
      </c>
      <c r="Q32" s="10">
        <v>10</v>
      </c>
      <c r="R32" s="7">
        <v>7.75</v>
      </c>
      <c r="S32" s="7">
        <v>83.75</v>
      </c>
      <c r="T32" s="5" t="s">
        <v>131</v>
      </c>
      <c r="U32" s="5" t="s">
        <v>132</v>
      </c>
      <c r="V32" s="5" t="s">
        <v>133</v>
      </c>
      <c r="W32" s="5" t="s">
        <v>33</v>
      </c>
      <c r="X32" s="5" t="s">
        <v>40</v>
      </c>
    </row>
    <row r="33" spans="1:24" x14ac:dyDescent="0.3">
      <c r="A33" s="5" t="s">
        <v>120</v>
      </c>
      <c r="B33" s="5" t="s">
        <v>26</v>
      </c>
      <c r="C33" s="5" t="s">
        <v>113</v>
      </c>
      <c r="D33" s="5">
        <v>6644001872</v>
      </c>
      <c r="E33" s="7">
        <f>(25.55+36.8)</f>
        <v>62.349999999999994</v>
      </c>
      <c r="F33" s="7">
        <f>(3.26+12+19.98)</f>
        <v>35.24</v>
      </c>
      <c r="G33" s="7">
        <f>(0.5+0.3+1.61)</f>
        <v>2.41</v>
      </c>
      <c r="H33" s="7">
        <v>20.32</v>
      </c>
      <c r="I33" s="7">
        <v>7.75</v>
      </c>
      <c r="J33" s="7">
        <v>7.75</v>
      </c>
      <c r="K33" s="7">
        <v>7.75</v>
      </c>
      <c r="L33" s="7">
        <v>7.75</v>
      </c>
      <c r="M33" s="7">
        <v>7.75</v>
      </c>
      <c r="N33" s="8">
        <v>10</v>
      </c>
      <c r="O33" s="10">
        <v>10</v>
      </c>
      <c r="P33" s="8">
        <v>7.5</v>
      </c>
      <c r="Q33" s="10">
        <v>10</v>
      </c>
      <c r="R33" s="8">
        <v>7.5</v>
      </c>
      <c r="S33" s="7">
        <v>83.75</v>
      </c>
      <c r="T33" s="5" t="s">
        <v>134</v>
      </c>
      <c r="U33" s="5" t="s">
        <v>135</v>
      </c>
      <c r="V33" s="5" t="s">
        <v>50</v>
      </c>
      <c r="W33" s="5" t="s">
        <v>33</v>
      </c>
      <c r="X33" s="5"/>
    </row>
    <row r="34" spans="1:24" x14ac:dyDescent="0.3">
      <c r="A34" s="5" t="s">
        <v>136</v>
      </c>
      <c r="B34" s="5" t="s">
        <v>26</v>
      </c>
      <c r="C34" s="5" t="s">
        <v>137</v>
      </c>
      <c r="D34" s="5">
        <v>6644002069</v>
      </c>
      <c r="E34" s="7">
        <f>(36.75+31.77)</f>
        <v>68.52</v>
      </c>
      <c r="F34" s="7">
        <f>(3.24+8.02+19.52)</f>
        <v>30.78</v>
      </c>
      <c r="G34" s="7">
        <f>(0+0+0.7)</f>
        <v>0.7</v>
      </c>
      <c r="H34" s="7">
        <v>19.68</v>
      </c>
      <c r="I34" s="7">
        <v>7.75</v>
      </c>
      <c r="J34" s="8">
        <v>7.5</v>
      </c>
      <c r="K34" s="8">
        <v>7.5</v>
      </c>
      <c r="L34" s="8">
        <v>7.5</v>
      </c>
      <c r="M34" s="7">
        <v>7.75</v>
      </c>
      <c r="N34" s="8">
        <v>10</v>
      </c>
      <c r="O34" s="10">
        <v>10</v>
      </c>
      <c r="P34" s="8">
        <v>7.5</v>
      </c>
      <c r="Q34" s="10">
        <v>10</v>
      </c>
      <c r="R34" s="7">
        <v>7.75</v>
      </c>
      <c r="S34" s="7">
        <v>83.25</v>
      </c>
      <c r="T34" s="5" t="s">
        <v>138</v>
      </c>
      <c r="U34" s="5" t="s">
        <v>139</v>
      </c>
      <c r="V34" s="5" t="s">
        <v>53</v>
      </c>
      <c r="W34" s="5" t="s">
        <v>140</v>
      </c>
      <c r="X34" s="5" t="s">
        <v>141</v>
      </c>
    </row>
    <row r="35" spans="1:24" x14ac:dyDescent="0.3">
      <c r="A35" s="5" t="s">
        <v>142</v>
      </c>
      <c r="B35" s="5" t="s">
        <v>26</v>
      </c>
      <c r="C35" s="5" t="s">
        <v>137</v>
      </c>
      <c r="D35" s="5">
        <v>6644000089</v>
      </c>
      <c r="E35" s="7">
        <f>(30.96+13.5)</f>
        <v>44.46</v>
      </c>
      <c r="F35" s="7">
        <f>(7.01+14.26+31.27)</f>
        <v>52.54</v>
      </c>
      <c r="G35" s="7">
        <f>(0+0.3+2.69)</f>
        <v>2.9899999999999998</v>
      </c>
      <c r="H35" s="8">
        <v>21.2</v>
      </c>
      <c r="I35" s="7">
        <v>7.75</v>
      </c>
      <c r="J35" s="8">
        <v>8</v>
      </c>
      <c r="K35" s="8">
        <v>8</v>
      </c>
      <c r="L35" s="8">
        <v>8</v>
      </c>
      <c r="M35" s="8">
        <v>8</v>
      </c>
      <c r="N35" s="8">
        <v>10</v>
      </c>
      <c r="O35" s="10">
        <v>10</v>
      </c>
      <c r="P35" s="8">
        <v>8</v>
      </c>
      <c r="Q35" s="10">
        <v>10</v>
      </c>
      <c r="R35" s="8">
        <v>8</v>
      </c>
      <c r="S35" s="7">
        <v>85.75</v>
      </c>
      <c r="T35" s="5" t="s">
        <v>143</v>
      </c>
      <c r="U35" s="5" t="s">
        <v>144</v>
      </c>
      <c r="V35" s="5" t="s">
        <v>145</v>
      </c>
      <c r="W35" s="5" t="s">
        <v>76</v>
      </c>
      <c r="X35" s="5" t="s">
        <v>40</v>
      </c>
    </row>
    <row r="36" spans="1:24" x14ac:dyDescent="0.3">
      <c r="A36" s="5" t="s">
        <v>146</v>
      </c>
      <c r="B36" s="5" t="s">
        <v>26</v>
      </c>
      <c r="C36" s="5" t="s">
        <v>137</v>
      </c>
      <c r="D36" s="5">
        <v>6644000088</v>
      </c>
      <c r="E36" s="7">
        <f>(36.51+39.98)</f>
        <v>76.489999999999995</v>
      </c>
      <c r="F36" s="7">
        <f>(2.79+7.23+12.95)</f>
        <v>22.97</v>
      </c>
      <c r="G36" s="7">
        <f>(0+0+0.54)</f>
        <v>0.54</v>
      </c>
      <c r="H36" s="7">
        <v>18.16</v>
      </c>
      <c r="I36" s="7">
        <v>7.75</v>
      </c>
      <c r="J36" s="8">
        <v>7.5</v>
      </c>
      <c r="K36" s="8">
        <v>7.5</v>
      </c>
      <c r="L36" s="7">
        <v>7.75</v>
      </c>
      <c r="M36" s="8">
        <v>7.5</v>
      </c>
      <c r="N36" s="8">
        <v>10</v>
      </c>
      <c r="O36" s="10">
        <v>10</v>
      </c>
      <c r="P36" s="8">
        <v>7.5</v>
      </c>
      <c r="Q36" s="10">
        <v>10</v>
      </c>
      <c r="R36" s="7">
        <v>7.75</v>
      </c>
      <c r="S36" s="7">
        <v>83.25</v>
      </c>
      <c r="T36" s="5" t="s">
        <v>147</v>
      </c>
      <c r="U36" s="5" t="s">
        <v>87</v>
      </c>
      <c r="V36" s="5" t="s">
        <v>148</v>
      </c>
      <c r="W36" s="5" t="s">
        <v>76</v>
      </c>
      <c r="X36" s="5" t="s">
        <v>40</v>
      </c>
    </row>
    <row r="37" spans="1:24" x14ac:dyDescent="0.3">
      <c r="A37" s="5" t="s">
        <v>149</v>
      </c>
      <c r="B37" s="5" t="s">
        <v>26</v>
      </c>
      <c r="C37" s="5" t="s">
        <v>150</v>
      </c>
      <c r="D37" s="5">
        <v>6644001078</v>
      </c>
      <c r="E37" s="7">
        <f>(8.6+2.49)</f>
        <v>11.09</v>
      </c>
      <c r="F37" s="7">
        <f>(15.12+34.39+26.67)</f>
        <v>76.180000000000007</v>
      </c>
      <c r="G37" s="7">
        <f>(0.57+2.54+9.63)</f>
        <v>12.74</v>
      </c>
      <c r="H37" s="7">
        <v>22.76</v>
      </c>
      <c r="I37" s="8">
        <v>7.5</v>
      </c>
      <c r="J37" s="8">
        <v>7</v>
      </c>
      <c r="K37" s="8">
        <v>7.5</v>
      </c>
      <c r="L37" s="8">
        <v>7.5</v>
      </c>
      <c r="M37" s="8">
        <v>7.5</v>
      </c>
      <c r="N37" s="8">
        <v>10</v>
      </c>
      <c r="O37" s="10">
        <v>10</v>
      </c>
      <c r="P37" s="8">
        <v>7.5</v>
      </c>
      <c r="Q37" s="10">
        <v>10</v>
      </c>
      <c r="R37" s="8">
        <v>7.5</v>
      </c>
      <c r="S37" s="8">
        <v>82</v>
      </c>
      <c r="T37" s="5" t="s">
        <v>151</v>
      </c>
      <c r="U37" s="5" t="s">
        <v>152</v>
      </c>
      <c r="V37" s="5" t="s">
        <v>153</v>
      </c>
      <c r="W37" s="5" t="s">
        <v>33</v>
      </c>
      <c r="X37" s="5" t="s">
        <v>43</v>
      </c>
    </row>
    <row r="38" spans="1:24" x14ac:dyDescent="0.3">
      <c r="A38" s="5" t="s">
        <v>154</v>
      </c>
      <c r="B38" s="5" t="s">
        <v>26</v>
      </c>
      <c r="C38" s="5" t="s">
        <v>150</v>
      </c>
      <c r="D38" s="5">
        <v>6644001905</v>
      </c>
      <c r="E38" s="8">
        <f>(25.65+11.25)</f>
        <v>36.9</v>
      </c>
      <c r="F38" s="8">
        <f>(7.65+20.9+29.95)</f>
        <v>58.5</v>
      </c>
      <c r="G38" s="8">
        <f>(0+0.45+4.15)</f>
        <v>4.6000000000000005</v>
      </c>
      <c r="H38" s="8">
        <v>20</v>
      </c>
      <c r="I38" s="8">
        <v>8</v>
      </c>
      <c r="J38" s="7">
        <v>7.75</v>
      </c>
      <c r="K38" s="7">
        <v>7.75</v>
      </c>
      <c r="L38" s="7">
        <v>7.75</v>
      </c>
      <c r="M38" s="7">
        <v>7.75</v>
      </c>
      <c r="N38" s="8">
        <v>10</v>
      </c>
      <c r="O38" s="10">
        <v>10</v>
      </c>
      <c r="P38" s="7">
        <v>7.75</v>
      </c>
      <c r="Q38" s="10">
        <v>10</v>
      </c>
      <c r="R38" s="8">
        <v>7.5</v>
      </c>
      <c r="S38" s="7">
        <v>84.25</v>
      </c>
      <c r="T38" s="5" t="s">
        <v>155</v>
      </c>
      <c r="U38" s="5" t="s">
        <v>156</v>
      </c>
      <c r="V38" s="5" t="s">
        <v>157</v>
      </c>
      <c r="W38" s="5" t="s">
        <v>33</v>
      </c>
      <c r="X38" s="5" t="s">
        <v>43</v>
      </c>
    </row>
    <row r="39" spans="1:24" x14ac:dyDescent="0.3">
      <c r="A39" s="5" t="s">
        <v>158</v>
      </c>
      <c r="B39" s="5" t="s">
        <v>26</v>
      </c>
      <c r="C39" s="5" t="s">
        <v>150</v>
      </c>
      <c r="D39" s="5">
        <v>6644000837</v>
      </c>
      <c r="E39" s="7">
        <f>(30.9+30.81)</f>
        <v>61.709999999999994</v>
      </c>
      <c r="F39" s="7">
        <f>(4.11+10.95+22.1)</f>
        <v>37.159999999999997</v>
      </c>
      <c r="G39" s="7">
        <f>(0.1+0.05+0.98)</f>
        <v>1.1299999999999999</v>
      </c>
      <c r="H39" s="8">
        <v>18.2</v>
      </c>
      <c r="I39" s="7">
        <v>7.75</v>
      </c>
      <c r="J39" s="8">
        <v>7.5</v>
      </c>
      <c r="K39" s="8">
        <v>7.5</v>
      </c>
      <c r="L39" s="8">
        <v>7.5</v>
      </c>
      <c r="M39" s="8">
        <v>7.5</v>
      </c>
      <c r="N39" s="8">
        <v>10</v>
      </c>
      <c r="O39" s="10">
        <v>10</v>
      </c>
      <c r="P39" s="8">
        <v>7.5</v>
      </c>
      <c r="Q39" s="10">
        <v>10</v>
      </c>
      <c r="R39" s="8">
        <v>7</v>
      </c>
      <c r="S39" s="7">
        <v>82.25</v>
      </c>
      <c r="T39" s="5" t="s">
        <v>159</v>
      </c>
      <c r="U39" s="5" t="s">
        <v>160</v>
      </c>
      <c r="V39" s="5" t="s">
        <v>161</v>
      </c>
      <c r="W39" s="5" t="s">
        <v>32</v>
      </c>
      <c r="X39" s="5" t="s">
        <v>47</v>
      </c>
    </row>
    <row r="40" spans="1:24" x14ac:dyDescent="0.3">
      <c r="A40" s="5" t="s">
        <v>162</v>
      </c>
      <c r="B40" s="5" t="s">
        <v>26</v>
      </c>
      <c r="C40" s="5" t="s">
        <v>150</v>
      </c>
      <c r="D40" s="5">
        <v>6644001077</v>
      </c>
      <c r="E40" s="7">
        <f>(18.69+8.7)</f>
        <v>27.39</v>
      </c>
      <c r="F40" s="7">
        <f>(9.44+24.75+30.57)</f>
        <v>64.759999999999991</v>
      </c>
      <c r="G40" s="7">
        <f>(0.3+1.54+6.01)</f>
        <v>7.85</v>
      </c>
      <c r="H40" s="7">
        <v>19.52</v>
      </c>
      <c r="I40" s="7">
        <v>7.75</v>
      </c>
      <c r="J40" s="8">
        <v>7</v>
      </c>
      <c r="K40" s="8">
        <v>7</v>
      </c>
      <c r="L40" s="7">
        <v>7.75</v>
      </c>
      <c r="M40" s="8">
        <v>7.5</v>
      </c>
      <c r="N40" s="8">
        <v>10</v>
      </c>
      <c r="O40" s="10">
        <v>10</v>
      </c>
      <c r="P40" s="8">
        <v>7</v>
      </c>
      <c r="Q40" s="10">
        <v>10</v>
      </c>
      <c r="R40" s="8">
        <v>7</v>
      </c>
      <c r="S40" s="8">
        <v>81</v>
      </c>
      <c r="T40" s="5" t="s">
        <v>163</v>
      </c>
      <c r="U40" s="5" t="s">
        <v>164</v>
      </c>
      <c r="V40" s="5" t="s">
        <v>31</v>
      </c>
      <c r="W40" s="5" t="s">
        <v>33</v>
      </c>
      <c r="X40" s="5"/>
    </row>
    <row r="41" spans="1:24" x14ac:dyDescent="0.3">
      <c r="A41" s="5" t="s">
        <v>165</v>
      </c>
      <c r="B41" s="5" t="s">
        <v>26</v>
      </c>
      <c r="C41" s="5" t="s">
        <v>150</v>
      </c>
      <c r="D41" s="5">
        <v>6644001552</v>
      </c>
      <c r="E41" s="7">
        <f>(26.05+21.89)</f>
        <v>47.94</v>
      </c>
      <c r="F41" s="7">
        <f>(6.02+15.71+26.81)</f>
        <v>48.54</v>
      </c>
      <c r="G41" s="7">
        <f>(0+0.4+3.11)</f>
        <v>3.51</v>
      </c>
      <c r="H41" s="7">
        <v>20.32</v>
      </c>
      <c r="I41" s="7">
        <v>6.75</v>
      </c>
      <c r="J41" s="7">
        <v>6.75</v>
      </c>
      <c r="K41" s="7">
        <v>6.75</v>
      </c>
      <c r="L41" s="7">
        <v>6.75</v>
      </c>
      <c r="M41" s="7">
        <v>6.75</v>
      </c>
      <c r="N41" s="8">
        <v>10</v>
      </c>
      <c r="O41" s="10">
        <v>10</v>
      </c>
      <c r="P41" s="7">
        <v>6.75</v>
      </c>
      <c r="Q41" s="10">
        <v>10</v>
      </c>
      <c r="R41" s="7">
        <v>6.75</v>
      </c>
      <c r="S41" s="7">
        <v>77.25</v>
      </c>
      <c r="T41" s="5" t="s">
        <v>166</v>
      </c>
      <c r="U41" s="5" t="s">
        <v>152</v>
      </c>
      <c r="V41" s="5" t="s">
        <v>35</v>
      </c>
      <c r="W41" s="5"/>
      <c r="X41" s="5"/>
    </row>
    <row r="42" spans="1:24" x14ac:dyDescent="0.3">
      <c r="A42" s="5" t="s">
        <v>167</v>
      </c>
      <c r="B42" s="5" t="s">
        <v>26</v>
      </c>
      <c r="C42" s="5" t="s">
        <v>150</v>
      </c>
      <c r="D42" s="5">
        <v>6644001143</v>
      </c>
      <c r="E42" s="7">
        <f>(24.31+26.07)</f>
        <v>50.379999999999995</v>
      </c>
      <c r="F42" s="7">
        <f>(6.15+14.67+25.57)</f>
        <v>46.39</v>
      </c>
      <c r="G42" s="7">
        <f>(0.45+0.61+2.17)</f>
        <v>3.23</v>
      </c>
      <c r="H42" s="7">
        <v>20.68</v>
      </c>
      <c r="I42" s="8">
        <v>7.5</v>
      </c>
      <c r="J42" s="8">
        <v>7.5</v>
      </c>
      <c r="K42" s="8">
        <v>7.5</v>
      </c>
      <c r="L42" s="8">
        <v>7.5</v>
      </c>
      <c r="M42" s="8">
        <v>7.5</v>
      </c>
      <c r="N42" s="8">
        <v>10</v>
      </c>
      <c r="O42" s="10">
        <v>10</v>
      </c>
      <c r="P42" s="8">
        <v>7.5</v>
      </c>
      <c r="Q42" s="10">
        <v>10</v>
      </c>
      <c r="R42" s="8">
        <v>7.5</v>
      </c>
      <c r="S42" s="8">
        <v>82.5</v>
      </c>
      <c r="T42" s="5" t="s">
        <v>168</v>
      </c>
      <c r="U42" s="5" t="s">
        <v>169</v>
      </c>
      <c r="V42" s="5" t="s">
        <v>53</v>
      </c>
      <c r="W42" s="5" t="s">
        <v>33</v>
      </c>
      <c r="X42" s="5"/>
    </row>
    <row r="43" spans="1:24" x14ac:dyDescent="0.3">
      <c r="A43" s="5" t="s">
        <v>170</v>
      </c>
      <c r="B43" s="5" t="s">
        <v>26</v>
      </c>
      <c r="C43" s="5" t="s">
        <v>171</v>
      </c>
      <c r="D43" s="5">
        <v>6644000196</v>
      </c>
      <c r="E43" s="7">
        <f>(30.17+35.32)</f>
        <v>65.490000000000009</v>
      </c>
      <c r="F43" s="7">
        <f>(3.35+10.11+19.56)</f>
        <v>33.019999999999996</v>
      </c>
      <c r="G43" s="7">
        <f>(0.15+0.3+1.05)</f>
        <v>1.5</v>
      </c>
      <c r="H43" s="7">
        <v>20.04</v>
      </c>
      <c r="I43" s="8">
        <v>7.5</v>
      </c>
      <c r="J43" s="8">
        <v>7</v>
      </c>
      <c r="K43" s="8">
        <v>7</v>
      </c>
      <c r="L43" s="8">
        <v>7</v>
      </c>
      <c r="M43" s="8">
        <v>7</v>
      </c>
      <c r="N43" s="8">
        <v>10</v>
      </c>
      <c r="O43" s="10">
        <v>10</v>
      </c>
      <c r="P43" s="8">
        <v>7</v>
      </c>
      <c r="Q43" s="10">
        <v>10</v>
      </c>
      <c r="R43" s="8">
        <v>7</v>
      </c>
      <c r="S43" s="8">
        <v>79.5</v>
      </c>
      <c r="T43" s="5" t="s">
        <v>172</v>
      </c>
      <c r="U43" s="5" t="s">
        <v>173</v>
      </c>
      <c r="V43" s="5" t="s">
        <v>174</v>
      </c>
      <c r="W43" s="5" t="s">
        <v>39</v>
      </c>
      <c r="X43" s="5"/>
    </row>
    <row r="44" spans="1:24" x14ac:dyDescent="0.3">
      <c r="A44" s="5" t="s">
        <v>175</v>
      </c>
      <c r="B44" s="5" t="s">
        <v>26</v>
      </c>
      <c r="C44" s="5" t="s">
        <v>171</v>
      </c>
      <c r="D44" s="5">
        <v>6644001372</v>
      </c>
      <c r="E44" s="7">
        <f>(36.28+27.73)</f>
        <v>64.010000000000005</v>
      </c>
      <c r="F44" s="7">
        <f>(4.13+9.54+21.37)</f>
        <v>35.04</v>
      </c>
      <c r="G44" s="7">
        <f>(0+0.1+0.84)</f>
        <v>0.94</v>
      </c>
      <c r="H44" s="7">
        <v>19.52</v>
      </c>
      <c r="I44" s="8">
        <v>8.5</v>
      </c>
      <c r="J44" s="8">
        <v>8</v>
      </c>
      <c r="K44" s="8">
        <v>8</v>
      </c>
      <c r="L44" s="8">
        <v>8</v>
      </c>
      <c r="M44" s="8">
        <v>8</v>
      </c>
      <c r="N44" s="8">
        <v>10</v>
      </c>
      <c r="O44" s="10">
        <v>10</v>
      </c>
      <c r="P44" s="8">
        <v>8</v>
      </c>
      <c r="Q44" s="10">
        <v>10</v>
      </c>
      <c r="R44" s="8">
        <v>8</v>
      </c>
      <c r="S44" s="8">
        <v>86.5</v>
      </c>
      <c r="T44" s="5" t="s">
        <v>176</v>
      </c>
      <c r="U44" s="5" t="s">
        <v>177</v>
      </c>
      <c r="V44" s="5" t="s">
        <v>178</v>
      </c>
      <c r="W44" s="5" t="s">
        <v>179</v>
      </c>
      <c r="X44" s="5" t="s">
        <v>40</v>
      </c>
    </row>
    <row r="45" spans="1:24" x14ac:dyDescent="0.3">
      <c r="A45" s="5" t="s">
        <v>180</v>
      </c>
      <c r="B45" s="5" t="s">
        <v>26</v>
      </c>
      <c r="C45" s="5" t="s">
        <v>171</v>
      </c>
      <c r="D45" s="5">
        <v>6644000273</v>
      </c>
      <c r="E45" s="7">
        <f>(30.89+32.31)</f>
        <v>63.2</v>
      </c>
      <c r="F45" s="7">
        <f>(4.59+17.62+13.23)</f>
        <v>35.44</v>
      </c>
      <c r="G45" s="7">
        <f>(0.1+0.1+1.16)</f>
        <v>1.3599999999999999</v>
      </c>
      <c r="H45" s="7">
        <v>20.76</v>
      </c>
      <c r="I45" s="8">
        <v>8</v>
      </c>
      <c r="J45" s="8">
        <v>8</v>
      </c>
      <c r="K45" s="8">
        <v>8</v>
      </c>
      <c r="L45" s="8">
        <v>8</v>
      </c>
      <c r="M45" s="8">
        <v>8</v>
      </c>
      <c r="N45" s="8">
        <v>10</v>
      </c>
      <c r="O45" s="10">
        <v>10</v>
      </c>
      <c r="P45" s="8">
        <v>8</v>
      </c>
      <c r="Q45" s="10">
        <v>10</v>
      </c>
      <c r="R45" s="8">
        <v>8</v>
      </c>
      <c r="S45" s="8">
        <v>86</v>
      </c>
      <c r="T45" s="5" t="s">
        <v>181</v>
      </c>
      <c r="U45" s="5" t="s">
        <v>153</v>
      </c>
      <c r="V45" s="5" t="s">
        <v>153</v>
      </c>
      <c r="W45" s="5" t="s">
        <v>33</v>
      </c>
      <c r="X45" s="5" t="s">
        <v>141</v>
      </c>
    </row>
    <row r="46" spans="1:24" x14ac:dyDescent="0.3">
      <c r="A46" s="5" t="s">
        <v>182</v>
      </c>
      <c r="B46" s="5" t="s">
        <v>26</v>
      </c>
      <c r="C46" s="5" t="s">
        <v>183</v>
      </c>
      <c r="D46" s="5">
        <v>6644000069</v>
      </c>
      <c r="E46" s="7">
        <f>(30.96+38.86)</f>
        <v>69.819999999999993</v>
      </c>
      <c r="F46" s="7">
        <f>(2.06+8.93+18.3)</f>
        <v>29.29</v>
      </c>
      <c r="G46" s="7">
        <f>(0+0.1+0.79)</f>
        <v>0.89</v>
      </c>
      <c r="H46" s="7">
        <v>18.48</v>
      </c>
      <c r="I46" s="8">
        <v>7.5</v>
      </c>
      <c r="J46" s="8">
        <v>7.5</v>
      </c>
      <c r="K46" s="8">
        <v>7.5</v>
      </c>
      <c r="L46" s="8">
        <v>7.5</v>
      </c>
      <c r="M46" s="8">
        <v>7.5</v>
      </c>
      <c r="N46" s="8">
        <v>10</v>
      </c>
      <c r="O46" s="10">
        <v>10</v>
      </c>
      <c r="P46" s="8">
        <v>7.5</v>
      </c>
      <c r="Q46" s="10">
        <v>10</v>
      </c>
      <c r="R46" s="8">
        <v>7.5</v>
      </c>
      <c r="S46" s="8">
        <v>82.5</v>
      </c>
      <c r="T46" s="5" t="s">
        <v>184</v>
      </c>
      <c r="U46" s="5" t="s">
        <v>53</v>
      </c>
      <c r="V46" s="5" t="s">
        <v>185</v>
      </c>
      <c r="W46" s="5" t="s">
        <v>179</v>
      </c>
      <c r="X46" s="5" t="s">
        <v>40</v>
      </c>
    </row>
    <row r="47" spans="1:24" x14ac:dyDescent="0.3">
      <c r="A47" s="5" t="s">
        <v>112</v>
      </c>
      <c r="B47" s="5" t="s">
        <v>26</v>
      </c>
      <c r="C47" s="5" t="s">
        <v>186</v>
      </c>
      <c r="D47" s="5">
        <v>6644000297</v>
      </c>
      <c r="E47" s="7">
        <f>(36.24+23.13)</f>
        <v>59.370000000000005</v>
      </c>
      <c r="F47" s="7">
        <f>(2.59+9.82+26.87)</f>
        <v>39.28</v>
      </c>
      <c r="G47" s="7">
        <f>(0.1+0.1+1.15)</f>
        <v>1.3499999999999999</v>
      </c>
      <c r="H47" s="7">
        <v>19.760000000000002</v>
      </c>
      <c r="I47" s="8">
        <v>7.5</v>
      </c>
      <c r="J47" s="8">
        <v>7</v>
      </c>
      <c r="K47" s="8">
        <v>7</v>
      </c>
      <c r="L47" s="8">
        <v>7.5</v>
      </c>
      <c r="M47" s="7">
        <v>7.75</v>
      </c>
      <c r="N47" s="8">
        <v>10</v>
      </c>
      <c r="O47" s="10">
        <v>10</v>
      </c>
      <c r="P47" s="8">
        <v>7</v>
      </c>
      <c r="Q47" s="10">
        <v>10</v>
      </c>
      <c r="R47" s="8">
        <v>7.5</v>
      </c>
      <c r="S47" s="7">
        <v>81.25</v>
      </c>
      <c r="T47" s="5" t="s">
        <v>187</v>
      </c>
      <c r="U47" s="5" t="s">
        <v>188</v>
      </c>
      <c r="V47" s="5" t="s">
        <v>53</v>
      </c>
      <c r="W47" s="5" t="s">
        <v>33</v>
      </c>
      <c r="X47" s="5"/>
    </row>
    <row r="48" spans="1:24" x14ac:dyDescent="0.3">
      <c r="A48" s="5" t="s">
        <v>180</v>
      </c>
      <c r="B48" s="5" t="s">
        <v>26</v>
      </c>
      <c r="C48" s="5" t="s">
        <v>186</v>
      </c>
      <c r="D48" s="5">
        <v>6644001432</v>
      </c>
      <c r="E48" s="7">
        <f>(28.89+44)</f>
        <v>72.89</v>
      </c>
      <c r="F48" s="7">
        <f>(1.38+8.12+16.93)</f>
        <v>26.43</v>
      </c>
      <c r="G48" s="7">
        <f>(0.1+0+0.59)</f>
        <v>0.69</v>
      </c>
      <c r="H48" s="7">
        <v>18.72</v>
      </c>
      <c r="I48" s="7">
        <v>8.75</v>
      </c>
      <c r="J48" s="8">
        <v>8</v>
      </c>
      <c r="K48" s="8">
        <v>8.5</v>
      </c>
      <c r="L48" s="7">
        <v>8.75</v>
      </c>
      <c r="M48" s="8">
        <v>8</v>
      </c>
      <c r="N48" s="8">
        <v>10</v>
      </c>
      <c r="O48" s="10">
        <v>10</v>
      </c>
      <c r="P48" s="8">
        <v>8</v>
      </c>
      <c r="Q48" s="10">
        <v>10</v>
      </c>
      <c r="R48" s="8">
        <v>8</v>
      </c>
      <c r="S48" s="8">
        <v>88</v>
      </c>
      <c r="T48" s="5" t="s">
        <v>189</v>
      </c>
      <c r="U48" s="5" t="s">
        <v>190</v>
      </c>
      <c r="V48" s="5" t="s">
        <v>190</v>
      </c>
      <c r="W48" s="5" t="s">
        <v>33</v>
      </c>
      <c r="X48" s="5" t="s">
        <v>191</v>
      </c>
    </row>
    <row r="49" spans="1:24" x14ac:dyDescent="0.3">
      <c r="A49" s="5" t="s">
        <v>192</v>
      </c>
      <c r="B49" s="5" t="s">
        <v>26</v>
      </c>
      <c r="C49" s="5" t="s">
        <v>186</v>
      </c>
      <c r="D49" s="5">
        <v>6644001399</v>
      </c>
      <c r="E49" s="7">
        <f>(19.73+56.04)</f>
        <v>75.77</v>
      </c>
      <c r="F49" s="7">
        <f>(2.07+11.89+9.97)</f>
        <v>23.93</v>
      </c>
      <c r="G49" s="7">
        <f>(0+0+0.3)</f>
        <v>0.3</v>
      </c>
      <c r="H49" s="7">
        <v>18.920000000000002</v>
      </c>
      <c r="I49" s="8">
        <v>8</v>
      </c>
      <c r="J49" s="8">
        <v>8</v>
      </c>
      <c r="K49" s="8">
        <v>8</v>
      </c>
      <c r="L49" s="8">
        <v>8</v>
      </c>
      <c r="M49" s="8">
        <v>8</v>
      </c>
      <c r="N49" s="8">
        <v>10</v>
      </c>
      <c r="O49" s="10">
        <v>10</v>
      </c>
      <c r="P49" s="8">
        <v>7</v>
      </c>
      <c r="Q49" s="10">
        <v>10</v>
      </c>
      <c r="R49" s="8">
        <v>8</v>
      </c>
      <c r="S49" s="8">
        <v>85</v>
      </c>
      <c r="T49" s="5" t="s">
        <v>193</v>
      </c>
      <c r="U49" s="5" t="s">
        <v>194</v>
      </c>
      <c r="V49" s="5" t="s">
        <v>195</v>
      </c>
      <c r="W49" s="5" t="s">
        <v>32</v>
      </c>
      <c r="X49" s="5" t="s">
        <v>43</v>
      </c>
    </row>
    <row r="50" spans="1:24" x14ac:dyDescent="0.3">
      <c r="A50" s="5" t="s">
        <v>196</v>
      </c>
      <c r="B50" s="5" t="s">
        <v>26</v>
      </c>
      <c r="C50" s="5" t="s">
        <v>186</v>
      </c>
      <c r="D50" s="5">
        <v>6644002014</v>
      </c>
      <c r="E50" s="7">
        <f>(29.43+44.07)</f>
        <v>73.5</v>
      </c>
      <c r="F50" s="7">
        <f>(2.47+7.17+16.05)</f>
        <v>25.69</v>
      </c>
      <c r="G50" s="7">
        <f>(0+0+0.81)</f>
        <v>0.81</v>
      </c>
      <c r="H50" s="7">
        <v>20.76</v>
      </c>
      <c r="I50" s="8">
        <v>8</v>
      </c>
      <c r="J50" s="8">
        <v>7</v>
      </c>
      <c r="K50" s="8">
        <v>7</v>
      </c>
      <c r="L50" s="8">
        <v>7.5</v>
      </c>
      <c r="M50" s="8">
        <v>7.5</v>
      </c>
      <c r="N50" s="8">
        <v>10</v>
      </c>
      <c r="O50" s="10">
        <v>10</v>
      </c>
      <c r="P50" s="8">
        <v>7</v>
      </c>
      <c r="Q50" s="10">
        <v>10</v>
      </c>
      <c r="R50" s="8">
        <v>7</v>
      </c>
      <c r="S50" s="8">
        <v>81</v>
      </c>
      <c r="T50" s="5" t="s">
        <v>197</v>
      </c>
      <c r="U50" s="5" t="s">
        <v>198</v>
      </c>
      <c r="V50" s="5" t="s">
        <v>199</v>
      </c>
      <c r="W50" s="5" t="s">
        <v>33</v>
      </c>
      <c r="X50" s="5"/>
    </row>
    <row r="51" spans="1:24" x14ac:dyDescent="0.3">
      <c r="A51" s="5" t="s">
        <v>200</v>
      </c>
      <c r="B51" s="5" t="s">
        <v>26</v>
      </c>
      <c r="C51" s="5" t="s">
        <v>201</v>
      </c>
      <c r="D51" s="5">
        <v>6644001622</v>
      </c>
      <c r="E51" s="7">
        <f>(19.48+63.18)</f>
        <v>82.66</v>
      </c>
      <c r="F51" s="7">
        <f>(1.75+5.21+9.3)</f>
        <v>16.260000000000002</v>
      </c>
      <c r="G51" s="7">
        <f>(0.15+0.19+0.73)</f>
        <v>1.0699999999999998</v>
      </c>
      <c r="H51" s="7">
        <v>17.88</v>
      </c>
      <c r="I51" s="7">
        <v>7.75</v>
      </c>
      <c r="J51" s="8">
        <v>7</v>
      </c>
      <c r="K51" s="7">
        <v>7.25</v>
      </c>
      <c r="L51" s="8">
        <v>7.5</v>
      </c>
      <c r="M51" s="8">
        <v>7.5</v>
      </c>
      <c r="N51" s="8">
        <v>10</v>
      </c>
      <c r="O51" s="10">
        <v>10</v>
      </c>
      <c r="P51" s="8">
        <v>7</v>
      </c>
      <c r="Q51" s="10">
        <v>10</v>
      </c>
      <c r="R51" s="8">
        <v>7</v>
      </c>
      <c r="S51" s="8">
        <v>81</v>
      </c>
      <c r="T51" s="5" t="s">
        <v>202</v>
      </c>
      <c r="U51" s="5" t="s">
        <v>203</v>
      </c>
      <c r="V51" s="5" t="s">
        <v>204</v>
      </c>
      <c r="W51" s="5" t="s">
        <v>205</v>
      </c>
      <c r="X51" s="5" t="s">
        <v>43</v>
      </c>
    </row>
    <row r="52" spans="1:24" x14ac:dyDescent="0.3">
      <c r="A52" s="5" t="s">
        <v>206</v>
      </c>
      <c r="B52" s="5" t="s">
        <v>26</v>
      </c>
      <c r="C52" s="5" t="s">
        <v>201</v>
      </c>
      <c r="D52" s="5">
        <v>6644001155</v>
      </c>
      <c r="E52" s="7">
        <f>(29.89+17.94)</f>
        <v>47.83</v>
      </c>
      <c r="F52" s="7">
        <f>(5.56+14.5+29.99)</f>
        <v>50.05</v>
      </c>
      <c r="G52" s="7">
        <f>(0.15+0.25+1.72)</f>
        <v>2.12</v>
      </c>
      <c r="H52" s="7">
        <v>18.64</v>
      </c>
      <c r="I52" s="8">
        <v>7.5</v>
      </c>
      <c r="J52" s="8">
        <v>7.5</v>
      </c>
      <c r="K52" s="8">
        <v>7.5</v>
      </c>
      <c r="L52" s="8">
        <v>7.5</v>
      </c>
      <c r="M52" s="8">
        <v>7.5</v>
      </c>
      <c r="N52" s="13">
        <v>10</v>
      </c>
      <c r="O52" s="10">
        <v>10</v>
      </c>
      <c r="P52" s="8">
        <v>7.5</v>
      </c>
      <c r="Q52" s="10">
        <v>10</v>
      </c>
      <c r="R52" s="8">
        <v>7.5</v>
      </c>
      <c r="S52" s="8">
        <v>82.5</v>
      </c>
      <c r="T52" s="5" t="s">
        <v>110</v>
      </c>
      <c r="U52" s="5" t="s">
        <v>207</v>
      </c>
      <c r="V52" s="5" t="s">
        <v>53</v>
      </c>
      <c r="W52" s="5" t="s">
        <v>32</v>
      </c>
      <c r="X52" s="5" t="s">
        <v>43</v>
      </c>
    </row>
    <row r="53" spans="1:24" x14ac:dyDescent="0.3">
      <c r="A53" s="5" t="s">
        <v>208</v>
      </c>
      <c r="B53" s="5" t="s">
        <v>26</v>
      </c>
      <c r="C53" s="5" t="s">
        <v>209</v>
      </c>
      <c r="D53" s="5">
        <v>6644000637</v>
      </c>
      <c r="E53" s="7">
        <f>(28.36+19.62)</f>
        <v>47.980000000000004</v>
      </c>
      <c r="F53" s="7">
        <f>(7.14+15.63+26.81)</f>
        <v>49.58</v>
      </c>
      <c r="G53" s="7">
        <f>(0.05+0.2+2.2)</f>
        <v>2.4500000000000002</v>
      </c>
      <c r="H53" s="7">
        <v>19.88</v>
      </c>
      <c r="I53" s="7">
        <v>7.75</v>
      </c>
      <c r="J53" s="8">
        <v>7</v>
      </c>
      <c r="K53" s="8">
        <v>7</v>
      </c>
      <c r="L53" s="7">
        <v>7.75</v>
      </c>
      <c r="M53" s="8">
        <v>7</v>
      </c>
      <c r="N53" s="8">
        <v>10</v>
      </c>
      <c r="O53" s="10">
        <v>10</v>
      </c>
      <c r="P53" s="8">
        <v>7</v>
      </c>
      <c r="Q53" s="10">
        <v>10</v>
      </c>
      <c r="R53" s="8">
        <v>7</v>
      </c>
      <c r="S53" s="8">
        <v>80.5</v>
      </c>
      <c r="T53" s="5" t="s">
        <v>210</v>
      </c>
      <c r="U53" s="5" t="s">
        <v>31</v>
      </c>
      <c r="V53" s="5" t="s">
        <v>211</v>
      </c>
      <c r="W53" s="5" t="s">
        <v>33</v>
      </c>
      <c r="X53" s="5"/>
    </row>
    <row r="54" spans="1:24" x14ac:dyDescent="0.3">
      <c r="A54" s="5" t="s">
        <v>212</v>
      </c>
      <c r="B54" s="5" t="s">
        <v>26</v>
      </c>
      <c r="C54" s="5" t="s">
        <v>213</v>
      </c>
      <c r="D54" s="5">
        <v>6644000444</v>
      </c>
      <c r="E54" s="7">
        <f>(33.18+18.97)</f>
        <v>52.15</v>
      </c>
      <c r="F54" s="7">
        <f>(5.71+15.22+25.28)</f>
        <v>46.21</v>
      </c>
      <c r="G54" s="7">
        <f>(0+0.15+1.5)</f>
        <v>1.65</v>
      </c>
      <c r="H54" s="7">
        <v>20.079999999999998</v>
      </c>
      <c r="I54" s="8">
        <v>6</v>
      </c>
      <c r="J54" s="8">
        <v>6</v>
      </c>
      <c r="K54" s="8">
        <v>6</v>
      </c>
      <c r="L54" s="8">
        <v>6</v>
      </c>
      <c r="M54" s="8">
        <v>6</v>
      </c>
      <c r="N54" s="8">
        <v>10</v>
      </c>
      <c r="O54" s="10">
        <v>10</v>
      </c>
      <c r="P54" s="8">
        <v>6</v>
      </c>
      <c r="Q54" s="10">
        <v>10</v>
      </c>
      <c r="R54" s="8">
        <v>6</v>
      </c>
      <c r="S54" s="8">
        <v>72</v>
      </c>
      <c r="T54" s="5" t="s">
        <v>214</v>
      </c>
      <c r="U54" s="5" t="s">
        <v>215</v>
      </c>
      <c r="V54" s="5" t="s">
        <v>53</v>
      </c>
      <c r="W54" s="5"/>
      <c r="X54" s="5" t="s">
        <v>43</v>
      </c>
    </row>
    <row r="55" spans="1:24" x14ac:dyDescent="0.3">
      <c r="A55" s="5" t="s">
        <v>216</v>
      </c>
      <c r="B55" s="5" t="s">
        <v>26</v>
      </c>
      <c r="C55" s="5" t="s">
        <v>213</v>
      </c>
      <c r="D55" s="5">
        <v>6644001876</v>
      </c>
      <c r="E55" s="7">
        <f>(34.27+24.15)</f>
        <v>58.42</v>
      </c>
      <c r="F55" s="7">
        <f>(5.16+11.22+23.05)</f>
        <v>39.430000000000007</v>
      </c>
      <c r="G55" s="7">
        <f>(0+0.2+1.95)</f>
        <v>2.15</v>
      </c>
      <c r="H55" s="7">
        <v>20.16</v>
      </c>
      <c r="I55" s="7">
        <v>7.75</v>
      </c>
      <c r="J55" s="8">
        <v>7</v>
      </c>
      <c r="K55" s="8">
        <v>7</v>
      </c>
      <c r="L55" s="8">
        <v>7</v>
      </c>
      <c r="M55" s="8">
        <v>7</v>
      </c>
      <c r="N55" s="8">
        <v>10</v>
      </c>
      <c r="O55" s="10">
        <v>10</v>
      </c>
      <c r="P55" s="8">
        <v>7</v>
      </c>
      <c r="Q55" s="10">
        <v>10</v>
      </c>
      <c r="R55" s="7">
        <v>7.25</v>
      </c>
      <c r="S55" s="8">
        <v>80</v>
      </c>
      <c r="T55" s="5" t="s">
        <v>217</v>
      </c>
      <c r="U55" s="5" t="s">
        <v>218</v>
      </c>
      <c r="V55" s="5" t="s">
        <v>219</v>
      </c>
      <c r="W55" s="5" t="s">
        <v>179</v>
      </c>
      <c r="X55" s="5" t="s">
        <v>40</v>
      </c>
    </row>
    <row r="56" spans="1:24" x14ac:dyDescent="0.3">
      <c r="A56" s="5" t="s">
        <v>220</v>
      </c>
      <c r="B56" s="5" t="s">
        <v>26</v>
      </c>
      <c r="C56" s="5" t="s">
        <v>213</v>
      </c>
      <c r="D56" s="5">
        <v>6644000312</v>
      </c>
      <c r="E56" s="7">
        <f>(31.12+27.57)</f>
        <v>58.69</v>
      </c>
      <c r="F56" s="7">
        <f>(5.25+12.6+20.22)</f>
        <v>38.07</v>
      </c>
      <c r="G56" s="7">
        <f>(0.41+0.31+2.52)</f>
        <v>3.24</v>
      </c>
      <c r="H56" s="7">
        <v>22.24</v>
      </c>
      <c r="I56" s="8">
        <v>8</v>
      </c>
      <c r="J56" s="8">
        <v>8</v>
      </c>
      <c r="K56" s="8">
        <v>8</v>
      </c>
      <c r="L56" s="8">
        <v>8</v>
      </c>
      <c r="M56" s="8">
        <v>8</v>
      </c>
      <c r="N56" s="8">
        <v>10</v>
      </c>
      <c r="O56" s="10">
        <v>10</v>
      </c>
      <c r="P56" s="8">
        <v>8</v>
      </c>
      <c r="Q56" s="10">
        <v>10</v>
      </c>
      <c r="R56" s="8">
        <v>8</v>
      </c>
      <c r="S56" s="8">
        <v>86</v>
      </c>
      <c r="T56" s="5" t="s">
        <v>221</v>
      </c>
      <c r="U56" s="5" t="s">
        <v>128</v>
      </c>
      <c r="V56" s="5" t="s">
        <v>222</v>
      </c>
      <c r="W56" s="5" t="s">
        <v>32</v>
      </c>
      <c r="X56" s="5" t="s">
        <v>40</v>
      </c>
    </row>
    <row r="57" spans="1:24" x14ac:dyDescent="0.3">
      <c r="A57" s="5" t="s">
        <v>223</v>
      </c>
      <c r="B57" s="5" t="s">
        <v>26</v>
      </c>
      <c r="C57" s="5" t="s">
        <v>213</v>
      </c>
      <c r="D57" s="5">
        <v>6644000469</v>
      </c>
      <c r="E57" s="7">
        <f>(22.52+10.98)</f>
        <v>33.5</v>
      </c>
      <c r="F57" s="7">
        <f>(12.1+20.75+26.87)</f>
        <v>59.72</v>
      </c>
      <c r="G57" s="7">
        <f>(0.15+1.32+5.31)</f>
        <v>6.7799999999999994</v>
      </c>
      <c r="H57" s="7">
        <v>20.96</v>
      </c>
      <c r="I57" s="8">
        <v>9</v>
      </c>
      <c r="J57" s="8">
        <v>8</v>
      </c>
      <c r="K57" s="8">
        <v>8</v>
      </c>
      <c r="L57" s="7">
        <v>8.75</v>
      </c>
      <c r="M57" s="7">
        <v>8.25</v>
      </c>
      <c r="N57" s="8">
        <v>10</v>
      </c>
      <c r="O57" s="10">
        <v>10</v>
      </c>
      <c r="P57" s="8">
        <v>8</v>
      </c>
      <c r="Q57" s="10">
        <v>10</v>
      </c>
      <c r="R57" s="8">
        <v>8</v>
      </c>
      <c r="S57" s="8">
        <v>88</v>
      </c>
      <c r="T57" s="5" t="s">
        <v>224</v>
      </c>
      <c r="U57" s="5" t="s">
        <v>225</v>
      </c>
      <c r="V57" s="5" t="s">
        <v>226</v>
      </c>
      <c r="W57" s="5" t="s">
        <v>76</v>
      </c>
      <c r="X57" s="5" t="s">
        <v>141</v>
      </c>
    </row>
    <row r="58" spans="1:24" x14ac:dyDescent="0.3">
      <c r="A58" s="5" t="s">
        <v>227</v>
      </c>
      <c r="B58" s="5" t="s">
        <v>26</v>
      </c>
      <c r="C58" s="5" t="s">
        <v>213</v>
      </c>
      <c r="D58" s="5">
        <v>6644000461</v>
      </c>
      <c r="E58" s="7">
        <f>(34.21+32.03)</f>
        <v>66.240000000000009</v>
      </c>
      <c r="F58" s="7">
        <f>(2.92+7.91+21.85)</f>
        <v>32.68</v>
      </c>
      <c r="G58" s="7">
        <f>(0.3+0.1+0.69)</f>
        <v>1.0899999999999999</v>
      </c>
      <c r="H58" s="7">
        <v>19.079999999999998</v>
      </c>
      <c r="I58" s="7">
        <v>7.75</v>
      </c>
      <c r="J58" s="8">
        <v>7</v>
      </c>
      <c r="K58" s="8">
        <v>7</v>
      </c>
      <c r="L58" s="8">
        <v>7</v>
      </c>
      <c r="M58" s="7">
        <v>7.75</v>
      </c>
      <c r="N58" s="8">
        <v>10</v>
      </c>
      <c r="O58" s="10">
        <v>10</v>
      </c>
      <c r="P58" s="8">
        <v>7</v>
      </c>
      <c r="Q58" s="10">
        <v>10</v>
      </c>
      <c r="R58" s="8">
        <v>7</v>
      </c>
      <c r="S58" s="8">
        <v>80.5</v>
      </c>
      <c r="T58" s="5" t="s">
        <v>228</v>
      </c>
      <c r="U58" s="5" t="s">
        <v>39</v>
      </c>
      <c r="V58" s="5" t="s">
        <v>53</v>
      </c>
      <c r="W58" s="5" t="s">
        <v>33</v>
      </c>
      <c r="X58" s="5"/>
    </row>
    <row r="59" spans="1:24" x14ac:dyDescent="0.3">
      <c r="A59" s="5" t="s">
        <v>229</v>
      </c>
      <c r="B59" s="5" t="s">
        <v>26</v>
      </c>
      <c r="C59" s="5" t="s">
        <v>213</v>
      </c>
      <c r="D59" s="5">
        <v>6644000299</v>
      </c>
      <c r="E59" s="7">
        <f>(31.24+18.01)</f>
        <v>49.25</v>
      </c>
      <c r="F59" s="7">
        <f>(5.44+13.07+29.94)</f>
        <v>48.45</v>
      </c>
      <c r="G59" s="7">
        <f>(0+0.25+2.05)</f>
        <v>2.2999999999999998</v>
      </c>
      <c r="H59" s="7">
        <v>19.84</v>
      </c>
      <c r="I59" s="8">
        <v>7</v>
      </c>
      <c r="J59" s="8">
        <v>7</v>
      </c>
      <c r="K59" s="8">
        <v>7</v>
      </c>
      <c r="L59" s="8">
        <v>7</v>
      </c>
      <c r="M59" s="8">
        <v>7</v>
      </c>
      <c r="N59" s="8">
        <v>10</v>
      </c>
      <c r="O59" s="10">
        <v>10</v>
      </c>
      <c r="P59" s="8">
        <v>7</v>
      </c>
      <c r="Q59" s="10">
        <v>10</v>
      </c>
      <c r="R59" s="8">
        <v>7</v>
      </c>
      <c r="S59" s="8">
        <v>79</v>
      </c>
      <c r="T59" s="5" t="s">
        <v>230</v>
      </c>
      <c r="U59" s="5" t="s">
        <v>231</v>
      </c>
      <c r="V59" s="5" t="s">
        <v>232</v>
      </c>
      <c r="W59" s="5" t="s">
        <v>39</v>
      </c>
      <c r="X59" s="5"/>
    </row>
    <row r="60" spans="1:24" x14ac:dyDescent="0.3">
      <c r="A60" s="5" t="s">
        <v>233</v>
      </c>
      <c r="B60" s="5" t="s">
        <v>26</v>
      </c>
      <c r="C60" s="5" t="s">
        <v>234</v>
      </c>
      <c r="D60" s="5">
        <v>6644001173</v>
      </c>
      <c r="E60" s="7">
        <f>(22.58+14.48)</f>
        <v>37.06</v>
      </c>
      <c r="F60" s="7">
        <f>(7.19+21.87+28.54)</f>
        <v>57.6</v>
      </c>
      <c r="G60" s="7">
        <f>(0.51+0.25+4.59)</f>
        <v>5.35</v>
      </c>
      <c r="H60" s="7">
        <v>21.52</v>
      </c>
      <c r="I60" s="7">
        <v>6.75</v>
      </c>
      <c r="J60" s="8">
        <v>7</v>
      </c>
      <c r="K60" s="8">
        <v>7</v>
      </c>
      <c r="L60" s="8">
        <v>7</v>
      </c>
      <c r="M60" s="8">
        <v>7</v>
      </c>
      <c r="N60" s="8">
        <v>10</v>
      </c>
      <c r="O60" s="10">
        <v>10</v>
      </c>
      <c r="P60" s="8">
        <v>7</v>
      </c>
      <c r="Q60" s="10">
        <v>10</v>
      </c>
      <c r="R60" s="8">
        <v>7</v>
      </c>
      <c r="S60" s="7">
        <v>78.75</v>
      </c>
      <c r="T60" s="5" t="s">
        <v>235</v>
      </c>
      <c r="U60" s="5" t="s">
        <v>66</v>
      </c>
      <c r="V60" s="5" t="s">
        <v>236</v>
      </c>
      <c r="W60" s="5" t="s">
        <v>33</v>
      </c>
      <c r="X60" s="5"/>
    </row>
    <row r="61" spans="1:24" x14ac:dyDescent="0.3">
      <c r="A61" s="5" t="s">
        <v>237</v>
      </c>
      <c r="B61" s="5" t="s">
        <v>26</v>
      </c>
      <c r="C61" s="5" t="s">
        <v>234</v>
      </c>
      <c r="D61" s="5">
        <v>6644000909</v>
      </c>
      <c r="E61" s="7">
        <f>(33.66+32.38)</f>
        <v>66.039999999999992</v>
      </c>
      <c r="F61" s="7">
        <f>(3.29+9.48+20.25)</f>
        <v>33.019999999999996</v>
      </c>
      <c r="G61" s="7">
        <f>(0.1+0.15+0.69)</f>
        <v>0.94</v>
      </c>
      <c r="H61" s="8">
        <v>18.600000000000001</v>
      </c>
      <c r="I61" s="8">
        <v>7.5</v>
      </c>
      <c r="J61" s="8">
        <v>7.5</v>
      </c>
      <c r="K61" s="8">
        <v>7.5</v>
      </c>
      <c r="L61" s="8">
        <v>7.5</v>
      </c>
      <c r="M61" s="7">
        <v>7.75</v>
      </c>
      <c r="N61" s="8">
        <v>10</v>
      </c>
      <c r="O61" s="10">
        <v>10</v>
      </c>
      <c r="P61" s="8">
        <v>7.5</v>
      </c>
      <c r="Q61" s="10">
        <v>10</v>
      </c>
      <c r="R61" s="7">
        <v>7.75</v>
      </c>
      <c r="S61" s="8">
        <v>83</v>
      </c>
      <c r="T61" s="5" t="s">
        <v>238</v>
      </c>
      <c r="U61" s="5" t="s">
        <v>31</v>
      </c>
      <c r="V61" s="5" t="s">
        <v>161</v>
      </c>
      <c r="W61" s="5" t="s">
        <v>140</v>
      </c>
      <c r="X61" s="5"/>
    </row>
    <row r="62" spans="1:24" x14ac:dyDescent="0.3">
      <c r="A62" s="5" t="s">
        <v>239</v>
      </c>
      <c r="B62" s="5" t="s">
        <v>26</v>
      </c>
      <c r="C62" s="5" t="s">
        <v>234</v>
      </c>
      <c r="D62" s="5">
        <v>6644002054</v>
      </c>
      <c r="E62" s="7">
        <f>(22.14+58.57)</f>
        <v>80.710000000000008</v>
      </c>
      <c r="F62" s="7">
        <f>(2.4+6.51+10.33)</f>
        <v>19.240000000000002</v>
      </c>
      <c r="G62" s="7">
        <f>(0+0+0.05)</f>
        <v>0.05</v>
      </c>
      <c r="H62" s="7">
        <v>18.32</v>
      </c>
      <c r="I62" s="7">
        <v>7.75</v>
      </c>
      <c r="J62" s="7">
        <v>7.75</v>
      </c>
      <c r="K62" s="7">
        <v>7.75</v>
      </c>
      <c r="L62" s="7">
        <v>7.75</v>
      </c>
      <c r="M62" s="7">
        <v>7.75</v>
      </c>
      <c r="N62" s="8">
        <v>10</v>
      </c>
      <c r="O62" s="10">
        <v>10</v>
      </c>
      <c r="P62" s="7">
        <v>7.75</v>
      </c>
      <c r="Q62" s="10">
        <v>10</v>
      </c>
      <c r="R62" s="7">
        <v>7.75</v>
      </c>
      <c r="S62" s="7">
        <v>84.25</v>
      </c>
      <c r="T62" s="5" t="s">
        <v>240</v>
      </c>
      <c r="U62" s="5" t="s">
        <v>135</v>
      </c>
      <c r="V62" s="5" t="s">
        <v>31</v>
      </c>
      <c r="W62" s="5" t="s">
        <v>39</v>
      </c>
      <c r="X62" s="5" t="s">
        <v>47</v>
      </c>
    </row>
    <row r="63" spans="1:24" x14ac:dyDescent="0.3">
      <c r="A63" s="5" t="s">
        <v>241</v>
      </c>
      <c r="B63" s="5" t="s">
        <v>26</v>
      </c>
      <c r="C63" s="5" t="s">
        <v>234</v>
      </c>
      <c r="D63" s="5">
        <v>6644000917</v>
      </c>
      <c r="E63" s="7">
        <f>(25.61+34.2)</f>
        <v>59.81</v>
      </c>
      <c r="F63" s="7">
        <f>(4.83+12.25+20.22)</f>
        <v>37.299999999999997</v>
      </c>
      <c r="G63" s="7">
        <f>(0.51+0.36+2.03)</f>
        <v>2.9</v>
      </c>
      <c r="H63" s="7">
        <v>21.28</v>
      </c>
      <c r="I63" s="7">
        <v>7.75</v>
      </c>
      <c r="J63" s="8">
        <v>7</v>
      </c>
      <c r="K63" s="8">
        <v>7</v>
      </c>
      <c r="L63" s="8">
        <v>7.5</v>
      </c>
      <c r="M63" s="8">
        <v>7.5</v>
      </c>
      <c r="N63" s="8">
        <v>10</v>
      </c>
      <c r="O63" s="10">
        <v>10</v>
      </c>
      <c r="P63" s="8">
        <v>7</v>
      </c>
      <c r="Q63" s="10">
        <v>10</v>
      </c>
      <c r="R63" s="8">
        <v>7</v>
      </c>
      <c r="S63" s="7">
        <v>80.75</v>
      </c>
      <c r="T63" s="5" t="s">
        <v>242</v>
      </c>
      <c r="U63" s="5" t="s">
        <v>243</v>
      </c>
      <c r="V63" s="5" t="s">
        <v>242</v>
      </c>
      <c r="W63" s="5" t="s">
        <v>32</v>
      </c>
      <c r="X63" s="5" t="s">
        <v>43</v>
      </c>
    </row>
    <row r="64" spans="1:24" x14ac:dyDescent="0.3">
      <c r="A64" s="5" t="s">
        <v>244</v>
      </c>
      <c r="B64" s="5" t="s">
        <v>26</v>
      </c>
      <c r="C64" s="5" t="s">
        <v>234</v>
      </c>
      <c r="D64" s="5">
        <v>6644000896</v>
      </c>
      <c r="E64" s="7">
        <f>(18.58+6.46)</f>
        <v>25.04</v>
      </c>
      <c r="F64" s="7">
        <f>(10.99+24.43+34.05)</f>
        <v>69.47</v>
      </c>
      <c r="G64" s="7">
        <f>(0.1+0.56+4.83)</f>
        <v>5.49</v>
      </c>
      <c r="H64" s="8">
        <v>21.4</v>
      </c>
      <c r="I64" s="8">
        <v>7</v>
      </c>
      <c r="J64" s="8">
        <v>7</v>
      </c>
      <c r="K64" s="8">
        <v>7</v>
      </c>
      <c r="L64" s="8">
        <v>7</v>
      </c>
      <c r="M64" s="8">
        <v>7</v>
      </c>
      <c r="N64" s="8">
        <v>10</v>
      </c>
      <c r="O64" s="10">
        <v>10</v>
      </c>
      <c r="P64" s="8">
        <v>7</v>
      </c>
      <c r="Q64" s="10">
        <v>10</v>
      </c>
      <c r="R64" s="8">
        <v>7</v>
      </c>
      <c r="S64" s="8">
        <v>79</v>
      </c>
      <c r="T64" s="5" t="s">
        <v>245</v>
      </c>
      <c r="U64" s="5" t="s">
        <v>31</v>
      </c>
      <c r="V64" s="5" t="s">
        <v>160</v>
      </c>
      <c r="W64" s="5" t="s">
        <v>33</v>
      </c>
      <c r="X64" s="5"/>
    </row>
    <row r="65" spans="1:24" x14ac:dyDescent="0.3">
      <c r="A65" s="5" t="s">
        <v>120</v>
      </c>
      <c r="B65" s="5" t="s">
        <v>26</v>
      </c>
      <c r="C65" s="5" t="s">
        <v>246</v>
      </c>
      <c r="D65" s="5">
        <v>6644000453</v>
      </c>
      <c r="E65" s="7">
        <f>(23.97+14.45)</f>
        <v>38.42</v>
      </c>
      <c r="F65" s="7">
        <f>(5.37+17.74+26.1)</f>
        <v>49.21</v>
      </c>
      <c r="G65" s="7">
        <f>(1.93+2.69+7.75)</f>
        <v>12.370000000000001</v>
      </c>
      <c r="H65" s="7">
        <v>21.08</v>
      </c>
      <c r="I65" s="8">
        <v>8</v>
      </c>
      <c r="J65" s="8">
        <v>7</v>
      </c>
      <c r="K65" s="8">
        <v>7.5</v>
      </c>
      <c r="L65" s="7">
        <v>7.75</v>
      </c>
      <c r="M65" s="8">
        <v>7</v>
      </c>
      <c r="N65" s="8">
        <v>10</v>
      </c>
      <c r="O65" s="10">
        <v>10</v>
      </c>
      <c r="P65" s="8">
        <v>7</v>
      </c>
      <c r="Q65" s="10">
        <v>10</v>
      </c>
      <c r="R65" s="8">
        <v>7</v>
      </c>
      <c r="S65" s="7">
        <v>81.25</v>
      </c>
      <c r="T65" s="5" t="s">
        <v>247</v>
      </c>
      <c r="U65" s="5" t="s">
        <v>248</v>
      </c>
      <c r="V65" s="5" t="s">
        <v>249</v>
      </c>
      <c r="W65" s="5" t="s">
        <v>76</v>
      </c>
      <c r="X65" s="5" t="s">
        <v>141</v>
      </c>
    </row>
    <row r="66" spans="1:24" x14ac:dyDescent="0.3">
      <c r="A66" s="5" t="s">
        <v>250</v>
      </c>
      <c r="B66" s="5" t="s">
        <v>26</v>
      </c>
      <c r="C66" s="5" t="s">
        <v>246</v>
      </c>
      <c r="D66" s="5">
        <v>6644001591</v>
      </c>
      <c r="E66" s="7">
        <f>(28.25+24.27)</f>
        <v>52.519999999999996</v>
      </c>
      <c r="F66" s="7">
        <f>(5.33+14.7+23.22)</f>
        <v>43.25</v>
      </c>
      <c r="G66" s="7">
        <f>(0.45+1.15+2.64)</f>
        <v>4.24</v>
      </c>
      <c r="H66" s="7">
        <v>19.72</v>
      </c>
      <c r="I66" s="7">
        <v>7.75</v>
      </c>
      <c r="J66" s="8">
        <v>7.5</v>
      </c>
      <c r="K66" s="8">
        <v>7</v>
      </c>
      <c r="L66" s="7">
        <v>7.75</v>
      </c>
      <c r="M66" s="8">
        <v>7</v>
      </c>
      <c r="N66" s="8">
        <v>10</v>
      </c>
      <c r="O66" s="10">
        <v>10</v>
      </c>
      <c r="P66" s="8">
        <v>7.5</v>
      </c>
      <c r="Q66" s="10">
        <v>10</v>
      </c>
      <c r="R66" s="8">
        <v>7</v>
      </c>
      <c r="S66" s="8">
        <v>81.5</v>
      </c>
      <c r="T66" s="5" t="s">
        <v>251</v>
      </c>
      <c r="U66" s="5" t="s">
        <v>110</v>
      </c>
      <c r="V66" s="5" t="s">
        <v>252</v>
      </c>
      <c r="W66" s="5" t="s">
        <v>140</v>
      </c>
      <c r="X66" s="5" t="s">
        <v>253</v>
      </c>
    </row>
    <row r="67" spans="1:24" x14ac:dyDescent="0.3">
      <c r="A67" s="5" t="s">
        <v>254</v>
      </c>
      <c r="B67" s="5" t="s">
        <v>26</v>
      </c>
      <c r="C67" s="5" t="s">
        <v>246</v>
      </c>
      <c r="D67" s="5">
        <v>6644001930</v>
      </c>
      <c r="E67" s="7">
        <f>(26.93+19.8)</f>
        <v>46.730000000000004</v>
      </c>
      <c r="F67" s="7">
        <f>(6.24+16.39+24.15)</f>
        <v>46.78</v>
      </c>
      <c r="G67" s="7">
        <f>(1.17+1.17+4.15)</f>
        <v>6.49</v>
      </c>
      <c r="H67" s="8">
        <v>18</v>
      </c>
      <c r="I67" s="7">
        <v>7.75</v>
      </c>
      <c r="J67" s="8">
        <v>7.5</v>
      </c>
      <c r="K67" s="8">
        <v>7</v>
      </c>
      <c r="L67" s="7">
        <v>7.75</v>
      </c>
      <c r="M67" s="8">
        <v>7.5</v>
      </c>
      <c r="N67" s="8">
        <v>10</v>
      </c>
      <c r="O67" s="10">
        <v>10</v>
      </c>
      <c r="P67" s="8">
        <v>7</v>
      </c>
      <c r="Q67" s="10">
        <v>10</v>
      </c>
      <c r="R67" s="8">
        <v>7</v>
      </c>
      <c r="S67" s="8">
        <v>81.5</v>
      </c>
      <c r="T67" s="5" t="s">
        <v>255</v>
      </c>
      <c r="U67" s="5" t="s">
        <v>74</v>
      </c>
      <c r="V67" s="5" t="s">
        <v>256</v>
      </c>
      <c r="W67" s="5" t="s">
        <v>257</v>
      </c>
      <c r="X67" s="5"/>
    </row>
    <row r="68" spans="1:24" x14ac:dyDescent="0.3">
      <c r="A68" s="5" t="s">
        <v>258</v>
      </c>
      <c r="B68" s="5" t="s">
        <v>26</v>
      </c>
      <c r="C68" s="5" t="s">
        <v>259</v>
      </c>
      <c r="D68" s="5">
        <v>6644000847</v>
      </c>
      <c r="E68" s="7">
        <f>(22.68+18.98)</f>
        <v>41.66</v>
      </c>
      <c r="F68" s="7">
        <f>(7.86+18.92+26.69)</f>
        <v>53.47</v>
      </c>
      <c r="G68" s="7">
        <f>(0.51+0.81+3.55)</f>
        <v>4.87</v>
      </c>
      <c r="H68" s="7">
        <v>21.16</v>
      </c>
      <c r="I68" s="7">
        <v>7.75</v>
      </c>
      <c r="J68" s="7">
        <v>7.25</v>
      </c>
      <c r="K68" s="8">
        <v>7</v>
      </c>
      <c r="L68" s="7">
        <v>7.75</v>
      </c>
      <c r="M68" s="8">
        <v>7.5</v>
      </c>
      <c r="N68" s="8">
        <v>10</v>
      </c>
      <c r="O68" s="10">
        <v>10</v>
      </c>
      <c r="P68" s="8">
        <v>7</v>
      </c>
      <c r="Q68" s="10">
        <v>10</v>
      </c>
      <c r="R68" s="8">
        <v>7</v>
      </c>
      <c r="S68" s="7">
        <v>81.25</v>
      </c>
      <c r="T68" s="5" t="s">
        <v>260</v>
      </c>
      <c r="U68" s="5" t="s">
        <v>261</v>
      </c>
      <c r="V68" s="5" t="s">
        <v>262</v>
      </c>
      <c r="W68" s="5" t="s">
        <v>33</v>
      </c>
      <c r="X68" s="5" t="s">
        <v>43</v>
      </c>
    </row>
    <row r="69" spans="1:24" x14ac:dyDescent="0.3">
      <c r="A69" s="5" t="s">
        <v>263</v>
      </c>
      <c r="B69" s="5" t="s">
        <v>26</v>
      </c>
      <c r="C69" s="5" t="s">
        <v>264</v>
      </c>
      <c r="D69" s="5">
        <v>6644000521</v>
      </c>
      <c r="E69" s="7">
        <f>(28.84+20.37)</f>
        <v>49.21</v>
      </c>
      <c r="F69" s="7">
        <f>(6.1+15.96+26.36)</f>
        <v>48.42</v>
      </c>
      <c r="G69" s="7">
        <f>(0.15+0.3+1.93)</f>
        <v>2.38</v>
      </c>
      <c r="H69" s="7">
        <v>19.28</v>
      </c>
      <c r="I69" s="7">
        <v>7.75</v>
      </c>
      <c r="J69" s="8">
        <v>7</v>
      </c>
      <c r="K69" s="8">
        <v>7</v>
      </c>
      <c r="L69" s="7">
        <v>7.75</v>
      </c>
      <c r="M69" s="8">
        <v>7.5</v>
      </c>
      <c r="N69" s="8">
        <v>10</v>
      </c>
      <c r="O69" s="10">
        <v>10</v>
      </c>
      <c r="P69" s="8">
        <v>7</v>
      </c>
      <c r="Q69" s="10">
        <v>10</v>
      </c>
      <c r="R69" s="8">
        <v>7</v>
      </c>
      <c r="S69" s="8">
        <v>81</v>
      </c>
      <c r="T69" s="5" t="s">
        <v>265</v>
      </c>
      <c r="U69" s="5" t="s">
        <v>129</v>
      </c>
      <c r="V69" s="5" t="s">
        <v>266</v>
      </c>
      <c r="W69" s="5" t="s">
        <v>32</v>
      </c>
      <c r="X69" s="5" t="s">
        <v>43</v>
      </c>
    </row>
    <row r="70" spans="1:24" x14ac:dyDescent="0.3">
      <c r="A70" s="5" t="s">
        <v>267</v>
      </c>
      <c r="B70" s="5" t="s">
        <v>26</v>
      </c>
      <c r="C70" s="5" t="s">
        <v>268</v>
      </c>
      <c r="D70" s="5">
        <v>6644002078</v>
      </c>
      <c r="E70" s="7">
        <f>(26.78+43.93)</f>
        <v>70.710000000000008</v>
      </c>
      <c r="F70" s="7">
        <f>(2.61+8.14+16.47)</f>
        <v>27.22</v>
      </c>
      <c r="G70" s="7">
        <f>(0.15+0.49+1.43)</f>
        <v>2.0699999999999998</v>
      </c>
      <c r="H70" s="7">
        <v>18.88</v>
      </c>
      <c r="I70" s="8">
        <v>7</v>
      </c>
      <c r="J70" s="8">
        <v>7</v>
      </c>
      <c r="K70" s="8">
        <v>7</v>
      </c>
      <c r="L70" s="8">
        <v>7</v>
      </c>
      <c r="M70" s="8">
        <v>7</v>
      </c>
      <c r="N70" s="8">
        <v>10</v>
      </c>
      <c r="O70" s="10">
        <v>10</v>
      </c>
      <c r="P70" s="8">
        <v>7</v>
      </c>
      <c r="Q70" s="10">
        <v>10</v>
      </c>
      <c r="R70" s="8">
        <v>7</v>
      </c>
      <c r="S70" s="8">
        <v>79</v>
      </c>
      <c r="T70" s="5" t="s">
        <v>269</v>
      </c>
      <c r="U70" s="5" t="s">
        <v>270</v>
      </c>
      <c r="V70" s="5" t="s">
        <v>271</v>
      </c>
      <c r="W70" s="5" t="s">
        <v>32</v>
      </c>
      <c r="X70" s="5"/>
    </row>
    <row r="71" spans="1:24" x14ac:dyDescent="0.3">
      <c r="A71" s="5" t="s">
        <v>229</v>
      </c>
      <c r="B71" s="5" t="s">
        <v>26</v>
      </c>
      <c r="C71" s="5" t="s">
        <v>272</v>
      </c>
      <c r="D71" s="5">
        <v>6644001774</v>
      </c>
      <c r="E71" s="7">
        <f>(24.02+27.65)</f>
        <v>51.67</v>
      </c>
      <c r="F71" s="7">
        <f>(4.62+15.42+25.61)</f>
        <v>45.65</v>
      </c>
      <c r="G71" s="7">
        <f>(0.3+0.45+1.94)</f>
        <v>2.69</v>
      </c>
      <c r="H71" s="7">
        <v>19.559999999999999</v>
      </c>
      <c r="I71" s="7">
        <v>7.75</v>
      </c>
      <c r="J71" s="8">
        <v>7</v>
      </c>
      <c r="K71" s="8">
        <v>7</v>
      </c>
      <c r="L71" s="8">
        <v>7.5</v>
      </c>
      <c r="M71" s="8">
        <v>7.5</v>
      </c>
      <c r="N71" s="8">
        <v>10</v>
      </c>
      <c r="O71" s="10">
        <v>10</v>
      </c>
      <c r="P71" s="8">
        <v>7</v>
      </c>
      <c r="Q71" s="10">
        <v>10</v>
      </c>
      <c r="R71" s="8">
        <v>7</v>
      </c>
      <c r="S71" s="7">
        <v>80.75</v>
      </c>
      <c r="T71" s="5" t="s">
        <v>273</v>
      </c>
      <c r="U71" s="5" t="s">
        <v>153</v>
      </c>
      <c r="V71" s="5" t="s">
        <v>39</v>
      </c>
      <c r="W71" s="5" t="s">
        <v>33</v>
      </c>
      <c r="X71" s="5"/>
    </row>
    <row r="72" spans="1:24" x14ac:dyDescent="0.3">
      <c r="A72" s="5" t="s">
        <v>274</v>
      </c>
      <c r="B72" s="5" t="s">
        <v>26</v>
      </c>
      <c r="C72" s="5" t="s">
        <v>272</v>
      </c>
      <c r="D72" s="5">
        <v>6644000466</v>
      </c>
      <c r="E72" s="7">
        <f>(29.02+27.16)</f>
        <v>56.18</v>
      </c>
      <c r="F72" s="7">
        <f>(4.26+11.96+22.94)</f>
        <v>39.159999999999997</v>
      </c>
      <c r="G72" s="7">
        <f>(1.18+1.13+2.35)</f>
        <v>4.66</v>
      </c>
      <c r="H72" s="8">
        <v>18.399999999999999</v>
      </c>
      <c r="I72" s="7">
        <v>7.75</v>
      </c>
      <c r="J72" s="8">
        <v>7.5</v>
      </c>
      <c r="K72" s="8">
        <v>7</v>
      </c>
      <c r="L72" s="8">
        <v>7</v>
      </c>
      <c r="M72" s="8">
        <v>7</v>
      </c>
      <c r="N72" s="8">
        <v>10</v>
      </c>
      <c r="O72" s="10">
        <v>10</v>
      </c>
      <c r="P72" s="8">
        <v>7</v>
      </c>
      <c r="Q72" s="10">
        <v>10</v>
      </c>
      <c r="R72" s="8">
        <v>7</v>
      </c>
      <c r="S72" s="7">
        <v>80.25</v>
      </c>
      <c r="T72" s="5" t="s">
        <v>275</v>
      </c>
      <c r="U72" s="5" t="s">
        <v>276</v>
      </c>
      <c r="V72" s="5" t="s">
        <v>252</v>
      </c>
      <c r="W72" s="5" t="s">
        <v>32</v>
      </c>
      <c r="X72" s="5"/>
    </row>
    <row r="73" spans="1:24" x14ac:dyDescent="0.3">
      <c r="A73" s="5" t="s">
        <v>277</v>
      </c>
      <c r="B73" s="5" t="s">
        <v>26</v>
      </c>
      <c r="C73" s="5" t="s">
        <v>272</v>
      </c>
      <c r="D73" s="5">
        <v>6644000451</v>
      </c>
      <c r="E73" s="7">
        <f>(27.34+40.38)</f>
        <v>67.72</v>
      </c>
      <c r="F73" s="7">
        <f>(3.6+8.24+16.68)</f>
        <v>28.52</v>
      </c>
      <c r="G73" s="7">
        <f>(1.14+0.84+1.78)</f>
        <v>3.76</v>
      </c>
      <c r="H73" s="7">
        <v>18.96</v>
      </c>
      <c r="I73" s="8">
        <v>7</v>
      </c>
      <c r="J73" s="8">
        <v>7</v>
      </c>
      <c r="K73" s="8">
        <v>7</v>
      </c>
      <c r="L73" s="8">
        <v>7</v>
      </c>
      <c r="M73" s="8">
        <v>7</v>
      </c>
      <c r="N73" s="8">
        <v>10</v>
      </c>
      <c r="O73" s="10">
        <v>10</v>
      </c>
      <c r="P73" s="8">
        <v>7</v>
      </c>
      <c r="Q73" s="10">
        <v>10</v>
      </c>
      <c r="R73" s="8">
        <v>7</v>
      </c>
      <c r="S73" s="8">
        <v>79</v>
      </c>
      <c r="T73" s="5" t="s">
        <v>278</v>
      </c>
      <c r="U73" s="5" t="s">
        <v>278</v>
      </c>
      <c r="V73" s="5" t="s">
        <v>279</v>
      </c>
      <c r="W73" s="5"/>
      <c r="X73" s="5"/>
    </row>
    <row r="74" spans="1:24" x14ac:dyDescent="0.3">
      <c r="A74" s="5" t="s">
        <v>280</v>
      </c>
      <c r="B74" s="5" t="s">
        <v>26</v>
      </c>
      <c r="C74" s="5" t="s">
        <v>281</v>
      </c>
      <c r="D74" s="5">
        <v>6644000749</v>
      </c>
      <c r="E74" s="7">
        <f>(25.65+15.15)</f>
        <v>40.799999999999997</v>
      </c>
      <c r="F74" s="7">
        <f>(6.92+17.8+26.19)</f>
        <v>50.91</v>
      </c>
      <c r="G74" s="7">
        <f>(2.89+1.42+3.97)</f>
        <v>8.2800000000000011</v>
      </c>
      <c r="H74" s="7">
        <v>18.440000000000001</v>
      </c>
      <c r="I74" s="8">
        <v>7</v>
      </c>
      <c r="J74" s="8">
        <v>7</v>
      </c>
      <c r="K74" s="8">
        <v>7</v>
      </c>
      <c r="L74" s="8">
        <v>7</v>
      </c>
      <c r="M74" s="8">
        <v>7</v>
      </c>
      <c r="N74" s="8">
        <v>10</v>
      </c>
      <c r="O74" s="10">
        <v>10</v>
      </c>
      <c r="P74" s="8">
        <v>7</v>
      </c>
      <c r="Q74" s="10">
        <v>10</v>
      </c>
      <c r="R74" s="8">
        <v>7</v>
      </c>
      <c r="S74" s="8">
        <v>79</v>
      </c>
      <c r="T74" s="5" t="s">
        <v>282</v>
      </c>
      <c r="U74" s="5" t="s">
        <v>153</v>
      </c>
      <c r="V74" s="5" t="s">
        <v>283</v>
      </c>
      <c r="W74" s="5" t="s">
        <v>179</v>
      </c>
      <c r="X74" s="5"/>
    </row>
    <row r="75" spans="1:24" x14ac:dyDescent="0.3">
      <c r="A75" s="5" t="s">
        <v>284</v>
      </c>
      <c r="B75" s="5" t="s">
        <v>26</v>
      </c>
      <c r="C75" s="5" t="s">
        <v>281</v>
      </c>
      <c r="D75" s="5">
        <v>6644001938</v>
      </c>
      <c r="E75" s="7">
        <f>(31.51+13.56)</f>
        <v>45.07</v>
      </c>
      <c r="F75" s="7">
        <f>(6.83+14.91+27.47)</f>
        <v>49.21</v>
      </c>
      <c r="G75" s="7">
        <f>(0.96+0.91+3.85)</f>
        <v>5.7200000000000006</v>
      </c>
      <c r="H75" s="7">
        <v>16.84</v>
      </c>
      <c r="I75" s="8">
        <v>7.5</v>
      </c>
      <c r="J75" s="8">
        <v>7</v>
      </c>
      <c r="K75" s="8">
        <v>7</v>
      </c>
      <c r="L75" s="8">
        <v>7</v>
      </c>
      <c r="M75" s="8">
        <v>7</v>
      </c>
      <c r="N75" s="8">
        <v>10</v>
      </c>
      <c r="O75" s="10">
        <v>10</v>
      </c>
      <c r="P75" s="8">
        <v>7</v>
      </c>
      <c r="Q75" s="10">
        <v>10</v>
      </c>
      <c r="R75" s="8">
        <v>7</v>
      </c>
      <c r="S75" s="8">
        <v>79.5</v>
      </c>
      <c r="T75" s="5" t="s">
        <v>256</v>
      </c>
      <c r="U75" s="5" t="s">
        <v>285</v>
      </c>
      <c r="V75" s="5" t="s">
        <v>286</v>
      </c>
      <c r="W75" s="5" t="s">
        <v>32</v>
      </c>
      <c r="X75" s="5"/>
    </row>
    <row r="76" spans="1:24" x14ac:dyDescent="0.3">
      <c r="A76" s="5" t="s">
        <v>287</v>
      </c>
      <c r="B76" s="5" t="s">
        <v>26</v>
      </c>
      <c r="C76" s="5" t="s">
        <v>281</v>
      </c>
      <c r="D76" s="5">
        <v>6644001036</v>
      </c>
      <c r="E76" s="7">
        <f>(23.27+14.91)</f>
        <v>38.18</v>
      </c>
      <c r="F76" s="7">
        <f>(9.62+19.35+24.79)</f>
        <v>53.76</v>
      </c>
      <c r="G76" s="7">
        <f>(0.86+1.46+5.74)</f>
        <v>8.06</v>
      </c>
      <c r="H76" s="8">
        <v>20.6</v>
      </c>
      <c r="I76" s="8">
        <v>7</v>
      </c>
      <c r="J76" s="8">
        <v>7</v>
      </c>
      <c r="K76" s="8">
        <v>7</v>
      </c>
      <c r="L76" s="8">
        <v>7</v>
      </c>
      <c r="M76" s="8">
        <v>7</v>
      </c>
      <c r="N76" s="8">
        <v>10</v>
      </c>
      <c r="O76" s="10">
        <v>10</v>
      </c>
      <c r="P76" s="8">
        <v>6</v>
      </c>
      <c r="Q76" s="10">
        <v>10</v>
      </c>
      <c r="R76" s="8">
        <v>7</v>
      </c>
      <c r="S76" s="8">
        <v>78</v>
      </c>
      <c r="T76" s="5" t="s">
        <v>288</v>
      </c>
      <c r="U76" s="5" t="s">
        <v>289</v>
      </c>
      <c r="V76" s="5" t="s">
        <v>60</v>
      </c>
      <c r="W76" s="5" t="s">
        <v>290</v>
      </c>
      <c r="X76" s="5" t="s">
        <v>43</v>
      </c>
    </row>
    <row r="77" spans="1:24" x14ac:dyDescent="0.3">
      <c r="A77" s="5" t="s">
        <v>291</v>
      </c>
      <c r="B77" s="5" t="s">
        <v>26</v>
      </c>
      <c r="C77" s="5" t="s">
        <v>281</v>
      </c>
      <c r="D77" s="5">
        <v>6644000708</v>
      </c>
      <c r="E77" s="7">
        <f>(18.54+10.6)</f>
        <v>29.14</v>
      </c>
      <c r="F77" s="7">
        <f>(9.78+20.63+25.88)</f>
        <v>56.289999999999992</v>
      </c>
      <c r="G77" s="7">
        <f>(2.65+3.57+8.35)</f>
        <v>14.57</v>
      </c>
      <c r="H77" s="7">
        <v>21.48</v>
      </c>
      <c r="I77" s="7">
        <v>7.75</v>
      </c>
      <c r="J77" s="7">
        <v>7.75</v>
      </c>
      <c r="K77" s="8">
        <v>7.5</v>
      </c>
      <c r="L77" s="7">
        <v>7.75</v>
      </c>
      <c r="M77" s="7">
        <v>7.75</v>
      </c>
      <c r="N77" s="8">
        <v>10</v>
      </c>
      <c r="O77" s="10">
        <v>10</v>
      </c>
      <c r="P77" s="8">
        <v>7</v>
      </c>
      <c r="Q77" s="10">
        <v>10</v>
      </c>
      <c r="R77" s="8">
        <v>7</v>
      </c>
      <c r="S77" s="8">
        <v>82.5</v>
      </c>
      <c r="T77" s="5" t="s">
        <v>292</v>
      </c>
      <c r="U77" s="5" t="s">
        <v>293</v>
      </c>
      <c r="V77" s="5" t="s">
        <v>294</v>
      </c>
      <c r="W77" s="5" t="s">
        <v>39</v>
      </c>
      <c r="X77" s="5"/>
    </row>
    <row r="78" spans="1:24" x14ac:dyDescent="0.3">
      <c r="A78" s="5" t="s">
        <v>295</v>
      </c>
      <c r="B78" s="5" t="s">
        <v>26</v>
      </c>
      <c r="C78" s="5" t="s">
        <v>281</v>
      </c>
      <c r="D78" s="5">
        <v>6644001050</v>
      </c>
      <c r="E78" s="7">
        <f>(26.66+32.49)</f>
        <v>59.150000000000006</v>
      </c>
      <c r="F78" s="7">
        <f>(4.75+10.47+22.02)</f>
        <v>37.24</v>
      </c>
      <c r="G78" s="7">
        <f>(0.98+0.78+1.86)</f>
        <v>3.62</v>
      </c>
      <c r="H78" s="7">
        <v>18.239999999999998</v>
      </c>
      <c r="I78" s="7">
        <v>7.75</v>
      </c>
      <c r="J78" s="8">
        <v>7</v>
      </c>
      <c r="K78" s="7">
        <v>7.75</v>
      </c>
      <c r="L78" s="7">
        <v>7.75</v>
      </c>
      <c r="M78" s="7">
        <v>7.75</v>
      </c>
      <c r="N78" s="8">
        <v>10</v>
      </c>
      <c r="O78" s="10">
        <v>10</v>
      </c>
      <c r="P78" s="8">
        <v>7</v>
      </c>
      <c r="Q78" s="10">
        <v>10</v>
      </c>
      <c r="R78" s="8">
        <v>7</v>
      </c>
      <c r="S78" s="8">
        <v>82</v>
      </c>
      <c r="T78" s="5" t="s">
        <v>296</v>
      </c>
      <c r="U78" s="5" t="s">
        <v>297</v>
      </c>
      <c r="V78" s="5" t="s">
        <v>252</v>
      </c>
      <c r="W78" s="5" t="s">
        <v>32</v>
      </c>
      <c r="X78" s="5" t="s">
        <v>298</v>
      </c>
    </row>
    <row r="79" spans="1:24" x14ac:dyDescent="0.3">
      <c r="A79" s="5" t="s">
        <v>299</v>
      </c>
      <c r="B79" s="5" t="s">
        <v>26</v>
      </c>
      <c r="C79" s="5" t="s">
        <v>281</v>
      </c>
      <c r="D79" s="5">
        <v>6644000481</v>
      </c>
      <c r="E79" s="7">
        <f>(26.26+12.14)</f>
        <v>38.400000000000006</v>
      </c>
      <c r="F79" s="7">
        <f>(7.38+16.7+30.72)</f>
        <v>54.8</v>
      </c>
      <c r="G79" s="7">
        <f>(1.14+1.44+4.21)</f>
        <v>6.79</v>
      </c>
      <c r="H79" s="7">
        <v>19.28</v>
      </c>
      <c r="I79" s="7">
        <v>7.75</v>
      </c>
      <c r="J79" s="7">
        <v>7.75</v>
      </c>
      <c r="K79" s="7">
        <v>7.75</v>
      </c>
      <c r="L79" s="7">
        <v>7.75</v>
      </c>
      <c r="M79" s="7">
        <v>7.75</v>
      </c>
      <c r="N79" s="8">
        <v>10</v>
      </c>
      <c r="O79" s="10">
        <v>10</v>
      </c>
      <c r="P79" s="8">
        <v>7</v>
      </c>
      <c r="Q79" s="10">
        <v>10</v>
      </c>
      <c r="R79" s="8">
        <v>7</v>
      </c>
      <c r="S79" s="7">
        <v>82.75</v>
      </c>
      <c r="T79" s="5" t="s">
        <v>300</v>
      </c>
      <c r="U79" s="5" t="s">
        <v>301</v>
      </c>
      <c r="V79" s="5" t="s">
        <v>252</v>
      </c>
      <c r="W79" s="5" t="s">
        <v>302</v>
      </c>
      <c r="X79" s="5"/>
    </row>
    <row r="80" spans="1:24" x14ac:dyDescent="0.3">
      <c r="A80" s="5" t="s">
        <v>303</v>
      </c>
      <c r="B80" s="5" t="s">
        <v>26</v>
      </c>
      <c r="C80" s="5" t="s">
        <v>281</v>
      </c>
      <c r="D80" s="5">
        <v>6644001061</v>
      </c>
      <c r="E80" s="7">
        <f>(22.66+13.88)</f>
        <v>36.54</v>
      </c>
      <c r="F80" s="7">
        <f>(8.37+19.1+30.38)</f>
        <v>57.849999999999994</v>
      </c>
      <c r="G80" s="7">
        <f>(1+1.2+3.41)</f>
        <v>5.61</v>
      </c>
      <c r="H80" s="8">
        <v>20.2</v>
      </c>
      <c r="I80" s="7">
        <v>7.75</v>
      </c>
      <c r="J80" s="7">
        <v>7.75</v>
      </c>
      <c r="K80" s="7">
        <v>7.75</v>
      </c>
      <c r="L80" s="7">
        <v>7.75</v>
      </c>
      <c r="M80" s="7">
        <v>7.75</v>
      </c>
      <c r="N80" s="8">
        <v>10</v>
      </c>
      <c r="O80" s="10">
        <v>10</v>
      </c>
      <c r="P80" s="7">
        <v>7.75</v>
      </c>
      <c r="Q80" s="10">
        <v>10</v>
      </c>
      <c r="R80" s="8">
        <v>7</v>
      </c>
      <c r="S80" s="8">
        <v>83.5</v>
      </c>
      <c r="T80" s="5" t="s">
        <v>304</v>
      </c>
      <c r="U80" s="5" t="s">
        <v>252</v>
      </c>
      <c r="V80" s="5" t="s">
        <v>305</v>
      </c>
      <c r="W80" s="5" t="s">
        <v>140</v>
      </c>
      <c r="X80" s="5" t="s">
        <v>43</v>
      </c>
    </row>
    <row r="81" spans="1:24" x14ac:dyDescent="0.3">
      <c r="A81" s="5" t="s">
        <v>306</v>
      </c>
      <c r="B81" s="5" t="s">
        <v>26</v>
      </c>
      <c r="C81" s="5" t="s">
        <v>281</v>
      </c>
      <c r="D81" s="5">
        <v>6644000750</v>
      </c>
      <c r="E81" s="7">
        <f>(24.52+40.53)</f>
        <v>65.05</v>
      </c>
      <c r="F81" s="7">
        <f>(3.23+9.8+14.67)</f>
        <v>27.700000000000003</v>
      </c>
      <c r="G81" s="7">
        <f>(2.88+1.79+2.59)</f>
        <v>7.26</v>
      </c>
      <c r="H81" s="7">
        <v>19.559999999999999</v>
      </c>
      <c r="I81" s="7">
        <v>6.75</v>
      </c>
      <c r="J81" s="7">
        <v>6.75</v>
      </c>
      <c r="K81" s="7">
        <v>6.75</v>
      </c>
      <c r="L81" s="7">
        <v>6.75</v>
      </c>
      <c r="M81" s="7">
        <v>6.75</v>
      </c>
      <c r="N81" s="8">
        <v>10</v>
      </c>
      <c r="O81" s="10">
        <v>10</v>
      </c>
      <c r="P81" s="7">
        <v>6.75</v>
      </c>
      <c r="Q81" s="10">
        <v>10</v>
      </c>
      <c r="R81" s="7">
        <v>6.75</v>
      </c>
      <c r="S81" s="7">
        <v>77.25</v>
      </c>
      <c r="T81" s="5" t="s">
        <v>307</v>
      </c>
      <c r="U81" s="5" t="s">
        <v>308</v>
      </c>
      <c r="V81" s="5" t="s">
        <v>309</v>
      </c>
      <c r="W81" s="5"/>
      <c r="X81" s="5"/>
    </row>
    <row r="82" spans="1:24" x14ac:dyDescent="0.3">
      <c r="A82" s="5" t="s">
        <v>310</v>
      </c>
      <c r="B82" s="5" t="s">
        <v>26</v>
      </c>
      <c r="C82" s="5" t="s">
        <v>311</v>
      </c>
      <c r="D82" s="5">
        <v>6644000618</v>
      </c>
      <c r="E82" s="7">
        <f>(31.48+36.19)</f>
        <v>67.67</v>
      </c>
      <c r="F82" s="7">
        <f>(4.02+8.92+18.2)</f>
        <v>31.14</v>
      </c>
      <c r="G82" s="7">
        <f>(0+0.2+0.99)</f>
        <v>1.19</v>
      </c>
      <c r="H82" s="7">
        <v>19.32</v>
      </c>
      <c r="I82" s="8">
        <v>7.5</v>
      </c>
      <c r="J82" s="8">
        <v>7</v>
      </c>
      <c r="K82" s="8">
        <v>7</v>
      </c>
      <c r="L82" s="8">
        <v>7</v>
      </c>
      <c r="M82" s="8">
        <v>7</v>
      </c>
      <c r="N82" s="8">
        <v>10</v>
      </c>
      <c r="O82" s="10">
        <v>10</v>
      </c>
      <c r="P82" s="8">
        <v>7</v>
      </c>
      <c r="Q82" s="10">
        <v>10</v>
      </c>
      <c r="R82" s="8">
        <v>7</v>
      </c>
      <c r="S82" s="8">
        <v>79.5</v>
      </c>
      <c r="T82" s="5" t="s">
        <v>312</v>
      </c>
      <c r="U82" s="5" t="s">
        <v>152</v>
      </c>
      <c r="V82" s="5" t="s">
        <v>152</v>
      </c>
      <c r="W82" s="5" t="s">
        <v>33</v>
      </c>
      <c r="X82" s="5"/>
    </row>
    <row r="83" spans="1:24" x14ac:dyDescent="0.3">
      <c r="A83" s="5" t="s">
        <v>313</v>
      </c>
      <c r="B83" s="5" t="s">
        <v>26</v>
      </c>
      <c r="C83" s="5" t="s">
        <v>311</v>
      </c>
      <c r="D83" s="5">
        <v>6644000576</v>
      </c>
      <c r="E83" s="7">
        <f>(26.87+29.66)</f>
        <v>56.53</v>
      </c>
      <c r="F83" s="7">
        <f>(5.18+12.36+23.23)</f>
        <v>40.769999999999996</v>
      </c>
      <c r="G83" s="7">
        <f>(0.25+0.35+2.09)</f>
        <v>2.69</v>
      </c>
      <c r="H83" s="7">
        <v>19.760000000000002</v>
      </c>
      <c r="I83" s="8">
        <v>7.5</v>
      </c>
      <c r="J83" s="8">
        <v>7.5</v>
      </c>
      <c r="K83" s="8">
        <v>7.5</v>
      </c>
      <c r="L83" s="8">
        <v>7.5</v>
      </c>
      <c r="M83" s="8">
        <v>7.5</v>
      </c>
      <c r="N83" s="8">
        <v>10</v>
      </c>
      <c r="O83" s="10">
        <v>10</v>
      </c>
      <c r="P83" s="8">
        <v>7.5</v>
      </c>
      <c r="Q83" s="10">
        <v>10</v>
      </c>
      <c r="R83" s="8">
        <v>7.5</v>
      </c>
      <c r="S83" s="8">
        <v>82.5</v>
      </c>
      <c r="T83" s="5" t="s">
        <v>314</v>
      </c>
      <c r="U83" s="5" t="s">
        <v>315</v>
      </c>
      <c r="V83" s="5" t="s">
        <v>316</v>
      </c>
      <c r="W83" s="5" t="s">
        <v>33</v>
      </c>
      <c r="X83" s="5" t="s">
        <v>43</v>
      </c>
    </row>
    <row r="84" spans="1:24" x14ac:dyDescent="0.3">
      <c r="A84" s="5" t="s">
        <v>317</v>
      </c>
      <c r="B84" s="5" t="s">
        <v>26</v>
      </c>
      <c r="C84" s="5" t="s">
        <v>318</v>
      </c>
      <c r="D84" s="5">
        <v>6644000936</v>
      </c>
      <c r="E84" s="7">
        <f>(30.2+40.14)</f>
        <v>70.34</v>
      </c>
      <c r="F84" s="7">
        <f>(4.1+9.44+15.27)</f>
        <v>28.81</v>
      </c>
      <c r="G84" s="7">
        <f>(0+0+0.84)</f>
        <v>0.84</v>
      </c>
      <c r="H84" s="7">
        <v>19.079999999999998</v>
      </c>
      <c r="I84" s="7">
        <v>7.25</v>
      </c>
      <c r="J84" s="8">
        <v>7.5</v>
      </c>
      <c r="K84" s="8">
        <v>6.5</v>
      </c>
      <c r="L84" s="8">
        <v>7.5</v>
      </c>
      <c r="M84" s="7">
        <v>7.25</v>
      </c>
      <c r="N84" s="8">
        <v>10</v>
      </c>
      <c r="O84" s="10">
        <v>10</v>
      </c>
      <c r="P84" s="8">
        <v>7</v>
      </c>
      <c r="Q84" s="10">
        <v>10</v>
      </c>
      <c r="R84" s="7">
        <v>7.25</v>
      </c>
      <c r="S84" s="7">
        <v>80.25</v>
      </c>
      <c r="T84" s="5" t="s">
        <v>319</v>
      </c>
      <c r="U84" s="5" t="s">
        <v>320</v>
      </c>
      <c r="V84" s="5" t="s">
        <v>199</v>
      </c>
      <c r="W84" s="5" t="s">
        <v>33</v>
      </c>
      <c r="X84" s="5"/>
    </row>
    <row r="85" spans="1:24" x14ac:dyDescent="0.3">
      <c r="A85" s="5" t="s">
        <v>321</v>
      </c>
      <c r="B85" s="5" t="s">
        <v>26</v>
      </c>
      <c r="C85" s="5" t="s">
        <v>318</v>
      </c>
      <c r="D85" s="5">
        <v>6644000919</v>
      </c>
      <c r="E85" s="7">
        <f>(25.16+43.54)</f>
        <v>68.7</v>
      </c>
      <c r="F85" s="7">
        <f>(2.85+9.24+18.13)</f>
        <v>30.22</v>
      </c>
      <c r="G85" s="7">
        <f>(0+0.2+0.88)</f>
        <v>1.08</v>
      </c>
      <c r="H85" s="8">
        <v>18.600000000000001</v>
      </c>
      <c r="I85" s="8">
        <v>8</v>
      </c>
      <c r="J85" s="8">
        <v>7</v>
      </c>
      <c r="K85" s="8">
        <v>7</v>
      </c>
      <c r="L85" s="7">
        <v>7.75</v>
      </c>
      <c r="M85" s="8">
        <v>7.5</v>
      </c>
      <c r="N85" s="8">
        <v>10</v>
      </c>
      <c r="O85" s="10">
        <v>10</v>
      </c>
      <c r="P85" s="8">
        <v>7</v>
      </c>
      <c r="Q85" s="10">
        <v>10</v>
      </c>
      <c r="R85" s="8">
        <v>7</v>
      </c>
      <c r="S85" s="7">
        <v>81.25</v>
      </c>
      <c r="T85" s="5" t="s">
        <v>322</v>
      </c>
      <c r="U85" s="5" t="s">
        <v>252</v>
      </c>
      <c r="V85" s="5" t="s">
        <v>232</v>
      </c>
      <c r="W85" s="5" t="s">
        <v>33</v>
      </c>
      <c r="X85" s="5"/>
    </row>
    <row r="86" spans="1:24" x14ac:dyDescent="0.3">
      <c r="A86" s="5" t="s">
        <v>323</v>
      </c>
      <c r="B86" s="5" t="s">
        <v>26</v>
      </c>
      <c r="C86" s="5" t="s">
        <v>324</v>
      </c>
      <c r="D86" s="5">
        <v>6644000027</v>
      </c>
      <c r="E86" s="7">
        <f>(29.75+13.62)</f>
        <v>43.37</v>
      </c>
      <c r="F86" s="7">
        <f>(6.36+15.05+33.05)</f>
        <v>54.459999999999994</v>
      </c>
      <c r="G86" s="7">
        <f>(0+0.1+2.07)</f>
        <v>2.17</v>
      </c>
      <c r="H86" s="7">
        <v>18.920000000000002</v>
      </c>
      <c r="I86" s="7">
        <v>7.75</v>
      </c>
      <c r="J86" s="7">
        <v>7.25</v>
      </c>
      <c r="K86" s="8">
        <v>7.5</v>
      </c>
      <c r="L86" s="7">
        <v>7.75</v>
      </c>
      <c r="M86" s="7">
        <v>7.75</v>
      </c>
      <c r="N86" s="8">
        <v>10</v>
      </c>
      <c r="O86" s="10">
        <v>10</v>
      </c>
      <c r="P86" s="8">
        <v>7</v>
      </c>
      <c r="Q86" s="10">
        <v>10</v>
      </c>
      <c r="R86" s="7">
        <v>7.75</v>
      </c>
      <c r="S86" s="7">
        <v>82.75</v>
      </c>
      <c r="T86" s="5" t="s">
        <v>325</v>
      </c>
      <c r="U86" s="5" t="s">
        <v>326</v>
      </c>
      <c r="V86" s="5" t="s">
        <v>53</v>
      </c>
      <c r="W86" s="5" t="s">
        <v>179</v>
      </c>
      <c r="X86" s="5" t="s">
        <v>40</v>
      </c>
    </row>
    <row r="87" spans="1:24" x14ac:dyDescent="0.3">
      <c r="A87" s="5" t="s">
        <v>327</v>
      </c>
      <c r="B87" s="5" t="s">
        <v>26</v>
      </c>
      <c r="C87" s="5" t="s">
        <v>328</v>
      </c>
      <c r="D87" s="5">
        <v>6644000133</v>
      </c>
      <c r="E87" s="7">
        <f>(35.53+17.91)</f>
        <v>53.44</v>
      </c>
      <c r="F87" s="7">
        <f>(6.1+9.35+28.94)</f>
        <v>44.39</v>
      </c>
      <c r="G87" s="7">
        <f>(0.05+0.15+1.97)</f>
        <v>2.17</v>
      </c>
      <c r="H87" s="7">
        <v>18.72</v>
      </c>
      <c r="I87" s="8">
        <v>8.5</v>
      </c>
      <c r="J87" s="8">
        <v>8.5</v>
      </c>
      <c r="K87" s="8">
        <v>8.5</v>
      </c>
      <c r="L87" s="8">
        <v>8.5</v>
      </c>
      <c r="M87" s="8">
        <v>8.5</v>
      </c>
      <c r="N87" s="8">
        <v>10</v>
      </c>
      <c r="O87" s="10">
        <v>10</v>
      </c>
      <c r="P87" s="8">
        <v>8.5</v>
      </c>
      <c r="Q87" s="10">
        <v>10</v>
      </c>
      <c r="R87" s="8">
        <v>8.5</v>
      </c>
      <c r="S87" s="8">
        <v>89.5</v>
      </c>
      <c r="T87" s="5" t="s">
        <v>329</v>
      </c>
      <c r="U87" s="5" t="s">
        <v>330</v>
      </c>
      <c r="V87" s="5" t="s">
        <v>31</v>
      </c>
      <c r="W87" s="5" t="s">
        <v>331</v>
      </c>
      <c r="X87" s="5" t="s">
        <v>40</v>
      </c>
    </row>
    <row r="88" spans="1:24" x14ac:dyDescent="0.3">
      <c r="A88" s="5" t="s">
        <v>332</v>
      </c>
      <c r="B88" s="5" t="s">
        <v>26</v>
      </c>
      <c r="C88" s="5" t="s">
        <v>328</v>
      </c>
      <c r="D88" s="5">
        <v>6644000113</v>
      </c>
      <c r="E88" s="7">
        <f>(30.77+21.58)</f>
        <v>52.349999999999994</v>
      </c>
      <c r="F88" s="7">
        <f>(6.57+13.24+24.91)</f>
        <v>44.72</v>
      </c>
      <c r="G88" s="7">
        <f>(0.3+0.15+2.48)</f>
        <v>2.9299999999999997</v>
      </c>
      <c r="H88" s="7">
        <v>20.84</v>
      </c>
      <c r="I88" s="7">
        <v>8.75</v>
      </c>
      <c r="J88" s="8">
        <v>8</v>
      </c>
      <c r="K88" s="8">
        <v>8</v>
      </c>
      <c r="L88" s="7">
        <v>8.25</v>
      </c>
      <c r="M88" s="8">
        <v>8</v>
      </c>
      <c r="N88" s="8">
        <v>10</v>
      </c>
      <c r="O88" s="10">
        <v>10</v>
      </c>
      <c r="P88" s="8">
        <v>8</v>
      </c>
      <c r="Q88" s="10">
        <v>10</v>
      </c>
      <c r="R88" s="8">
        <v>8</v>
      </c>
      <c r="S88" s="8">
        <v>87</v>
      </c>
      <c r="T88" s="5" t="s">
        <v>333</v>
      </c>
      <c r="U88" s="5" t="s">
        <v>334</v>
      </c>
      <c r="V88" s="5" t="s">
        <v>335</v>
      </c>
      <c r="W88" s="5" t="s">
        <v>32</v>
      </c>
      <c r="X88" s="5" t="s">
        <v>43</v>
      </c>
    </row>
    <row r="89" spans="1:24" x14ac:dyDescent="0.3">
      <c r="A89" s="5" t="s">
        <v>336</v>
      </c>
      <c r="B89" s="5" t="s">
        <v>26</v>
      </c>
      <c r="C89" s="5" t="s">
        <v>337</v>
      </c>
      <c r="D89" s="5">
        <v>6644000464</v>
      </c>
      <c r="E89" s="7">
        <f>(26.76+38.81)</f>
        <v>65.570000000000007</v>
      </c>
      <c r="F89" s="7">
        <f>(4.17+9.24+16.06)</f>
        <v>29.47</v>
      </c>
      <c r="G89" s="7">
        <f>(1.1+0.7+3.16)</f>
        <v>4.96</v>
      </c>
      <c r="H89" s="7">
        <v>20.32</v>
      </c>
      <c r="I89" s="7">
        <v>6.75</v>
      </c>
      <c r="J89" s="7">
        <v>6.75</v>
      </c>
      <c r="K89" s="7">
        <v>6.75</v>
      </c>
      <c r="L89" s="7">
        <v>6.75</v>
      </c>
      <c r="M89" s="7">
        <v>6.75</v>
      </c>
      <c r="N89" s="8">
        <v>10</v>
      </c>
      <c r="O89" s="10">
        <v>10</v>
      </c>
      <c r="P89" s="7">
        <v>6.75</v>
      </c>
      <c r="Q89" s="10">
        <v>10</v>
      </c>
      <c r="R89" s="7">
        <v>6.75</v>
      </c>
      <c r="S89" s="7">
        <v>77.25</v>
      </c>
      <c r="T89" s="5" t="s">
        <v>338</v>
      </c>
      <c r="U89" s="5" t="s">
        <v>339</v>
      </c>
      <c r="V89" s="5" t="s">
        <v>340</v>
      </c>
      <c r="W89" s="5" t="s">
        <v>33</v>
      </c>
      <c r="X89" s="5"/>
    </row>
    <row r="90" spans="1:24" x14ac:dyDescent="0.3">
      <c r="A90" s="5" t="s">
        <v>345</v>
      </c>
      <c r="B90" s="5" t="s">
        <v>26</v>
      </c>
      <c r="C90" s="5" t="s">
        <v>341</v>
      </c>
      <c r="D90" s="5">
        <v>6644000331</v>
      </c>
      <c r="E90" s="7">
        <f>(26.59+16.29)</f>
        <v>42.879999999999995</v>
      </c>
      <c r="F90" s="7">
        <f>(6.5+17.54+29.69)</f>
        <v>53.730000000000004</v>
      </c>
      <c r="G90" s="7">
        <f>(0.05+0.35+3)</f>
        <v>3.4</v>
      </c>
      <c r="H90" s="7">
        <v>19.96</v>
      </c>
      <c r="I90" s="7">
        <v>6.75</v>
      </c>
      <c r="J90" s="7">
        <v>6.75</v>
      </c>
      <c r="K90" s="8">
        <v>7</v>
      </c>
      <c r="L90" s="8">
        <v>6.5</v>
      </c>
      <c r="M90" s="8">
        <v>7</v>
      </c>
      <c r="N90" s="8">
        <v>10</v>
      </c>
      <c r="O90" s="10">
        <v>10</v>
      </c>
      <c r="P90" s="7">
        <v>6.75</v>
      </c>
      <c r="Q90" s="10">
        <v>10</v>
      </c>
      <c r="R90" s="8">
        <v>7</v>
      </c>
      <c r="S90" s="7">
        <v>77.75</v>
      </c>
      <c r="T90" s="5" t="s">
        <v>342</v>
      </c>
      <c r="U90" s="5" t="s">
        <v>343</v>
      </c>
      <c r="V90" s="5" t="s">
        <v>344</v>
      </c>
      <c r="W90" s="5" t="s">
        <v>33</v>
      </c>
      <c r="X90" s="5"/>
    </row>
    <row r="91" spans="1:24" x14ac:dyDescent="0.3">
      <c r="A91" s="5" t="s">
        <v>346</v>
      </c>
      <c r="B91" s="5" t="s">
        <v>26</v>
      </c>
      <c r="C91" s="5" t="s">
        <v>347</v>
      </c>
      <c r="D91" s="5">
        <v>6644001422</v>
      </c>
      <c r="E91" s="7">
        <f>(33.08+30.85)</f>
        <v>63.93</v>
      </c>
      <c r="F91" s="7">
        <f>(5.17+9.6+19.5)</f>
        <v>34.269999999999996</v>
      </c>
      <c r="G91" s="7">
        <f>(0+0.2+1.59)</f>
        <v>1.79</v>
      </c>
      <c r="H91" s="8">
        <v>19.600000000000001</v>
      </c>
      <c r="I91" s="7">
        <v>7.25</v>
      </c>
      <c r="J91" s="7">
        <v>7.25</v>
      </c>
      <c r="K91" s="7">
        <v>7.25</v>
      </c>
      <c r="L91" s="7">
        <v>7.25</v>
      </c>
      <c r="M91" s="7">
        <v>7.25</v>
      </c>
      <c r="N91" s="8">
        <v>10</v>
      </c>
      <c r="O91" s="10">
        <v>10</v>
      </c>
      <c r="P91" s="7">
        <v>7.25</v>
      </c>
      <c r="Q91" s="10">
        <v>10</v>
      </c>
      <c r="R91" s="7">
        <v>7.25</v>
      </c>
      <c r="S91" s="7">
        <v>80.75</v>
      </c>
      <c r="T91" s="5" t="s">
        <v>348</v>
      </c>
      <c r="U91" s="5" t="s">
        <v>349</v>
      </c>
      <c r="V91" s="5" t="s">
        <v>60</v>
      </c>
      <c r="W91" s="5" t="s">
        <v>33</v>
      </c>
      <c r="X91" s="5" t="s">
        <v>43</v>
      </c>
    </row>
    <row r="92" spans="1:24" x14ac:dyDescent="0.3">
      <c r="A92" s="5" t="s">
        <v>350</v>
      </c>
      <c r="B92" s="5" t="s">
        <v>26</v>
      </c>
      <c r="C92" s="5" t="s">
        <v>347</v>
      </c>
      <c r="D92" s="5">
        <v>6644000168</v>
      </c>
      <c r="E92" s="7">
        <f>(28.03+29.79)</f>
        <v>57.82</v>
      </c>
      <c r="F92" s="7">
        <f>(5.82+12.49+20.51)</f>
        <v>38.820000000000007</v>
      </c>
      <c r="G92" s="7">
        <f>(0.1+0.35+2.91)</f>
        <v>3.3600000000000003</v>
      </c>
      <c r="H92" s="7">
        <v>20.239999999999998</v>
      </c>
      <c r="I92" s="8">
        <v>8</v>
      </c>
      <c r="J92" s="7">
        <v>7.75</v>
      </c>
      <c r="K92" s="8">
        <v>7.5</v>
      </c>
      <c r="L92" s="7">
        <v>7.75</v>
      </c>
      <c r="M92" s="7">
        <v>7.75</v>
      </c>
      <c r="N92" s="8">
        <v>10</v>
      </c>
      <c r="O92" s="10">
        <v>10</v>
      </c>
      <c r="P92" s="8">
        <v>7</v>
      </c>
      <c r="Q92" s="10">
        <v>10</v>
      </c>
      <c r="R92" s="7">
        <v>7.25</v>
      </c>
      <c r="S92" s="8">
        <v>83</v>
      </c>
      <c r="T92" s="5" t="s">
        <v>351</v>
      </c>
      <c r="U92" s="5" t="s">
        <v>53</v>
      </c>
      <c r="V92" s="5" t="s">
        <v>53</v>
      </c>
      <c r="W92" s="5" t="s">
        <v>32</v>
      </c>
      <c r="X92" s="5" t="s">
        <v>40</v>
      </c>
    </row>
    <row r="93" spans="1:24" x14ac:dyDescent="0.3">
      <c r="A93" s="5" t="s">
        <v>352</v>
      </c>
      <c r="B93" s="5" t="s">
        <v>26</v>
      </c>
      <c r="C93" s="5" t="s">
        <v>347</v>
      </c>
      <c r="D93" s="5">
        <v>6644001418</v>
      </c>
      <c r="E93" s="7">
        <f>(29.89+19.83)</f>
        <v>49.72</v>
      </c>
      <c r="F93" s="7">
        <f>(7.46+12.82+27.44)</f>
        <v>47.72</v>
      </c>
      <c r="G93" s="7">
        <f>(0.15+0.4+2)</f>
        <v>2.5499999999999998</v>
      </c>
      <c r="H93" s="7">
        <v>20.12</v>
      </c>
      <c r="I93" s="8">
        <v>8</v>
      </c>
      <c r="J93" s="8">
        <v>7</v>
      </c>
      <c r="K93" s="8">
        <v>7</v>
      </c>
      <c r="L93" s="8">
        <v>7</v>
      </c>
      <c r="M93" s="8">
        <v>7</v>
      </c>
      <c r="N93" s="8">
        <v>10</v>
      </c>
      <c r="O93" s="10">
        <v>10</v>
      </c>
      <c r="P93" s="8">
        <v>7</v>
      </c>
      <c r="Q93" s="10">
        <v>10</v>
      </c>
      <c r="R93" s="8">
        <v>7</v>
      </c>
      <c r="S93" s="8">
        <v>80</v>
      </c>
      <c r="T93" s="5" t="s">
        <v>353</v>
      </c>
      <c r="U93" s="5" t="s">
        <v>354</v>
      </c>
      <c r="V93" s="5" t="s">
        <v>39</v>
      </c>
      <c r="W93" s="5" t="s">
        <v>355</v>
      </c>
      <c r="X93" s="5"/>
    </row>
    <row r="94" spans="1:24" x14ac:dyDescent="0.3">
      <c r="A94" s="5" t="s">
        <v>25</v>
      </c>
      <c r="B94" s="5" t="s">
        <v>26</v>
      </c>
      <c r="C94" s="5" t="s">
        <v>347</v>
      </c>
      <c r="D94" s="5">
        <v>6644000400</v>
      </c>
      <c r="E94" s="7">
        <f>(29.49+38.54)</f>
        <v>68.03</v>
      </c>
      <c r="F94" s="7">
        <f>(2.53+8.69+19.65)</f>
        <v>30.869999999999997</v>
      </c>
      <c r="G94" s="7">
        <f>(0+0+1.11)</f>
        <v>1.1100000000000001</v>
      </c>
      <c r="H94" s="8">
        <v>20.8</v>
      </c>
      <c r="I94" s="8">
        <v>7</v>
      </c>
      <c r="J94" s="8">
        <v>7</v>
      </c>
      <c r="K94" s="8">
        <v>7</v>
      </c>
      <c r="L94" s="8">
        <v>7</v>
      </c>
      <c r="M94" s="8">
        <v>7</v>
      </c>
      <c r="N94" s="8">
        <v>10</v>
      </c>
      <c r="O94" s="10">
        <v>10</v>
      </c>
      <c r="P94" s="8">
        <v>7</v>
      </c>
      <c r="Q94" s="10">
        <v>10</v>
      </c>
      <c r="R94" s="8">
        <v>7</v>
      </c>
      <c r="S94" s="8">
        <v>79</v>
      </c>
      <c r="T94" s="5" t="s">
        <v>356</v>
      </c>
      <c r="U94" s="5" t="s">
        <v>357</v>
      </c>
      <c r="V94" s="5" t="s">
        <v>90</v>
      </c>
      <c r="W94" s="5"/>
      <c r="X94" s="5"/>
    </row>
    <row r="95" spans="1:24" x14ac:dyDescent="0.3">
      <c r="A95" s="5" t="s">
        <v>358</v>
      </c>
      <c r="B95" s="5" t="s">
        <v>26</v>
      </c>
      <c r="C95" s="5" t="s">
        <v>347</v>
      </c>
      <c r="D95" s="5">
        <v>6644000350</v>
      </c>
      <c r="E95" s="7">
        <f>(24.07+14.98)</f>
        <v>39.049999999999997</v>
      </c>
      <c r="F95" s="7">
        <f>(6.25+17.22+31.89)</f>
        <v>55.36</v>
      </c>
      <c r="G95" s="7">
        <f>(0.61+1.17+3.81)</f>
        <v>5.59</v>
      </c>
      <c r="H95" s="7">
        <v>21.24</v>
      </c>
      <c r="I95" s="8">
        <v>8</v>
      </c>
      <c r="J95" s="8">
        <v>8</v>
      </c>
      <c r="K95" s="8">
        <v>8</v>
      </c>
      <c r="L95" s="8">
        <v>8</v>
      </c>
      <c r="M95" s="8">
        <v>8</v>
      </c>
      <c r="N95" s="8">
        <v>10</v>
      </c>
      <c r="O95" s="10">
        <v>10</v>
      </c>
      <c r="P95" s="7">
        <v>7.75</v>
      </c>
      <c r="Q95" s="10">
        <v>10</v>
      </c>
      <c r="R95" s="7">
        <v>7.75</v>
      </c>
      <c r="S95" s="8">
        <v>85.5</v>
      </c>
      <c r="T95" s="5" t="s">
        <v>359</v>
      </c>
      <c r="U95" s="5" t="s">
        <v>110</v>
      </c>
      <c r="V95" s="5" t="s">
        <v>335</v>
      </c>
      <c r="W95" s="5" t="s">
        <v>32</v>
      </c>
      <c r="X95" s="5" t="s">
        <v>43</v>
      </c>
    </row>
    <row r="96" spans="1:24" x14ac:dyDescent="0.3">
      <c r="A96" s="5" t="s">
        <v>360</v>
      </c>
      <c r="B96" s="5" t="s">
        <v>26</v>
      </c>
      <c r="C96" s="5" t="s">
        <v>347</v>
      </c>
      <c r="D96" s="5">
        <v>6644001410</v>
      </c>
      <c r="E96" s="7">
        <f>(23.08+11.74)</f>
        <v>34.82</v>
      </c>
      <c r="F96" s="7">
        <f>(9.87+18.27+29.91)</f>
        <v>58.05</v>
      </c>
      <c r="G96" s="7">
        <f>(0.46+1.16+5.52)</f>
        <v>7.14</v>
      </c>
      <c r="H96" s="7">
        <v>20.96</v>
      </c>
      <c r="I96" s="8">
        <v>7</v>
      </c>
      <c r="J96" s="8">
        <v>7</v>
      </c>
      <c r="K96" s="8">
        <v>7</v>
      </c>
      <c r="L96" s="8">
        <v>7</v>
      </c>
      <c r="M96" s="8">
        <v>7</v>
      </c>
      <c r="N96" s="8">
        <v>10</v>
      </c>
      <c r="O96" s="10">
        <v>10</v>
      </c>
      <c r="P96" s="8">
        <v>7</v>
      </c>
      <c r="Q96" s="10">
        <v>10</v>
      </c>
      <c r="R96" s="8">
        <v>7</v>
      </c>
      <c r="S96" s="8">
        <v>79</v>
      </c>
      <c r="T96" s="5" t="s">
        <v>361</v>
      </c>
      <c r="U96" s="5" t="s">
        <v>362</v>
      </c>
      <c r="V96" s="5" t="s">
        <v>53</v>
      </c>
      <c r="W96" s="5" t="s">
        <v>33</v>
      </c>
      <c r="X96" s="5"/>
    </row>
    <row r="97" spans="1:24" x14ac:dyDescent="0.3">
      <c r="A97" s="5" t="s">
        <v>363</v>
      </c>
      <c r="B97" s="5" t="s">
        <v>26</v>
      </c>
      <c r="C97" s="5" t="s">
        <v>347</v>
      </c>
      <c r="D97" s="5">
        <v>6644000388</v>
      </c>
      <c r="E97" s="7">
        <f>(32.36+13.34)</f>
        <v>45.7</v>
      </c>
      <c r="F97" s="7">
        <f>(6.08+12.15+31.87)</f>
        <v>50.1</v>
      </c>
      <c r="G97" s="7">
        <f>(0.1+0.4+3.71)</f>
        <v>4.21</v>
      </c>
      <c r="H97" s="7">
        <v>19.04</v>
      </c>
      <c r="I97" s="7">
        <v>7.75</v>
      </c>
      <c r="J97" s="7">
        <v>7.75</v>
      </c>
      <c r="K97" s="7">
        <v>7.75</v>
      </c>
      <c r="L97" s="7">
        <v>7.75</v>
      </c>
      <c r="M97" s="7">
        <v>7.75</v>
      </c>
      <c r="N97" s="8">
        <v>10</v>
      </c>
      <c r="O97" s="10">
        <v>10</v>
      </c>
      <c r="P97" s="7">
        <v>7.75</v>
      </c>
      <c r="Q97" s="10">
        <v>10</v>
      </c>
      <c r="R97" s="7">
        <v>7.75</v>
      </c>
      <c r="S97" s="7">
        <v>84.25</v>
      </c>
      <c r="T97" s="5" t="s">
        <v>364</v>
      </c>
      <c r="U97" s="5" t="s">
        <v>53</v>
      </c>
      <c r="V97" s="5" t="s">
        <v>39</v>
      </c>
      <c r="W97" s="5" t="s">
        <v>33</v>
      </c>
      <c r="X97" s="5"/>
    </row>
    <row r="98" spans="1:24" x14ac:dyDescent="0.3">
      <c r="A98" s="5" t="s">
        <v>365</v>
      </c>
      <c r="B98" s="5" t="s">
        <v>26</v>
      </c>
      <c r="C98" s="5" t="s">
        <v>347</v>
      </c>
      <c r="D98" s="5">
        <v>6644000381</v>
      </c>
      <c r="E98" s="7">
        <f>(33.05+11.85)</f>
        <v>44.9</v>
      </c>
      <c r="F98" s="7">
        <f>(7.07+13.74+32.35)</f>
        <v>53.160000000000004</v>
      </c>
      <c r="G98" s="7">
        <f>(0+0.1+1.84)</f>
        <v>1.9400000000000002</v>
      </c>
      <c r="H98" s="7">
        <v>19.64</v>
      </c>
      <c r="I98" s="8">
        <v>7</v>
      </c>
      <c r="J98" s="8">
        <v>7</v>
      </c>
      <c r="K98" s="8">
        <v>7</v>
      </c>
      <c r="L98" s="8">
        <v>7</v>
      </c>
      <c r="M98" s="8">
        <v>7</v>
      </c>
      <c r="N98" s="8">
        <v>10</v>
      </c>
      <c r="O98" s="10">
        <v>10</v>
      </c>
      <c r="P98" s="8">
        <v>7</v>
      </c>
      <c r="Q98" s="10">
        <v>10</v>
      </c>
      <c r="R98" s="8">
        <v>7</v>
      </c>
      <c r="S98" s="8">
        <v>79</v>
      </c>
      <c r="T98" s="5" t="s">
        <v>366</v>
      </c>
      <c r="U98" s="5" t="s">
        <v>367</v>
      </c>
      <c r="V98" s="5" t="s">
        <v>61</v>
      </c>
      <c r="W98" s="5"/>
      <c r="X98" s="5"/>
    </row>
    <row r="99" spans="1:24" x14ac:dyDescent="0.3">
      <c r="A99" s="5" t="s">
        <v>368</v>
      </c>
      <c r="B99" s="5" t="s">
        <v>26</v>
      </c>
      <c r="C99" s="5" t="s">
        <v>347</v>
      </c>
      <c r="D99" s="5">
        <v>6644001807</v>
      </c>
      <c r="E99" s="7">
        <f>(29.11+15.28)</f>
        <v>44.39</v>
      </c>
      <c r="F99" s="7">
        <f>(4.96+15.88+32.06)</f>
        <v>52.900000000000006</v>
      </c>
      <c r="G99" s="7">
        <f>(0.1+0.6+2)</f>
        <v>2.7</v>
      </c>
      <c r="H99" s="7">
        <v>20.16</v>
      </c>
      <c r="I99" s="8">
        <v>7.5</v>
      </c>
      <c r="J99" s="8">
        <v>7.5</v>
      </c>
      <c r="K99" s="8">
        <v>7.5</v>
      </c>
      <c r="L99" s="8">
        <v>7.5</v>
      </c>
      <c r="M99" s="8">
        <v>7.5</v>
      </c>
      <c r="N99" s="8">
        <v>10</v>
      </c>
      <c r="O99" s="10">
        <v>10</v>
      </c>
      <c r="P99" s="8">
        <v>7.5</v>
      </c>
      <c r="Q99" s="10">
        <v>10</v>
      </c>
      <c r="R99" s="8">
        <v>7.5</v>
      </c>
      <c r="S99" s="8">
        <v>82.5</v>
      </c>
      <c r="T99" s="5" t="s">
        <v>369</v>
      </c>
      <c r="U99" s="5" t="s">
        <v>110</v>
      </c>
      <c r="V99" s="5" t="s">
        <v>370</v>
      </c>
      <c r="W99" s="5" t="s">
        <v>140</v>
      </c>
      <c r="X99" s="5" t="s">
        <v>43</v>
      </c>
    </row>
    <row r="100" spans="1:24" x14ac:dyDescent="0.3">
      <c r="A100" s="5"/>
      <c r="B100" s="5"/>
      <c r="C100" s="5"/>
      <c r="D100" s="5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5"/>
      <c r="U100" s="5"/>
      <c r="V100" s="5"/>
      <c r="W100" s="5"/>
      <c r="X100" s="5"/>
    </row>
    <row r="101" spans="1:24" x14ac:dyDescent="0.3">
      <c r="A101" s="5"/>
      <c r="B101" s="5"/>
      <c r="C101" s="5"/>
      <c r="D101" s="5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5"/>
      <c r="U101" s="5"/>
      <c r="V101" s="5"/>
      <c r="W101" s="5"/>
      <c r="X101" s="5"/>
    </row>
    <row r="102" spans="1:24" x14ac:dyDescent="0.3">
      <c r="A102" s="5"/>
      <c r="B102" s="5"/>
      <c r="C102" s="5"/>
      <c r="D102" s="5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5"/>
      <c r="U102" s="5"/>
      <c r="V102" s="5"/>
      <c r="W102" s="5"/>
      <c r="X102" s="5"/>
    </row>
    <row r="103" spans="1:24" x14ac:dyDescent="0.3">
      <c r="A103" s="5"/>
      <c r="B103" s="5"/>
      <c r="C103" s="5"/>
      <c r="D103" s="5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5"/>
      <c r="U103" s="5"/>
      <c r="V103" s="5"/>
      <c r="W103" s="5"/>
      <c r="X103" s="5"/>
    </row>
    <row r="104" spans="1:24" x14ac:dyDescent="0.3">
      <c r="A104" s="5"/>
      <c r="B104" s="5"/>
      <c r="C104" s="5"/>
      <c r="D104" s="5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5"/>
      <c r="U104" s="5"/>
      <c r="V104" s="5"/>
      <c r="W104" s="5"/>
      <c r="X104" s="5"/>
    </row>
    <row r="105" spans="1:24" x14ac:dyDescent="0.3">
      <c r="A105" s="5"/>
      <c r="B105" s="5"/>
      <c r="C105" s="5"/>
      <c r="D105" s="5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5"/>
      <c r="U105" s="5"/>
      <c r="V105" s="5"/>
      <c r="W105" s="5"/>
      <c r="X105" s="5"/>
    </row>
    <row r="106" spans="1:24" x14ac:dyDescent="0.3">
      <c r="A106" s="5"/>
      <c r="B106" s="5"/>
      <c r="C106" s="5"/>
      <c r="D106" s="5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5"/>
      <c r="U106" s="5"/>
      <c r="V106" s="5"/>
      <c r="W106" s="5"/>
      <c r="X106" s="5"/>
    </row>
    <row r="107" spans="1:24" x14ac:dyDescent="0.3">
      <c r="A107" s="5"/>
      <c r="B107" s="5"/>
      <c r="C107" s="5"/>
      <c r="D107" s="5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5"/>
      <c r="U107" s="5"/>
      <c r="V107" s="5"/>
      <c r="W107" s="5"/>
      <c r="X107" s="5"/>
    </row>
    <row r="108" spans="1:24" x14ac:dyDescent="0.3">
      <c r="A108" s="5"/>
      <c r="B108" s="5"/>
      <c r="C108" s="5"/>
      <c r="D108" s="5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5"/>
      <c r="U108" s="5"/>
      <c r="V108" s="5"/>
      <c r="W108" s="5"/>
      <c r="X108" s="5"/>
    </row>
    <row r="109" spans="1:24" x14ac:dyDescent="0.3">
      <c r="A109" s="5"/>
      <c r="B109" s="5"/>
      <c r="C109" s="5"/>
      <c r="D109" s="5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5"/>
      <c r="U109" s="5"/>
      <c r="V109" s="5"/>
      <c r="W109" s="5"/>
      <c r="X109" s="5"/>
    </row>
    <row r="110" spans="1:24" x14ac:dyDescent="0.3">
      <c r="A110" s="5"/>
      <c r="B110" s="5"/>
      <c r="C110" s="5"/>
      <c r="D110" s="5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5"/>
      <c r="U110" s="5"/>
      <c r="V110" s="5"/>
      <c r="W110" s="5"/>
      <c r="X110" s="5"/>
    </row>
    <row r="111" spans="1:24" x14ac:dyDescent="0.3">
      <c r="A111" s="5"/>
      <c r="B111" s="5"/>
      <c r="C111" s="5"/>
      <c r="D111" s="5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5"/>
      <c r="U111" s="5"/>
      <c r="V111" s="5"/>
      <c r="W111" s="5"/>
      <c r="X111" s="5"/>
    </row>
    <row r="112" spans="1:24" x14ac:dyDescent="0.3">
      <c r="A112" s="5"/>
      <c r="B112" s="5"/>
      <c r="C112" s="5"/>
      <c r="D112" s="5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5"/>
      <c r="U112" s="5"/>
      <c r="V112" s="5"/>
      <c r="W112" s="5"/>
      <c r="X112" s="5"/>
    </row>
    <row r="113" spans="1:24" x14ac:dyDescent="0.3">
      <c r="A113" s="5"/>
      <c r="B113" s="5"/>
      <c r="C113" s="5"/>
      <c r="D113" s="5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5"/>
      <c r="U113" s="5"/>
      <c r="V113" s="5"/>
      <c r="W113" s="5"/>
      <c r="X113" s="5"/>
    </row>
    <row r="114" spans="1:24" x14ac:dyDescent="0.3">
      <c r="A114" s="5"/>
      <c r="B114" s="5"/>
      <c r="C114" s="5"/>
      <c r="D114" s="5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5"/>
      <c r="U114" s="5"/>
      <c r="V114" s="5"/>
      <c r="W114" s="5"/>
      <c r="X114" s="5"/>
    </row>
    <row r="115" spans="1:24" x14ac:dyDescent="0.3">
      <c r="A115" s="5"/>
      <c r="B115" s="5"/>
      <c r="C115" s="5"/>
      <c r="D115" s="5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5"/>
      <c r="U115" s="5"/>
      <c r="V115" s="5"/>
      <c r="W115" s="5"/>
      <c r="X115" s="5"/>
    </row>
    <row r="116" spans="1:24" x14ac:dyDescent="0.3">
      <c r="A116" s="5"/>
      <c r="B116" s="5"/>
      <c r="C116" s="5"/>
      <c r="D116" s="5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5"/>
      <c r="U116" s="5"/>
      <c r="V116" s="5"/>
      <c r="W116" s="5"/>
      <c r="X116" s="5"/>
    </row>
    <row r="117" spans="1:24" x14ac:dyDescent="0.3">
      <c r="A117" s="5"/>
      <c r="B117" s="5"/>
      <c r="C117" s="5"/>
      <c r="D117" s="5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5"/>
      <c r="U117" s="5"/>
      <c r="V117" s="5"/>
      <c r="W117" s="5"/>
      <c r="X117" s="5"/>
    </row>
    <row r="118" spans="1:24" x14ac:dyDescent="0.3">
      <c r="A118" s="5"/>
      <c r="B118" s="5"/>
      <c r="C118" s="5"/>
      <c r="D118" s="5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5"/>
      <c r="U118" s="5"/>
      <c r="V118" s="5"/>
      <c r="W118" s="5"/>
      <c r="X118" s="5"/>
    </row>
    <row r="119" spans="1:24" x14ac:dyDescent="0.3">
      <c r="A119" s="5"/>
      <c r="B119" s="5"/>
      <c r="C119" s="5"/>
      <c r="D119" s="5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5"/>
      <c r="U119" s="5"/>
      <c r="V119" s="5"/>
      <c r="W119" s="5"/>
      <c r="X119" s="5"/>
    </row>
    <row r="120" spans="1:24" x14ac:dyDescent="0.3">
      <c r="A120" s="5"/>
      <c r="B120" s="5"/>
      <c r="C120" s="5"/>
      <c r="D120" s="5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5"/>
      <c r="U120" s="5"/>
      <c r="V120" s="5"/>
      <c r="W120" s="5"/>
      <c r="X120" s="5"/>
    </row>
    <row r="121" spans="1:24" x14ac:dyDescent="0.3">
      <c r="A121" s="5"/>
      <c r="B121" s="5"/>
      <c r="C121" s="5"/>
      <c r="D121" s="5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5"/>
      <c r="U121" s="5"/>
      <c r="V121" s="5"/>
      <c r="W121" s="5"/>
      <c r="X121" s="5"/>
    </row>
    <row r="122" spans="1:24" x14ac:dyDescent="0.3">
      <c r="A122" s="5"/>
      <c r="B122" s="5"/>
      <c r="C122" s="5"/>
      <c r="D122" s="5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5"/>
      <c r="U122" s="5"/>
      <c r="V122" s="5"/>
      <c r="W122" s="5"/>
      <c r="X122" s="5"/>
    </row>
    <row r="123" spans="1:24" x14ac:dyDescent="0.3"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1:24" x14ac:dyDescent="0.3">
      <c r="E124" s="1"/>
      <c r="F124" s="1"/>
      <c r="G124" s="1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5" spans="1:24" x14ac:dyDescent="0.3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24" x14ac:dyDescent="0.3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24" x14ac:dyDescent="0.3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24" x14ac:dyDescent="0.3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5:19" x14ac:dyDescent="0.3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5:19" x14ac:dyDescent="0.3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5:19" x14ac:dyDescent="0.3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5:19" x14ac:dyDescent="0.3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5:19" x14ac:dyDescent="0.3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5:19" x14ac:dyDescent="0.3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5:19" x14ac:dyDescent="0.3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5:19" x14ac:dyDescent="0.3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5:19" x14ac:dyDescent="0.3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5:19" x14ac:dyDescent="0.3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5:19" x14ac:dyDescent="0.3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5:19" x14ac:dyDescent="0.3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5:19" x14ac:dyDescent="0.3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5:19" x14ac:dyDescent="0.3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5:19" x14ac:dyDescent="0.3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5:19" x14ac:dyDescent="0.3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5:19" x14ac:dyDescent="0.3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5:19" x14ac:dyDescent="0.3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5:19" x14ac:dyDescent="0.3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5:19" x14ac:dyDescent="0.3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5:19" x14ac:dyDescent="0.3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5:19" x14ac:dyDescent="0.3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5:19" x14ac:dyDescent="0.3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5:19" x14ac:dyDescent="0.3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5:19" x14ac:dyDescent="0.3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5:19" x14ac:dyDescent="0.3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5:19" x14ac:dyDescent="0.3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5:19" x14ac:dyDescent="0.3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5:19" x14ac:dyDescent="0.3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5:19" x14ac:dyDescent="0.3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5:19" x14ac:dyDescent="0.3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5:19" x14ac:dyDescent="0.3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5:19" x14ac:dyDescent="0.3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5:19" x14ac:dyDescent="0.3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5:19" x14ac:dyDescent="0.3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5:19" x14ac:dyDescent="0.3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5:19" x14ac:dyDescent="0.3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5:19" x14ac:dyDescent="0.3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5:19" x14ac:dyDescent="0.3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5:19" x14ac:dyDescent="0.3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5:19" x14ac:dyDescent="0.3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5:19" x14ac:dyDescent="0.3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5:19" x14ac:dyDescent="0.3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5:19" x14ac:dyDescent="0.3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5:19" x14ac:dyDescent="0.3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5:19" x14ac:dyDescent="0.3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5:19" x14ac:dyDescent="0.3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5:19" x14ac:dyDescent="0.3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5:19" x14ac:dyDescent="0.3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5:19" x14ac:dyDescent="0.3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5:19" x14ac:dyDescent="0.3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5:19" x14ac:dyDescent="0.3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5:19" x14ac:dyDescent="0.3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5:19" x14ac:dyDescent="0.3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5:19" x14ac:dyDescent="0.3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5:19" x14ac:dyDescent="0.3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5:19" x14ac:dyDescent="0.3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5:19" x14ac:dyDescent="0.3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5:19" x14ac:dyDescent="0.3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5:19" x14ac:dyDescent="0.3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5:19" x14ac:dyDescent="0.3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5:19" x14ac:dyDescent="0.3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5:19" x14ac:dyDescent="0.3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5:19" x14ac:dyDescent="0.3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5:19" x14ac:dyDescent="0.3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5:19" x14ac:dyDescent="0.3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5:19" x14ac:dyDescent="0.3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5:19" x14ac:dyDescent="0.3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5:19" x14ac:dyDescent="0.3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5:19" x14ac:dyDescent="0.3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5:19" x14ac:dyDescent="0.3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5:19" x14ac:dyDescent="0.3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5:19" x14ac:dyDescent="0.3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5:19" x14ac:dyDescent="0.3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5:19" x14ac:dyDescent="0.3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5:19" x14ac:dyDescent="0.3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5:19" x14ac:dyDescent="0.3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5:19" x14ac:dyDescent="0.3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5:19" x14ac:dyDescent="0.3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5:19" x14ac:dyDescent="0.3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5:19" x14ac:dyDescent="0.3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5:19" x14ac:dyDescent="0.3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5:19" x14ac:dyDescent="0.3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5:19" x14ac:dyDescent="0.3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</sheetData>
  <mergeCells count="11">
    <mergeCell ref="D3:D4"/>
    <mergeCell ref="I3:S3"/>
    <mergeCell ref="A1:X1"/>
    <mergeCell ref="A2:D2"/>
    <mergeCell ref="E2:H2"/>
    <mergeCell ref="I2:X2"/>
    <mergeCell ref="E3:G3"/>
    <mergeCell ref="T3:X3"/>
    <mergeCell ref="A3:A4"/>
    <mergeCell ref="B3:B4"/>
    <mergeCell ref="C3:C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Creg1</dc:creator>
  <cp:lastModifiedBy>Thibault Schowing</cp:lastModifiedBy>
  <dcterms:created xsi:type="dcterms:W3CDTF">2010-03-12T15:47:03Z</dcterms:created>
  <dcterms:modified xsi:type="dcterms:W3CDTF">2017-05-11T13:39:03Z</dcterms:modified>
</cp:coreProperties>
</file>