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360" windowWidth="15480" windowHeight="11580" tabRatio="938" activeTab="6"/>
  </bookViews>
  <sheets>
    <sheet name="0_ENTREE LOGICIEL" sheetId="20" r:id="rId1"/>
    <sheet name="1_Valeur_Référence" sheetId="16" r:id="rId2"/>
    <sheet name="2_Traitement_GAZ" sheetId="10" r:id="rId3"/>
    <sheet name="2_Traitement_ELEC" sheetId="18" r:id="rId4"/>
    <sheet name="2_Traitement_EAU" sheetId="19" r:id="rId5"/>
    <sheet name="2_TRAITEMENT_METEO" sheetId="21" r:id="rId6"/>
    <sheet name="3_SORTIE_LOGICIEL" sheetId="11" r:id="rId7"/>
  </sheets>
  <definedNames>
    <definedName name="Mois">'0_ENTREE LOGICIEL'!$S$2:$S$14</definedName>
    <definedName name="Semaine">'0_ENTREE LOGICIEL'!$M$3:$P$12,'0_ENTREE LOGICIEL'!#REF!</definedName>
  </definedNames>
  <calcPr calcId="145621"/>
</workbook>
</file>

<file path=xl/calcChain.xml><?xml version="1.0" encoding="utf-8"?>
<calcChain xmlns="http://schemas.openxmlformats.org/spreadsheetml/2006/main">
  <c r="H5" i="16" l="1"/>
  <c r="O4" i="16"/>
  <c r="O4" i="20" s="1"/>
  <c r="O5" i="16"/>
  <c r="O6" i="16"/>
  <c r="O7" i="16"/>
  <c r="O8" i="16"/>
  <c r="O9" i="16"/>
  <c r="O10" i="16"/>
  <c r="O11" i="16"/>
  <c r="O12" i="16"/>
  <c r="O13" i="16"/>
  <c r="O14" i="16"/>
  <c r="O14" i="20" s="1"/>
  <c r="O3" i="16"/>
  <c r="O3" i="20" s="1"/>
  <c r="H6" i="16"/>
  <c r="O5" i="20"/>
  <c r="O6" i="20"/>
  <c r="O7" i="20"/>
  <c r="H5" i="20" s="1"/>
  <c r="O8" i="20"/>
  <c r="O9" i="20"/>
  <c r="O10" i="20"/>
  <c r="O11" i="20"/>
  <c r="O12" i="20"/>
  <c r="O13" i="20"/>
  <c r="G4" i="19"/>
  <c r="C193" i="16"/>
  <c r="C192" i="16"/>
  <c r="L3" i="16"/>
  <c r="G5" i="20"/>
  <c r="G5" i="11" s="1"/>
  <c r="G4" i="20"/>
  <c r="G4" i="21" s="1"/>
  <c r="H4" i="20"/>
  <c r="H4" i="16" s="1"/>
  <c r="G5" i="21" l="1"/>
  <c r="G5" i="19"/>
  <c r="G4" i="10"/>
  <c r="G5" i="18"/>
  <c r="G4" i="18"/>
  <c r="G5" i="16"/>
  <c r="G5" i="10"/>
  <c r="G4" i="11"/>
  <c r="G4" i="16"/>
  <c r="L14" i="16"/>
  <c r="L13" i="16"/>
  <c r="L12" i="16"/>
  <c r="L11" i="16"/>
  <c r="L10" i="16"/>
  <c r="L9" i="16"/>
  <c r="L8" i="16"/>
  <c r="L7" i="16"/>
  <c r="L6" i="16"/>
  <c r="L5" i="16"/>
  <c r="L4" i="16"/>
  <c r="N192" i="16"/>
  <c r="N193" i="16" s="1"/>
  <c r="M192" i="16"/>
  <c r="M193" i="16" s="1"/>
  <c r="L192" i="16"/>
  <c r="L193" i="16" s="1"/>
  <c r="K192" i="16"/>
  <c r="K193" i="16" s="1"/>
  <c r="J192" i="16"/>
  <c r="J193" i="16" s="1"/>
  <c r="I192" i="16"/>
  <c r="I193" i="16" s="1"/>
  <c r="H192" i="16"/>
  <c r="H193" i="16" s="1"/>
  <c r="G192" i="16"/>
  <c r="G193" i="16" s="1"/>
  <c r="F192" i="16"/>
  <c r="F193" i="16" s="1"/>
  <c r="E192" i="16"/>
  <c r="E193" i="16" s="1"/>
  <c r="D192" i="16"/>
  <c r="D193" i="16" s="1"/>
  <c r="E26" i="18" l="1"/>
  <c r="F26" i="18"/>
  <c r="E27" i="18"/>
  <c r="F27" i="18"/>
  <c r="E28" i="18"/>
  <c r="F28" i="18"/>
  <c r="E29" i="18"/>
  <c r="F29" i="18"/>
  <c r="E30" i="18"/>
  <c r="F30" i="18"/>
  <c r="E31" i="18"/>
  <c r="F31" i="18"/>
  <c r="E32" i="18"/>
  <c r="F32" i="18"/>
  <c r="E33" i="18"/>
  <c r="F33" i="18"/>
  <c r="E34" i="18"/>
  <c r="F34" i="18"/>
  <c r="E35" i="18"/>
  <c r="F35" i="18"/>
  <c r="E36" i="18"/>
  <c r="F36" i="18"/>
  <c r="E37" i="18"/>
  <c r="F37" i="18"/>
  <c r="E38" i="18"/>
  <c r="F38" i="18"/>
  <c r="E40" i="18"/>
  <c r="F40" i="18"/>
  <c r="E41" i="18"/>
  <c r="F41" i="18"/>
  <c r="E42" i="18"/>
  <c r="F42" i="18"/>
  <c r="E43" i="18"/>
  <c r="F43" i="18"/>
  <c r="C43" i="18" s="1"/>
  <c r="E44" i="18"/>
  <c r="F44" i="18"/>
  <c r="E45" i="18"/>
  <c r="F45" i="18"/>
  <c r="C45" i="18" s="1"/>
  <c r="E46" i="18"/>
  <c r="F46" i="18"/>
  <c r="E47" i="18"/>
  <c r="F47" i="18"/>
  <c r="C47" i="18" s="1"/>
  <c r="E48" i="18"/>
  <c r="F48" i="18"/>
  <c r="E49" i="18"/>
  <c r="F49" i="18"/>
  <c r="C49" i="18" s="1"/>
  <c r="E50" i="18"/>
  <c r="F50" i="18"/>
  <c r="E51" i="18"/>
  <c r="F51" i="18"/>
  <c r="C51" i="18" s="1"/>
  <c r="E52" i="18"/>
  <c r="F52" i="18"/>
  <c r="E54" i="18"/>
  <c r="F54" i="18"/>
  <c r="C54" i="18" s="1"/>
  <c r="E55" i="18"/>
  <c r="F55" i="18"/>
  <c r="E56" i="18"/>
  <c r="F56" i="18"/>
  <c r="C56" i="18" s="1"/>
  <c r="E57" i="18"/>
  <c r="F57" i="18"/>
  <c r="E58" i="18"/>
  <c r="F58" i="18"/>
  <c r="C58" i="18" s="1"/>
  <c r="E59" i="18"/>
  <c r="F59" i="18"/>
  <c r="E60" i="18"/>
  <c r="F60" i="18"/>
  <c r="C60" i="18" s="1"/>
  <c r="E61" i="18"/>
  <c r="F61" i="18"/>
  <c r="E62" i="18"/>
  <c r="F62" i="18"/>
  <c r="C62" i="18" s="1"/>
  <c r="E63" i="18"/>
  <c r="F63" i="18"/>
  <c r="E64" i="18"/>
  <c r="F64" i="18"/>
  <c r="C64" i="18" s="1"/>
  <c r="E65" i="18"/>
  <c r="F65" i="18"/>
  <c r="E66" i="18"/>
  <c r="F66" i="18"/>
  <c r="C66" i="18" s="1"/>
  <c r="E68" i="18"/>
  <c r="F68" i="18"/>
  <c r="E69" i="18"/>
  <c r="F69" i="18"/>
  <c r="E70" i="18"/>
  <c r="F70" i="18"/>
  <c r="E71" i="18"/>
  <c r="F71" i="18"/>
  <c r="E72" i="18"/>
  <c r="F72" i="18"/>
  <c r="E73" i="18"/>
  <c r="F73" i="18"/>
  <c r="I24" i="18"/>
  <c r="C7" i="20"/>
  <c r="C12" i="20"/>
  <c r="C13" i="20"/>
  <c r="C14" i="20"/>
  <c r="C16" i="20" s="1"/>
  <c r="C15" i="20"/>
  <c r="C41" i="18" l="1"/>
  <c r="C65" i="18"/>
  <c r="C63" i="18"/>
  <c r="C61" i="18"/>
  <c r="C59" i="18"/>
  <c r="C57" i="18"/>
  <c r="C55" i="18"/>
  <c r="C52" i="18"/>
  <c r="C50" i="18"/>
  <c r="C48" i="18"/>
  <c r="C46" i="18"/>
  <c r="C44" i="18"/>
  <c r="C42" i="18"/>
  <c r="C40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73" i="18"/>
  <c r="C72" i="18"/>
  <c r="C71" i="18"/>
  <c r="C70" i="18"/>
  <c r="C69" i="18"/>
  <c r="C68" i="18"/>
  <c r="C7" i="19"/>
  <c r="C53" i="18" l="1"/>
  <c r="C67" i="18"/>
  <c r="C74" i="18" s="1"/>
  <c r="C39" i="18"/>
  <c r="D71" i="19"/>
  <c r="D66" i="19"/>
  <c r="D62" i="19"/>
  <c r="D58" i="19"/>
  <c r="D54" i="19"/>
  <c r="D49" i="19"/>
  <c r="D45" i="19"/>
  <c r="D29" i="19"/>
  <c r="D33" i="19"/>
  <c r="D37" i="19"/>
  <c r="D70" i="19"/>
  <c r="D65" i="19"/>
  <c r="D61" i="19"/>
  <c r="D57" i="19"/>
  <c r="D52" i="19"/>
  <c r="D48" i="19"/>
  <c r="D44" i="19"/>
  <c r="D40" i="19"/>
  <c r="D30" i="19"/>
  <c r="D34" i="19"/>
  <c r="D38" i="19"/>
  <c r="D73" i="19"/>
  <c r="D69" i="19"/>
  <c r="D64" i="19"/>
  <c r="D60" i="19"/>
  <c r="D56" i="19"/>
  <c r="D51" i="19"/>
  <c r="D47" i="19"/>
  <c r="D43" i="19"/>
  <c r="D27" i="19"/>
  <c r="D31" i="19"/>
  <c r="D35" i="19"/>
  <c r="D26" i="19"/>
  <c r="D72" i="19"/>
  <c r="D68" i="19"/>
  <c r="D63" i="19"/>
  <c r="D59" i="19"/>
  <c r="D55" i="19"/>
  <c r="D50" i="19"/>
  <c r="D46" i="19"/>
  <c r="D42" i="19"/>
  <c r="D28" i="19"/>
  <c r="D32" i="19"/>
  <c r="D36" i="19"/>
  <c r="D41" i="19"/>
  <c r="C7" i="18"/>
  <c r="C7" i="11"/>
  <c r="C7" i="10"/>
  <c r="C7" i="21"/>
  <c r="C7" i="16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73" i="19"/>
  <c r="F72" i="19"/>
  <c r="F71" i="19"/>
  <c r="F70" i="19"/>
  <c r="F69" i="19"/>
  <c r="F68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D26" i="18" l="1"/>
  <c r="D28" i="18"/>
  <c r="D29" i="18"/>
  <c r="D30" i="18"/>
  <c r="D31" i="18"/>
  <c r="D32" i="18"/>
  <c r="D33" i="18"/>
  <c r="D34" i="18"/>
  <c r="D36" i="18"/>
  <c r="D38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8" i="18"/>
  <c r="D69" i="18"/>
  <c r="D70" i="18"/>
  <c r="D71" i="18"/>
  <c r="D72" i="18"/>
  <c r="D73" i="18"/>
  <c r="D27" i="18"/>
  <c r="D35" i="18"/>
  <c r="D37" i="18"/>
  <c r="D39" i="18" l="1"/>
  <c r="D67" i="18"/>
  <c r="D74" i="18" s="1"/>
  <c r="D53" i="18"/>
  <c r="L76" i="11" l="1"/>
  <c r="I76" i="11"/>
  <c r="F76" i="11"/>
  <c r="C76" i="11"/>
  <c r="L75" i="11"/>
  <c r="I75" i="11"/>
  <c r="F75" i="11"/>
  <c r="C75" i="11"/>
  <c r="H24" i="19"/>
  <c r="G24" i="19"/>
  <c r="B7" i="10" l="1"/>
  <c r="B7" i="18"/>
  <c r="D24" i="18" s="1"/>
  <c r="B7" i="19"/>
  <c r="D24" i="19" s="1"/>
  <c r="B7" i="21"/>
  <c r="B7" i="11"/>
  <c r="B7" i="16"/>
  <c r="B8" i="10"/>
  <c r="B8" i="18"/>
  <c r="B8" i="19"/>
  <c r="B8" i="21"/>
  <c r="B8" i="11"/>
  <c r="B8" i="16"/>
  <c r="B6" i="16"/>
  <c r="G6" i="16" s="1"/>
  <c r="G6" i="20" s="1"/>
  <c r="B6" i="10"/>
  <c r="B6" i="18"/>
  <c r="B6" i="19"/>
  <c r="B6" i="21"/>
  <c r="B6" i="11"/>
  <c r="B5" i="16"/>
  <c r="B5" i="10"/>
  <c r="B5" i="18"/>
  <c r="B5" i="19"/>
  <c r="B5" i="21"/>
  <c r="B5" i="11"/>
  <c r="C6" i="20"/>
  <c r="C6" i="18" s="1"/>
  <c r="G6" i="19" l="1"/>
  <c r="G6" i="11"/>
  <c r="G6" i="21"/>
  <c r="G6" i="18"/>
  <c r="G6" i="10"/>
  <c r="G3" i="16"/>
  <c r="C6" i="11"/>
  <c r="C6" i="21"/>
  <c r="C6" i="16"/>
  <c r="C6" i="19"/>
  <c r="C6" i="10"/>
  <c r="H6" i="10" l="1"/>
  <c r="H6" i="11"/>
  <c r="H6" i="20"/>
  <c r="H6" i="19"/>
  <c r="H6" i="18"/>
  <c r="H6" i="21"/>
  <c r="E8" i="16"/>
  <c r="E8" i="10"/>
  <c r="E8" i="18"/>
  <c r="E8" i="19"/>
  <c r="E8" i="21"/>
  <c r="E8" i="11"/>
  <c r="C11" i="21" l="1"/>
  <c r="E5" i="21"/>
  <c r="G3" i="21"/>
  <c r="A1" i="21"/>
  <c r="B20" i="11"/>
  <c r="B74" i="18"/>
  <c r="B67" i="19"/>
  <c r="B53" i="19"/>
  <c r="B26" i="20"/>
  <c r="B27" i="10" s="1"/>
  <c r="B27" i="20"/>
  <c r="B26" i="16" s="1"/>
  <c r="B80" i="16" s="1"/>
  <c r="B28" i="20"/>
  <c r="B29" i="19" s="1"/>
  <c r="B29" i="20"/>
  <c r="B30" i="20"/>
  <c r="B31" i="10" s="1"/>
  <c r="B31" i="20"/>
  <c r="B32" i="18" s="1"/>
  <c r="B32" i="20"/>
  <c r="B33" i="20"/>
  <c r="B34" i="20"/>
  <c r="B35" i="10" s="1"/>
  <c r="B35" i="20"/>
  <c r="B36" i="20"/>
  <c r="B37" i="19" s="1"/>
  <c r="B37" i="20"/>
  <c r="B36" i="16" s="1"/>
  <c r="B90" i="16" s="1"/>
  <c r="B144" i="16" s="1"/>
  <c r="B39" i="20"/>
  <c r="B39" i="11" s="1"/>
  <c r="B40" i="20"/>
  <c r="B41" i="10" s="1"/>
  <c r="B41" i="20"/>
  <c r="B42" i="20"/>
  <c r="B43" i="19" s="1"/>
  <c r="B43" i="20"/>
  <c r="B43" i="11" s="1"/>
  <c r="B44" i="20"/>
  <c r="B43" i="16" s="1"/>
  <c r="B97" i="16" s="1"/>
  <c r="B45" i="20"/>
  <c r="B46" i="18" s="1"/>
  <c r="B46" i="20"/>
  <c r="B45" i="16" s="1"/>
  <c r="B99" i="16" s="1"/>
  <c r="B153" i="16" s="1"/>
  <c r="B47" i="20"/>
  <c r="B47" i="11" s="1"/>
  <c r="B48" i="20"/>
  <c r="B49" i="10" s="1"/>
  <c r="B49" i="20"/>
  <c r="B50" i="20"/>
  <c r="B51" i="19" s="1"/>
  <c r="B51" i="20"/>
  <c r="B51" i="11" s="1"/>
  <c r="B53" i="20"/>
  <c r="B52" i="16" s="1"/>
  <c r="B106" i="16" s="1"/>
  <c r="B54" i="20"/>
  <c r="B55" i="10" s="1"/>
  <c r="B55" i="20"/>
  <c r="B54" i="16" s="1"/>
  <c r="B108" i="16" s="1"/>
  <c r="B162" i="16" s="1"/>
  <c r="B56" i="20"/>
  <c r="B57" i="19" s="1"/>
  <c r="B57" i="20"/>
  <c r="B57" i="11" s="1"/>
  <c r="B58" i="20"/>
  <c r="B59" i="19" s="1"/>
  <c r="B59" i="20"/>
  <c r="B60" i="18" s="1"/>
  <c r="B60" i="20"/>
  <c r="B61" i="19" s="1"/>
  <c r="B61" i="20"/>
  <c r="B60" i="16" s="1"/>
  <c r="B114" i="16" s="1"/>
  <c r="B62" i="20"/>
  <c r="B63" i="10" s="1"/>
  <c r="B63" i="20"/>
  <c r="B62" i="16" s="1"/>
  <c r="B116" i="16" s="1"/>
  <c r="B170" i="16" s="1"/>
  <c r="B64" i="20"/>
  <c r="B65" i="19" s="1"/>
  <c r="B65" i="20"/>
  <c r="B65" i="11" s="1"/>
  <c r="B67" i="20"/>
  <c r="B68" i="18" s="1"/>
  <c r="B68" i="20"/>
  <c r="B69" i="10" s="1"/>
  <c r="B69" i="20"/>
  <c r="B70" i="18" s="1"/>
  <c r="B70" i="20"/>
  <c r="B71" i="19" s="1"/>
  <c r="B71" i="20"/>
  <c r="B71" i="11" s="1"/>
  <c r="B72" i="20"/>
  <c r="B71" i="16" s="1"/>
  <c r="B125" i="16" s="1"/>
  <c r="B179" i="16" s="1"/>
  <c r="B25" i="20"/>
  <c r="A1" i="16"/>
  <c r="A1" i="11"/>
  <c r="A1" i="20"/>
  <c r="E73" i="19"/>
  <c r="E72" i="19"/>
  <c r="C72" i="19" s="1"/>
  <c r="J71" i="11" s="1"/>
  <c r="E71" i="19"/>
  <c r="E70" i="19"/>
  <c r="E69" i="19"/>
  <c r="E68" i="19"/>
  <c r="E66" i="19"/>
  <c r="E65" i="19"/>
  <c r="E64" i="19"/>
  <c r="C64" i="19" s="1"/>
  <c r="J63" i="11" s="1"/>
  <c r="E63" i="19"/>
  <c r="E62" i="19"/>
  <c r="E61" i="19"/>
  <c r="E60" i="19"/>
  <c r="C60" i="19" s="1"/>
  <c r="J59" i="11" s="1"/>
  <c r="E59" i="19"/>
  <c r="C59" i="19" s="1"/>
  <c r="J58" i="11" s="1"/>
  <c r="E58" i="19"/>
  <c r="E57" i="19"/>
  <c r="E56" i="19"/>
  <c r="C56" i="19" s="1"/>
  <c r="J55" i="11" s="1"/>
  <c r="E55" i="19"/>
  <c r="E54" i="19"/>
  <c r="E52" i="19"/>
  <c r="E51" i="19"/>
  <c r="C51" i="19" s="1"/>
  <c r="J50" i="11" s="1"/>
  <c r="E50" i="19"/>
  <c r="C50" i="19" s="1"/>
  <c r="J49" i="11" s="1"/>
  <c r="E49" i="19"/>
  <c r="E48" i="19"/>
  <c r="E47" i="19"/>
  <c r="C47" i="19" s="1"/>
  <c r="J46" i="11" s="1"/>
  <c r="E46" i="19"/>
  <c r="E45" i="19"/>
  <c r="E44" i="19"/>
  <c r="E43" i="19"/>
  <c r="C43" i="19" s="1"/>
  <c r="J42" i="11" s="1"/>
  <c r="E42" i="19"/>
  <c r="E41" i="19"/>
  <c r="E40" i="19"/>
  <c r="E38" i="19"/>
  <c r="E37" i="19"/>
  <c r="E36" i="19"/>
  <c r="C36" i="19" s="1"/>
  <c r="J35" i="11" s="1"/>
  <c r="E35" i="19"/>
  <c r="E34" i="19"/>
  <c r="E33" i="19"/>
  <c r="C33" i="19" s="1"/>
  <c r="J32" i="11" s="1"/>
  <c r="E32" i="19"/>
  <c r="E31" i="19"/>
  <c r="E30" i="19"/>
  <c r="E29" i="19"/>
  <c r="E28" i="19"/>
  <c r="E27" i="19"/>
  <c r="E26" i="19"/>
  <c r="C26" i="19" s="1"/>
  <c r="A1" i="19"/>
  <c r="A1" i="18"/>
  <c r="A1" i="10"/>
  <c r="G72" i="11"/>
  <c r="G69" i="11"/>
  <c r="G54" i="11"/>
  <c r="G51" i="11"/>
  <c r="G50" i="11"/>
  <c r="G48" i="11"/>
  <c r="G43" i="11"/>
  <c r="G39" i="11"/>
  <c r="F24" i="19"/>
  <c r="E24" i="19"/>
  <c r="H24" i="10"/>
  <c r="G24" i="10"/>
  <c r="F24" i="10"/>
  <c r="E24" i="10"/>
  <c r="F24" i="18"/>
  <c r="E24" i="18"/>
  <c r="L24" i="19"/>
  <c r="Q23" i="11" s="1"/>
  <c r="Q75" i="11" s="1"/>
  <c r="J24" i="10"/>
  <c r="O23" i="11" s="1"/>
  <c r="O75" i="11" s="1"/>
  <c r="H23" i="11"/>
  <c r="H75" i="11" s="1"/>
  <c r="K23" i="11"/>
  <c r="K75" i="11" s="1"/>
  <c r="D24" i="10"/>
  <c r="E23" i="11" s="1"/>
  <c r="E75" i="11" s="1"/>
  <c r="C24" i="18"/>
  <c r="G23" i="11" s="1"/>
  <c r="G75" i="11" s="1"/>
  <c r="C24" i="19"/>
  <c r="J23" i="11" s="1"/>
  <c r="J75" i="11" s="1"/>
  <c r="C24" i="10"/>
  <c r="D23" i="11" s="1"/>
  <c r="D75" i="11" s="1"/>
  <c r="E5" i="10"/>
  <c r="E5" i="18"/>
  <c r="E5" i="19"/>
  <c r="E5" i="16"/>
  <c r="E5" i="11"/>
  <c r="C11" i="10"/>
  <c r="C11" i="18"/>
  <c r="C11" i="19"/>
  <c r="C11" i="16"/>
  <c r="C11" i="11"/>
  <c r="G3" i="10"/>
  <c r="G3" i="18"/>
  <c r="G3" i="19"/>
  <c r="G3" i="11"/>
  <c r="H73" i="10"/>
  <c r="H73" i="19" s="1"/>
  <c r="G73" i="10"/>
  <c r="G73" i="19" s="1"/>
  <c r="F73" i="10"/>
  <c r="E73" i="10"/>
  <c r="H72" i="10"/>
  <c r="H72" i="19" s="1"/>
  <c r="G72" i="10"/>
  <c r="G72" i="19" s="1"/>
  <c r="F72" i="10"/>
  <c r="E72" i="10"/>
  <c r="H71" i="10"/>
  <c r="H71" i="19" s="1"/>
  <c r="G71" i="10"/>
  <c r="G71" i="19" s="1"/>
  <c r="F71" i="10"/>
  <c r="E71" i="10"/>
  <c r="H70" i="10"/>
  <c r="H70" i="19" s="1"/>
  <c r="G70" i="10"/>
  <c r="G70" i="19" s="1"/>
  <c r="F70" i="10"/>
  <c r="E70" i="10"/>
  <c r="H69" i="10"/>
  <c r="H69" i="19" s="1"/>
  <c r="G69" i="10"/>
  <c r="G69" i="19" s="1"/>
  <c r="F69" i="10"/>
  <c r="E69" i="10"/>
  <c r="H68" i="10"/>
  <c r="H68" i="19" s="1"/>
  <c r="G68" i="10"/>
  <c r="G68" i="19" s="1"/>
  <c r="F68" i="10"/>
  <c r="E68" i="10"/>
  <c r="H66" i="10"/>
  <c r="H66" i="19" s="1"/>
  <c r="G66" i="10"/>
  <c r="G66" i="19" s="1"/>
  <c r="E66" i="10"/>
  <c r="H65" i="10"/>
  <c r="H65" i="19" s="1"/>
  <c r="G65" i="10"/>
  <c r="G65" i="19" s="1"/>
  <c r="E65" i="10"/>
  <c r="H64" i="10"/>
  <c r="H64" i="19" s="1"/>
  <c r="G64" i="10"/>
  <c r="G64" i="19" s="1"/>
  <c r="E64" i="10"/>
  <c r="H63" i="10"/>
  <c r="H63" i="19" s="1"/>
  <c r="G63" i="10"/>
  <c r="G63" i="19" s="1"/>
  <c r="E63" i="10"/>
  <c r="H62" i="10"/>
  <c r="H62" i="19" s="1"/>
  <c r="G62" i="10"/>
  <c r="G62" i="19" s="1"/>
  <c r="E62" i="10"/>
  <c r="H61" i="10"/>
  <c r="H61" i="19" s="1"/>
  <c r="G61" i="10"/>
  <c r="G61" i="19" s="1"/>
  <c r="E61" i="10"/>
  <c r="H60" i="10"/>
  <c r="H60" i="19" s="1"/>
  <c r="G60" i="10"/>
  <c r="G60" i="19" s="1"/>
  <c r="E60" i="10"/>
  <c r="H59" i="10"/>
  <c r="H59" i="19" s="1"/>
  <c r="G59" i="10"/>
  <c r="G59" i="19" s="1"/>
  <c r="E59" i="10"/>
  <c r="H58" i="10"/>
  <c r="H58" i="19" s="1"/>
  <c r="G58" i="10"/>
  <c r="G58" i="19" s="1"/>
  <c r="E58" i="10"/>
  <c r="H57" i="10"/>
  <c r="H57" i="19" s="1"/>
  <c r="G57" i="10"/>
  <c r="G57" i="19" s="1"/>
  <c r="E57" i="10"/>
  <c r="H56" i="10"/>
  <c r="H56" i="19" s="1"/>
  <c r="G56" i="10"/>
  <c r="G56" i="19" s="1"/>
  <c r="E56" i="10"/>
  <c r="H55" i="10"/>
  <c r="H55" i="19" s="1"/>
  <c r="G55" i="10"/>
  <c r="G55" i="19" s="1"/>
  <c r="E55" i="10"/>
  <c r="H54" i="10"/>
  <c r="H54" i="19" s="1"/>
  <c r="G54" i="10"/>
  <c r="G54" i="19" s="1"/>
  <c r="E54" i="10"/>
  <c r="H52" i="10"/>
  <c r="H52" i="19" s="1"/>
  <c r="G52" i="10"/>
  <c r="G52" i="19" s="1"/>
  <c r="E52" i="10"/>
  <c r="H51" i="10"/>
  <c r="H51" i="19" s="1"/>
  <c r="G51" i="10"/>
  <c r="G51" i="19" s="1"/>
  <c r="E51" i="10"/>
  <c r="H50" i="10"/>
  <c r="H50" i="19" s="1"/>
  <c r="G50" i="10"/>
  <c r="G50" i="19" s="1"/>
  <c r="E50" i="10"/>
  <c r="H49" i="10"/>
  <c r="H49" i="19" s="1"/>
  <c r="G49" i="10"/>
  <c r="G49" i="19" s="1"/>
  <c r="E49" i="10"/>
  <c r="H48" i="10"/>
  <c r="H48" i="19" s="1"/>
  <c r="G48" i="10"/>
  <c r="G48" i="19" s="1"/>
  <c r="E48" i="10"/>
  <c r="H47" i="10"/>
  <c r="H47" i="19" s="1"/>
  <c r="G47" i="10"/>
  <c r="G47" i="19" s="1"/>
  <c r="E47" i="10"/>
  <c r="H46" i="10"/>
  <c r="H46" i="19" s="1"/>
  <c r="G46" i="10"/>
  <c r="G46" i="19" s="1"/>
  <c r="E46" i="10"/>
  <c r="H45" i="10"/>
  <c r="H45" i="19" s="1"/>
  <c r="G45" i="10"/>
  <c r="G45" i="19" s="1"/>
  <c r="E45" i="10"/>
  <c r="H44" i="10"/>
  <c r="H44" i="19" s="1"/>
  <c r="G44" i="10"/>
  <c r="G44" i="19" s="1"/>
  <c r="E44" i="10"/>
  <c r="H43" i="10"/>
  <c r="H43" i="19" s="1"/>
  <c r="G43" i="10"/>
  <c r="G43" i="19" s="1"/>
  <c r="E43" i="10"/>
  <c r="H42" i="10"/>
  <c r="H42" i="19" s="1"/>
  <c r="G42" i="10"/>
  <c r="G42" i="19" s="1"/>
  <c r="E42" i="10"/>
  <c r="H41" i="10"/>
  <c r="H41" i="19" s="1"/>
  <c r="G41" i="10"/>
  <c r="G41" i="19" s="1"/>
  <c r="E41" i="10"/>
  <c r="H40" i="10"/>
  <c r="H40" i="19" s="1"/>
  <c r="G40" i="10"/>
  <c r="G40" i="19" s="1"/>
  <c r="E40" i="10"/>
  <c r="H38" i="10"/>
  <c r="H38" i="19" s="1"/>
  <c r="G38" i="10"/>
  <c r="G38" i="19" s="1"/>
  <c r="E38" i="10"/>
  <c r="H37" i="10"/>
  <c r="H37" i="19" s="1"/>
  <c r="G37" i="10"/>
  <c r="G37" i="19" s="1"/>
  <c r="E37" i="10"/>
  <c r="H36" i="10"/>
  <c r="H36" i="19" s="1"/>
  <c r="G36" i="10"/>
  <c r="G36" i="19" s="1"/>
  <c r="E36" i="10"/>
  <c r="H35" i="10"/>
  <c r="H35" i="19" s="1"/>
  <c r="G35" i="10"/>
  <c r="G35" i="19" s="1"/>
  <c r="E35" i="10"/>
  <c r="H34" i="10"/>
  <c r="H34" i="19" s="1"/>
  <c r="G34" i="10"/>
  <c r="G34" i="19" s="1"/>
  <c r="E34" i="10"/>
  <c r="H33" i="10"/>
  <c r="H33" i="19" s="1"/>
  <c r="G33" i="10"/>
  <c r="G33" i="19" s="1"/>
  <c r="E33" i="10"/>
  <c r="H32" i="10"/>
  <c r="H32" i="19" s="1"/>
  <c r="G32" i="10"/>
  <c r="G32" i="19" s="1"/>
  <c r="E32" i="10"/>
  <c r="H31" i="10"/>
  <c r="H31" i="19" s="1"/>
  <c r="G31" i="10"/>
  <c r="G31" i="19" s="1"/>
  <c r="E31" i="10"/>
  <c r="H30" i="10"/>
  <c r="H30" i="19" s="1"/>
  <c r="G30" i="10"/>
  <c r="G30" i="19" s="1"/>
  <c r="E30" i="10"/>
  <c r="H29" i="10"/>
  <c r="H29" i="19" s="1"/>
  <c r="G29" i="10"/>
  <c r="G29" i="19" s="1"/>
  <c r="E29" i="10"/>
  <c r="H28" i="10"/>
  <c r="H28" i="19" s="1"/>
  <c r="G28" i="10"/>
  <c r="G28" i="19" s="1"/>
  <c r="E28" i="10"/>
  <c r="H27" i="10"/>
  <c r="H27" i="19" s="1"/>
  <c r="G27" i="10"/>
  <c r="G27" i="19" s="1"/>
  <c r="E27" i="10"/>
  <c r="H26" i="10"/>
  <c r="H26" i="19" s="1"/>
  <c r="G26" i="10"/>
  <c r="G26" i="19" s="1"/>
  <c r="F26" i="10"/>
  <c r="E26" i="10"/>
  <c r="G3" i="20"/>
  <c r="K24" i="11"/>
  <c r="K76" i="11" s="1"/>
  <c r="Q24" i="11"/>
  <c r="Q76" i="11" s="1"/>
  <c r="J24" i="11"/>
  <c r="J76" i="11" s="1"/>
  <c r="C15" i="10"/>
  <c r="C14" i="10"/>
  <c r="C13" i="18"/>
  <c r="E6" i="20"/>
  <c r="E6" i="10" s="1"/>
  <c r="E4" i="20"/>
  <c r="E4" i="10" s="1"/>
  <c r="K22" i="11"/>
  <c r="P20" i="11"/>
  <c r="Q20" i="11" s="1"/>
  <c r="G22" i="11"/>
  <c r="J22" i="11" s="1"/>
  <c r="H24" i="11"/>
  <c r="H76" i="11" s="1"/>
  <c r="P24" i="11"/>
  <c r="P76" i="11" s="1"/>
  <c r="G24" i="11"/>
  <c r="G76" i="11" s="1"/>
  <c r="K72" i="11"/>
  <c r="K71" i="11"/>
  <c r="K70" i="11"/>
  <c r="G71" i="11"/>
  <c r="G70" i="11"/>
  <c r="G67" i="11"/>
  <c r="G64" i="11"/>
  <c r="G62" i="11"/>
  <c r="G60" i="11"/>
  <c r="G58" i="11"/>
  <c r="G56" i="11"/>
  <c r="G49" i="11"/>
  <c r="G46" i="11"/>
  <c r="G45" i="11"/>
  <c r="G41" i="11"/>
  <c r="G36" i="11"/>
  <c r="G34" i="11"/>
  <c r="G32" i="11"/>
  <c r="G30" i="11"/>
  <c r="G28" i="11"/>
  <c r="G26" i="11"/>
  <c r="G25" i="11"/>
  <c r="P23" i="11"/>
  <c r="P75" i="11" s="1"/>
  <c r="E24" i="11"/>
  <c r="E76" i="11" s="1"/>
  <c r="O24" i="11"/>
  <c r="O76" i="11" s="1"/>
  <c r="D24" i="11"/>
  <c r="D76" i="11" s="1"/>
  <c r="B23" i="11"/>
  <c r="H4" i="18" l="1"/>
  <c r="H4" i="19"/>
  <c r="H4" i="21"/>
  <c r="H4" i="10"/>
  <c r="H4" i="11"/>
  <c r="I68" i="18"/>
  <c r="P67" i="11" s="1"/>
  <c r="I72" i="18"/>
  <c r="I26" i="18"/>
  <c r="P25" i="11" s="1"/>
  <c r="I27" i="18"/>
  <c r="I28" i="18"/>
  <c r="P27" i="11" s="1"/>
  <c r="I29" i="18"/>
  <c r="P28" i="11" s="1"/>
  <c r="I30" i="18"/>
  <c r="I31" i="18"/>
  <c r="I32" i="18"/>
  <c r="P31" i="11" s="1"/>
  <c r="I33" i="18"/>
  <c r="I34" i="18"/>
  <c r="P33" i="11" s="1"/>
  <c r="I35" i="18"/>
  <c r="I36" i="18"/>
  <c r="P35" i="11" s="1"/>
  <c r="I37" i="18"/>
  <c r="I38" i="18"/>
  <c r="I40" i="18"/>
  <c r="P39" i="11" s="1"/>
  <c r="I41" i="18"/>
  <c r="P40" i="11" s="1"/>
  <c r="I42" i="18"/>
  <c r="I43" i="18"/>
  <c r="I44" i="18"/>
  <c r="I45" i="18"/>
  <c r="I46" i="18"/>
  <c r="P45" i="11" s="1"/>
  <c r="I47" i="18"/>
  <c r="P46" i="11" s="1"/>
  <c r="I48" i="18"/>
  <c r="I49" i="18"/>
  <c r="P48" i="11" s="1"/>
  <c r="I50" i="18"/>
  <c r="P49" i="11" s="1"/>
  <c r="I51" i="18"/>
  <c r="P50" i="11" s="1"/>
  <c r="I52" i="18"/>
  <c r="I54" i="18"/>
  <c r="I55" i="18"/>
  <c r="I56" i="18"/>
  <c r="I57" i="18"/>
  <c r="I58" i="18"/>
  <c r="P57" i="11" s="1"/>
  <c r="I59" i="18"/>
  <c r="I60" i="18"/>
  <c r="I61" i="18"/>
  <c r="I62" i="18"/>
  <c r="P61" i="11" s="1"/>
  <c r="I63" i="18"/>
  <c r="P62" i="11" s="1"/>
  <c r="I64" i="18"/>
  <c r="I65" i="18"/>
  <c r="I66" i="18"/>
  <c r="P65" i="11" s="1"/>
  <c r="I69" i="18"/>
  <c r="I70" i="18"/>
  <c r="I71" i="18"/>
  <c r="I73" i="18"/>
  <c r="P72" i="11" s="1"/>
  <c r="K69" i="11"/>
  <c r="K63" i="11"/>
  <c r="L63" i="11" s="1"/>
  <c r="K64" i="11"/>
  <c r="K58" i="11"/>
  <c r="L58" i="11" s="1"/>
  <c r="K60" i="11"/>
  <c r="K62" i="11"/>
  <c r="K65" i="11"/>
  <c r="K61" i="11"/>
  <c r="K68" i="11"/>
  <c r="K40" i="11"/>
  <c r="K50" i="11"/>
  <c r="L50" i="11" s="1"/>
  <c r="K51" i="11"/>
  <c r="K59" i="11"/>
  <c r="L59" i="11" s="1"/>
  <c r="K44" i="11"/>
  <c r="K45" i="11"/>
  <c r="K49" i="11"/>
  <c r="L49" i="11" s="1"/>
  <c r="K54" i="11"/>
  <c r="K56" i="11"/>
  <c r="K36" i="11"/>
  <c r="K37" i="11"/>
  <c r="K46" i="11"/>
  <c r="L46" i="11" s="1"/>
  <c r="K47" i="11"/>
  <c r="K48" i="11"/>
  <c r="K55" i="11"/>
  <c r="L55" i="11" s="1"/>
  <c r="K35" i="11"/>
  <c r="L35" i="11" s="1"/>
  <c r="K41" i="11"/>
  <c r="K42" i="11"/>
  <c r="L42" i="11" s="1"/>
  <c r="K43" i="11"/>
  <c r="K57" i="11"/>
  <c r="K30" i="11"/>
  <c r="K31" i="11"/>
  <c r="K32" i="11"/>
  <c r="L32" i="11" s="1"/>
  <c r="K33" i="11"/>
  <c r="K34" i="11"/>
  <c r="K26" i="11"/>
  <c r="K28" i="11"/>
  <c r="K27" i="11"/>
  <c r="K29" i="11"/>
  <c r="L71" i="11"/>
  <c r="J38" i="10"/>
  <c r="O37" i="11" s="1"/>
  <c r="J34" i="10"/>
  <c r="O33" i="11" s="1"/>
  <c r="J30" i="10"/>
  <c r="O29" i="11" s="1"/>
  <c r="J26" i="10"/>
  <c r="O25" i="11" s="1"/>
  <c r="J49" i="10"/>
  <c r="O48" i="11" s="1"/>
  <c r="J45" i="10"/>
  <c r="O44" i="11" s="1"/>
  <c r="J41" i="10"/>
  <c r="O40" i="11" s="1"/>
  <c r="J71" i="10"/>
  <c r="O70" i="11" s="1"/>
  <c r="J66" i="10"/>
  <c r="O65" i="11" s="1"/>
  <c r="J62" i="10"/>
  <c r="O61" i="11" s="1"/>
  <c r="J58" i="10"/>
  <c r="O57" i="11" s="1"/>
  <c r="J54" i="10"/>
  <c r="O53" i="11" s="1"/>
  <c r="J37" i="10"/>
  <c r="O36" i="11" s="1"/>
  <c r="J33" i="10"/>
  <c r="O32" i="11" s="1"/>
  <c r="J29" i="10"/>
  <c r="O28" i="11" s="1"/>
  <c r="J36" i="10"/>
  <c r="O35" i="11" s="1"/>
  <c r="J35" i="10"/>
  <c r="O34" i="11" s="1"/>
  <c r="J31" i="10"/>
  <c r="O30" i="11" s="1"/>
  <c r="J27" i="10"/>
  <c r="O26" i="11" s="1"/>
  <c r="J50" i="10"/>
  <c r="O49" i="11" s="1"/>
  <c r="J46" i="10"/>
  <c r="O45" i="11" s="1"/>
  <c r="J42" i="10"/>
  <c r="O41" i="11" s="1"/>
  <c r="J72" i="10"/>
  <c r="O71" i="11" s="1"/>
  <c r="J68" i="10"/>
  <c r="O67" i="11" s="1"/>
  <c r="J63" i="10"/>
  <c r="O62" i="11" s="1"/>
  <c r="J59" i="10"/>
  <c r="O58" i="11" s="1"/>
  <c r="J55" i="10"/>
  <c r="O54" i="11" s="1"/>
  <c r="J51" i="10"/>
  <c r="O50" i="11" s="1"/>
  <c r="J43" i="10"/>
  <c r="O42" i="11" s="1"/>
  <c r="J69" i="10"/>
  <c r="O68" i="11" s="1"/>
  <c r="J60" i="10"/>
  <c r="O59" i="11" s="1"/>
  <c r="J32" i="10"/>
  <c r="O31" i="11" s="1"/>
  <c r="J47" i="10"/>
  <c r="O46" i="11" s="1"/>
  <c r="J70" i="10"/>
  <c r="O69" i="11" s="1"/>
  <c r="J57" i="10"/>
  <c r="O56" i="11" s="1"/>
  <c r="J28" i="10"/>
  <c r="O27" i="11" s="1"/>
  <c r="J44" i="10"/>
  <c r="O43" i="11" s="1"/>
  <c r="J65" i="10"/>
  <c r="O64" i="11" s="1"/>
  <c r="J56" i="10"/>
  <c r="O55" i="11" s="1"/>
  <c r="J52" i="10"/>
  <c r="O51" i="11" s="1"/>
  <c r="J40" i="10"/>
  <c r="O39" i="11" s="1"/>
  <c r="J64" i="10"/>
  <c r="O63" i="11" s="1"/>
  <c r="J48" i="10"/>
  <c r="O47" i="11" s="1"/>
  <c r="J73" i="10"/>
  <c r="O72" i="11" s="1"/>
  <c r="J61" i="10"/>
  <c r="O60" i="11" s="1"/>
  <c r="G47" i="11"/>
  <c r="C32" i="19"/>
  <c r="J31" i="11" s="1"/>
  <c r="H5" i="21"/>
  <c r="H5" i="10"/>
  <c r="G40" i="11"/>
  <c r="G42" i="11"/>
  <c r="G44" i="11"/>
  <c r="C44" i="19"/>
  <c r="J43" i="11" s="1"/>
  <c r="G68" i="11"/>
  <c r="C28" i="19"/>
  <c r="J27" i="11" s="1"/>
  <c r="C27" i="19"/>
  <c r="J26" i="11" s="1"/>
  <c r="C40" i="19"/>
  <c r="J39" i="11" s="1"/>
  <c r="C63" i="19"/>
  <c r="J62" i="11" s="1"/>
  <c r="H5" i="19"/>
  <c r="H5" i="11"/>
  <c r="H5" i="18"/>
  <c r="C13" i="11"/>
  <c r="C13" i="10"/>
  <c r="C42" i="19"/>
  <c r="J41" i="11" s="1"/>
  <c r="B26" i="11"/>
  <c r="B40" i="18"/>
  <c r="B31" i="19"/>
  <c r="B73" i="11"/>
  <c r="B57" i="10"/>
  <c r="B48" i="18"/>
  <c r="C13" i="19"/>
  <c r="B65" i="10"/>
  <c r="B25" i="11"/>
  <c r="B26" i="18"/>
  <c r="C35" i="19"/>
  <c r="J34" i="11" s="1"/>
  <c r="C57" i="19"/>
  <c r="J56" i="11" s="1"/>
  <c r="C68" i="19"/>
  <c r="J67" i="11" s="1"/>
  <c r="C29" i="19"/>
  <c r="J28" i="11" s="1"/>
  <c r="C37" i="19"/>
  <c r="J36" i="11" s="1"/>
  <c r="C46" i="19"/>
  <c r="J45" i="11" s="1"/>
  <c r="C52" i="19"/>
  <c r="J51" i="11" s="1"/>
  <c r="C61" i="19"/>
  <c r="J60" i="11" s="1"/>
  <c r="C70" i="19"/>
  <c r="J69" i="11" s="1"/>
  <c r="G27" i="11"/>
  <c r="G29" i="11"/>
  <c r="G31" i="11"/>
  <c r="G33" i="11"/>
  <c r="G35" i="11"/>
  <c r="G37" i="11"/>
  <c r="G53" i="11"/>
  <c r="G55" i="11"/>
  <c r="G57" i="11"/>
  <c r="G59" i="11"/>
  <c r="G61" i="11"/>
  <c r="G63" i="11"/>
  <c r="G65" i="11"/>
  <c r="C31" i="19"/>
  <c r="J30" i="11" s="1"/>
  <c r="C48" i="19"/>
  <c r="J47" i="11" s="1"/>
  <c r="C55" i="19"/>
  <c r="J54" i="11" s="1"/>
  <c r="C65" i="19"/>
  <c r="J64" i="11" s="1"/>
  <c r="C12" i="21"/>
  <c r="C13" i="21"/>
  <c r="C15" i="11"/>
  <c r="C13" i="16"/>
  <c r="C12" i="19"/>
  <c r="C15" i="18"/>
  <c r="E6" i="19"/>
  <c r="C30" i="19"/>
  <c r="J29" i="11" s="1"/>
  <c r="C34" i="19"/>
  <c r="J33" i="11" s="1"/>
  <c r="C38" i="19"/>
  <c r="J37" i="11" s="1"/>
  <c r="C41" i="19"/>
  <c r="J40" i="11" s="1"/>
  <c r="C45" i="19"/>
  <c r="J44" i="11" s="1"/>
  <c r="C49" i="19"/>
  <c r="J48" i="11" s="1"/>
  <c r="C54" i="19"/>
  <c r="J53" i="11" s="1"/>
  <c r="C58" i="19"/>
  <c r="J57" i="11" s="1"/>
  <c r="C62" i="19"/>
  <c r="J61" i="11" s="1"/>
  <c r="C66" i="19"/>
  <c r="J65" i="11" s="1"/>
  <c r="C69" i="19"/>
  <c r="J68" i="11" s="1"/>
  <c r="C71" i="19"/>
  <c r="J70" i="11" s="1"/>
  <c r="L70" i="11" s="1"/>
  <c r="C73" i="19"/>
  <c r="J72" i="11" s="1"/>
  <c r="L72" i="11" s="1"/>
  <c r="B26" i="19"/>
  <c r="B26" i="10"/>
  <c r="B68" i="16"/>
  <c r="B122" i="16" s="1"/>
  <c r="B70" i="19"/>
  <c r="B70" i="10"/>
  <c r="B63" i="16"/>
  <c r="B117" i="16" s="1"/>
  <c r="B64" i="11"/>
  <c r="B65" i="18"/>
  <c r="B59" i="16"/>
  <c r="B113" i="16" s="1"/>
  <c r="B60" i="11"/>
  <c r="B61" i="18"/>
  <c r="B55" i="16"/>
  <c r="B109" i="16" s="1"/>
  <c r="B56" i="11"/>
  <c r="B57" i="18"/>
  <c r="B50" i="16"/>
  <c r="B104" i="16" s="1"/>
  <c r="B158" i="16" s="1"/>
  <c r="B52" i="10"/>
  <c r="B52" i="19"/>
  <c r="B46" i="16"/>
  <c r="B100" i="16" s="1"/>
  <c r="B154" i="16" s="1"/>
  <c r="B48" i="10"/>
  <c r="B48" i="19"/>
  <c r="B42" i="16"/>
  <c r="B96" i="16" s="1"/>
  <c r="B150" i="16" s="1"/>
  <c r="B44" i="10"/>
  <c r="B44" i="19"/>
  <c r="B38" i="16"/>
  <c r="B92" i="16" s="1"/>
  <c r="B146" i="16" s="1"/>
  <c r="B40" i="10"/>
  <c r="B40" i="19"/>
  <c r="B33" i="16"/>
  <c r="B87" i="16" s="1"/>
  <c r="B141" i="16" s="1"/>
  <c r="B35" i="18"/>
  <c r="B34" i="11"/>
  <c r="B29" i="16"/>
  <c r="B83" i="16" s="1"/>
  <c r="B137" i="16" s="1"/>
  <c r="B31" i="18"/>
  <c r="B30" i="11"/>
  <c r="B25" i="16"/>
  <c r="B79" i="16" s="1"/>
  <c r="B133" i="16" s="1"/>
  <c r="B27" i="18"/>
  <c r="B74" i="19"/>
  <c r="B74" i="10"/>
  <c r="B29" i="11"/>
  <c r="B37" i="11"/>
  <c r="B45" i="11"/>
  <c r="B53" i="11"/>
  <c r="B61" i="11"/>
  <c r="B69" i="11"/>
  <c r="B29" i="10"/>
  <c r="B37" i="10"/>
  <c r="B45" i="10"/>
  <c r="B53" i="10"/>
  <c r="B61" i="10"/>
  <c r="B28" i="18"/>
  <c r="B36" i="18"/>
  <c r="B44" i="18"/>
  <c r="B52" i="18"/>
  <c r="B27" i="19"/>
  <c r="B35" i="19"/>
  <c r="B24" i="16"/>
  <c r="B78" i="16" s="1"/>
  <c r="B132" i="16" s="1"/>
  <c r="B28" i="16"/>
  <c r="B82" i="16" s="1"/>
  <c r="B136" i="16" s="1"/>
  <c r="E4" i="21"/>
  <c r="C14" i="21"/>
  <c r="C12" i="11"/>
  <c r="C14" i="16"/>
  <c r="C12" i="18"/>
  <c r="E4" i="16"/>
  <c r="B72" i="11"/>
  <c r="B73" i="18"/>
  <c r="B68" i="11"/>
  <c r="B69" i="18"/>
  <c r="B64" i="10"/>
  <c r="B64" i="19"/>
  <c r="B60" i="10"/>
  <c r="B60" i="19"/>
  <c r="B56" i="10"/>
  <c r="B56" i="19"/>
  <c r="B51" i="18"/>
  <c r="B50" i="11"/>
  <c r="B47" i="18"/>
  <c r="B46" i="11"/>
  <c r="B43" i="18"/>
  <c r="B42" i="11"/>
  <c r="B38" i="19"/>
  <c r="B38" i="10"/>
  <c r="B34" i="19"/>
  <c r="B34" i="10"/>
  <c r="B30" i="19"/>
  <c r="B30" i="10"/>
  <c r="B39" i="18"/>
  <c r="B38" i="11"/>
  <c r="B31" i="11"/>
  <c r="B55" i="11"/>
  <c r="B63" i="11"/>
  <c r="B39" i="10"/>
  <c r="B47" i="10"/>
  <c r="B71" i="10"/>
  <c r="B30" i="18"/>
  <c r="B38" i="18"/>
  <c r="B54" i="18"/>
  <c r="B62" i="18"/>
  <c r="B45" i="19"/>
  <c r="B69" i="19"/>
  <c r="B69" i="16"/>
  <c r="B123" i="16" s="1"/>
  <c r="B34" i="16"/>
  <c r="B88" i="16" s="1"/>
  <c r="E6" i="21"/>
  <c r="C15" i="21"/>
  <c r="C15" i="16"/>
  <c r="C14" i="19"/>
  <c r="L73" i="19" s="1"/>
  <c r="Q72" i="11" s="1"/>
  <c r="C12" i="10"/>
  <c r="E4" i="19"/>
  <c r="E6" i="11"/>
  <c r="E6" i="16"/>
  <c r="E6" i="18"/>
  <c r="B72" i="10"/>
  <c r="B70" i="16"/>
  <c r="B124" i="16" s="1"/>
  <c r="B72" i="19"/>
  <c r="B68" i="10"/>
  <c r="B66" i="16"/>
  <c r="B120" i="16" s="1"/>
  <c r="B68" i="19"/>
  <c r="B63" i="18"/>
  <c r="B61" i="16"/>
  <c r="B115" i="16" s="1"/>
  <c r="B62" i="11"/>
  <c r="B59" i="18"/>
  <c r="B57" i="16"/>
  <c r="B111" i="16" s="1"/>
  <c r="B58" i="11"/>
  <c r="B55" i="18"/>
  <c r="B53" i="16"/>
  <c r="B107" i="16" s="1"/>
  <c r="B54" i="11"/>
  <c r="B50" i="19"/>
  <c r="B48" i="16"/>
  <c r="B102" i="16" s="1"/>
  <c r="B50" i="10"/>
  <c r="B46" i="19"/>
  <c r="B44" i="16"/>
  <c r="B98" i="16" s="1"/>
  <c r="B46" i="10"/>
  <c r="B42" i="19"/>
  <c r="B40" i="16"/>
  <c r="B94" i="16" s="1"/>
  <c r="B42" i="10"/>
  <c r="B36" i="11"/>
  <c r="B35" i="16"/>
  <c r="B89" i="16" s="1"/>
  <c r="B37" i="18"/>
  <c r="B32" i="11"/>
  <c r="B31" i="16"/>
  <c r="B85" i="16" s="1"/>
  <c r="B33" i="18"/>
  <c r="B28" i="11"/>
  <c r="B27" i="16"/>
  <c r="B81" i="16" s="1"/>
  <c r="B29" i="18"/>
  <c r="B52" i="11"/>
  <c r="B53" i="18"/>
  <c r="B33" i="11"/>
  <c r="B41" i="11"/>
  <c r="B49" i="11"/>
  <c r="B33" i="10"/>
  <c r="B73" i="10"/>
  <c r="B56" i="18"/>
  <c r="B64" i="18"/>
  <c r="B72" i="18"/>
  <c r="B39" i="19"/>
  <c r="B47" i="19"/>
  <c r="B55" i="19"/>
  <c r="B63" i="19"/>
  <c r="B67" i="16"/>
  <c r="B121" i="16" s="1"/>
  <c r="B175" i="16" s="1"/>
  <c r="B58" i="16"/>
  <c r="B112" i="16" s="1"/>
  <c r="B166" i="16" s="1"/>
  <c r="B49" i="16"/>
  <c r="B103" i="16" s="1"/>
  <c r="B157" i="16" s="1"/>
  <c r="B41" i="16"/>
  <c r="B95" i="16" s="1"/>
  <c r="B149" i="16" s="1"/>
  <c r="B32" i="16"/>
  <c r="B86" i="16" s="1"/>
  <c r="B140" i="16" s="1"/>
  <c r="C14" i="11"/>
  <c r="C12" i="16"/>
  <c r="C15" i="19"/>
  <c r="C14" i="18"/>
  <c r="E4" i="11"/>
  <c r="E4" i="18"/>
  <c r="B71" i="18"/>
  <c r="B70" i="11"/>
  <c r="B66" i="19"/>
  <c r="B66" i="10"/>
  <c r="B62" i="19"/>
  <c r="B62" i="10"/>
  <c r="B58" i="19"/>
  <c r="B58" i="10"/>
  <c r="B54" i="19"/>
  <c r="B54" i="10"/>
  <c r="B48" i="11"/>
  <c r="B49" i="18"/>
  <c r="B44" i="11"/>
  <c r="B45" i="18"/>
  <c r="B40" i="11"/>
  <c r="B41" i="18"/>
  <c r="B36" i="10"/>
  <c r="B36" i="19"/>
  <c r="B32" i="10"/>
  <c r="B32" i="19"/>
  <c r="B28" i="10"/>
  <c r="B28" i="19"/>
  <c r="B67" i="18"/>
  <c r="B66" i="11"/>
  <c r="B27" i="11"/>
  <c r="B35" i="11"/>
  <c r="B59" i="11"/>
  <c r="B67" i="11"/>
  <c r="B43" i="10"/>
  <c r="B51" i="10"/>
  <c r="B59" i="10"/>
  <c r="B67" i="10"/>
  <c r="B34" i="18"/>
  <c r="B42" i="18"/>
  <c r="B50" i="18"/>
  <c r="B58" i="18"/>
  <c r="B66" i="18"/>
  <c r="B33" i="19"/>
  <c r="B41" i="19"/>
  <c r="B49" i="19"/>
  <c r="B73" i="19"/>
  <c r="B64" i="16"/>
  <c r="B118" i="16" s="1"/>
  <c r="B56" i="16"/>
  <c r="B110" i="16" s="1"/>
  <c r="B47" i="16"/>
  <c r="B101" i="16" s="1"/>
  <c r="B39" i="16"/>
  <c r="B93" i="16" s="1"/>
  <c r="B30" i="16"/>
  <c r="B84" i="16" s="1"/>
  <c r="J25" i="11"/>
  <c r="P43" i="11"/>
  <c r="P30" i="11"/>
  <c r="P47" i="11"/>
  <c r="K25" i="11"/>
  <c r="P44" i="11"/>
  <c r="P70" i="11"/>
  <c r="P32" i="11"/>
  <c r="P36" i="11"/>
  <c r="P41" i="11"/>
  <c r="P54" i="11"/>
  <c r="P58" i="11"/>
  <c r="P71" i="11"/>
  <c r="P29" i="11"/>
  <c r="P37" i="11"/>
  <c r="P42" i="11"/>
  <c r="P59" i="11"/>
  <c r="P63" i="11"/>
  <c r="B134" i="16"/>
  <c r="L42" i="19"/>
  <c r="Q41" i="11" s="1"/>
  <c r="L43" i="19"/>
  <c r="Q42" i="11" s="1"/>
  <c r="P55" i="11"/>
  <c r="P68" i="11"/>
  <c r="P26" i="11"/>
  <c r="P34" i="11"/>
  <c r="P51" i="11"/>
  <c r="P56" i="11"/>
  <c r="P60" i="11"/>
  <c r="P64" i="11"/>
  <c r="P69" i="11"/>
  <c r="J39" i="10"/>
  <c r="L54" i="19" l="1"/>
  <c r="Q53" i="11" s="1"/>
  <c r="C26" i="10"/>
  <c r="D25" i="11" s="1"/>
  <c r="J53" i="10"/>
  <c r="L48" i="19"/>
  <c r="Q47" i="11" s="1"/>
  <c r="B138" i="16"/>
  <c r="F24" i="16"/>
  <c r="J24" i="16"/>
  <c r="N24" i="16"/>
  <c r="G25" i="16"/>
  <c r="K25" i="16"/>
  <c r="D26" i="16"/>
  <c r="H26" i="16"/>
  <c r="L26" i="16"/>
  <c r="E27" i="16"/>
  <c r="I27" i="16"/>
  <c r="M27" i="16"/>
  <c r="F28" i="16"/>
  <c r="J28" i="16"/>
  <c r="N28" i="16"/>
  <c r="G29" i="16"/>
  <c r="K29" i="16"/>
  <c r="D30" i="16"/>
  <c r="H30" i="16"/>
  <c r="L30" i="16"/>
  <c r="E31" i="16"/>
  <c r="I31" i="16"/>
  <c r="M31" i="16"/>
  <c r="F32" i="16"/>
  <c r="J32" i="16"/>
  <c r="N32" i="16"/>
  <c r="G33" i="16"/>
  <c r="K33" i="16"/>
  <c r="D34" i="16"/>
  <c r="H34" i="16"/>
  <c r="L34" i="16"/>
  <c r="E35" i="16"/>
  <c r="I35" i="16"/>
  <c r="M35" i="16"/>
  <c r="F36" i="16"/>
  <c r="J36" i="16"/>
  <c r="N36" i="16"/>
  <c r="G38" i="16"/>
  <c r="K38" i="16"/>
  <c r="D39" i="16"/>
  <c r="H39" i="16"/>
  <c r="L39" i="16"/>
  <c r="E40" i="16"/>
  <c r="I40" i="16"/>
  <c r="M40" i="16"/>
  <c r="F41" i="16"/>
  <c r="J41" i="16"/>
  <c r="N41" i="16"/>
  <c r="G42" i="16"/>
  <c r="K42" i="16"/>
  <c r="D43" i="16"/>
  <c r="H43" i="16"/>
  <c r="L43" i="16"/>
  <c r="E44" i="16"/>
  <c r="I44" i="16"/>
  <c r="M44" i="16"/>
  <c r="F45" i="16"/>
  <c r="J45" i="16"/>
  <c r="N45" i="16"/>
  <c r="G46" i="16"/>
  <c r="K46" i="16"/>
  <c r="D47" i="16"/>
  <c r="H47" i="16"/>
  <c r="L47" i="16"/>
  <c r="E48" i="16"/>
  <c r="I48" i="16"/>
  <c r="M48" i="16"/>
  <c r="F49" i="16"/>
  <c r="J49" i="16"/>
  <c r="N49" i="16"/>
  <c r="G50" i="16"/>
  <c r="K50" i="16"/>
  <c r="D52" i="16"/>
  <c r="H52" i="16"/>
  <c r="L52" i="16"/>
  <c r="E53" i="16"/>
  <c r="I53" i="16"/>
  <c r="M53" i="16"/>
  <c r="F54" i="16"/>
  <c r="J54" i="16"/>
  <c r="N54" i="16"/>
  <c r="G55" i="16"/>
  <c r="D57" i="10" s="1"/>
  <c r="K55" i="16"/>
  <c r="D56" i="16"/>
  <c r="H56" i="16"/>
  <c r="L56" i="16"/>
  <c r="D24" i="16"/>
  <c r="H24" i="16"/>
  <c r="L24" i="16"/>
  <c r="E25" i="16"/>
  <c r="I25" i="16"/>
  <c r="M25" i="16"/>
  <c r="F26" i="16"/>
  <c r="J26" i="16"/>
  <c r="N26" i="16"/>
  <c r="G27" i="16"/>
  <c r="K27" i="16"/>
  <c r="D28" i="16"/>
  <c r="H28" i="16"/>
  <c r="L28" i="16"/>
  <c r="E29" i="16"/>
  <c r="I29" i="16"/>
  <c r="M29" i="16"/>
  <c r="F30" i="16"/>
  <c r="J30" i="16"/>
  <c r="N30" i="16"/>
  <c r="G31" i="16"/>
  <c r="K31" i="16"/>
  <c r="D32" i="16"/>
  <c r="H32" i="16"/>
  <c r="L32" i="16"/>
  <c r="E33" i="16"/>
  <c r="I33" i="16"/>
  <c r="M33" i="16"/>
  <c r="F34" i="16"/>
  <c r="J34" i="16"/>
  <c r="N34" i="16"/>
  <c r="G35" i="16"/>
  <c r="K35" i="16"/>
  <c r="D36" i="16"/>
  <c r="H36" i="16"/>
  <c r="L36" i="16"/>
  <c r="E38" i="16"/>
  <c r="I38" i="16"/>
  <c r="M38" i="16"/>
  <c r="F39" i="16"/>
  <c r="J39" i="16"/>
  <c r="N39" i="16"/>
  <c r="G40" i="16"/>
  <c r="K40" i="16"/>
  <c r="D41" i="16"/>
  <c r="H41" i="16"/>
  <c r="L41" i="16"/>
  <c r="E42" i="16"/>
  <c r="I42" i="16"/>
  <c r="M42" i="16"/>
  <c r="F43" i="16"/>
  <c r="J43" i="16"/>
  <c r="N43" i="16"/>
  <c r="G44" i="16"/>
  <c r="K44" i="16"/>
  <c r="D45" i="16"/>
  <c r="H45" i="16"/>
  <c r="L45" i="16"/>
  <c r="E46" i="16"/>
  <c r="I46" i="16"/>
  <c r="M46" i="16"/>
  <c r="F47" i="16"/>
  <c r="J47" i="16"/>
  <c r="N47" i="16"/>
  <c r="G48" i="16"/>
  <c r="K48" i="16"/>
  <c r="D49" i="16"/>
  <c r="H49" i="16"/>
  <c r="L49" i="16"/>
  <c r="E50" i="16"/>
  <c r="I50" i="16"/>
  <c r="E24" i="16"/>
  <c r="I24" i="16"/>
  <c r="M24" i="16"/>
  <c r="F25" i="16"/>
  <c r="J25" i="16"/>
  <c r="N25" i="16"/>
  <c r="G26" i="16"/>
  <c r="K26" i="16"/>
  <c r="D27" i="16"/>
  <c r="H27" i="16"/>
  <c r="L27" i="16"/>
  <c r="E28" i="16"/>
  <c r="I28" i="16"/>
  <c r="M28" i="16"/>
  <c r="F29" i="16"/>
  <c r="J29" i="16"/>
  <c r="N29" i="16"/>
  <c r="G30" i="16"/>
  <c r="K30" i="16"/>
  <c r="D31" i="16"/>
  <c r="H31" i="16"/>
  <c r="L31" i="16"/>
  <c r="E32" i="16"/>
  <c r="I32" i="16"/>
  <c r="M32" i="16"/>
  <c r="F33" i="16"/>
  <c r="J33" i="16"/>
  <c r="N33" i="16"/>
  <c r="G34" i="16"/>
  <c r="K34" i="16"/>
  <c r="D35" i="16"/>
  <c r="H35" i="16"/>
  <c r="L35" i="16"/>
  <c r="E36" i="16"/>
  <c r="I36" i="16"/>
  <c r="M36" i="16"/>
  <c r="F38" i="16"/>
  <c r="J38" i="16"/>
  <c r="N38" i="16"/>
  <c r="G39" i="16"/>
  <c r="K39" i="16"/>
  <c r="D40" i="16"/>
  <c r="H40" i="16"/>
  <c r="L40" i="16"/>
  <c r="E41" i="16"/>
  <c r="I41" i="16"/>
  <c r="M41" i="16"/>
  <c r="F42" i="16"/>
  <c r="J42" i="16"/>
  <c r="N42" i="16"/>
  <c r="G43" i="16"/>
  <c r="K43" i="16"/>
  <c r="D44" i="16"/>
  <c r="H44" i="16"/>
  <c r="L44" i="16"/>
  <c r="E45" i="16"/>
  <c r="I45" i="16"/>
  <c r="M45" i="16"/>
  <c r="F46" i="16"/>
  <c r="J46" i="16"/>
  <c r="N46" i="16"/>
  <c r="G47" i="16"/>
  <c r="K47" i="16"/>
  <c r="D48" i="16"/>
  <c r="H48" i="16"/>
  <c r="L48" i="16"/>
  <c r="E49" i="16"/>
  <c r="I49" i="16"/>
  <c r="M49" i="16"/>
  <c r="F50" i="16"/>
  <c r="J50" i="16"/>
  <c r="D25" i="16"/>
  <c r="I26" i="16"/>
  <c r="N27" i="16"/>
  <c r="H29" i="16"/>
  <c r="M30" i="16"/>
  <c r="G32" i="16"/>
  <c r="L33" i="16"/>
  <c r="F35" i="16"/>
  <c r="K36" i="16"/>
  <c r="E39" i="16"/>
  <c r="J40" i="16"/>
  <c r="D42" i="16"/>
  <c r="I43" i="16"/>
  <c r="N44" i="16"/>
  <c r="H46" i="16"/>
  <c r="M47" i="16"/>
  <c r="G49" i="16"/>
  <c r="L50" i="16"/>
  <c r="F52" i="16"/>
  <c r="K52" i="16"/>
  <c r="F53" i="16"/>
  <c r="K53" i="16"/>
  <c r="E54" i="16"/>
  <c r="K54" i="16"/>
  <c r="E55" i="16"/>
  <c r="J55" i="16"/>
  <c r="E56" i="16"/>
  <c r="J56" i="16"/>
  <c r="D57" i="16"/>
  <c r="H57" i="16"/>
  <c r="L57" i="16"/>
  <c r="E58" i="16"/>
  <c r="I58" i="16"/>
  <c r="M58" i="16"/>
  <c r="F59" i="16"/>
  <c r="J59" i="16"/>
  <c r="N59" i="16"/>
  <c r="G60" i="16"/>
  <c r="D62" i="10" s="1"/>
  <c r="K60" i="16"/>
  <c r="D61" i="16"/>
  <c r="H61" i="16"/>
  <c r="L61" i="16"/>
  <c r="E62" i="16"/>
  <c r="I62" i="16"/>
  <c r="M62" i="16"/>
  <c r="F63" i="16"/>
  <c r="J63" i="16"/>
  <c r="N63" i="16"/>
  <c r="G64" i="16"/>
  <c r="K64" i="16"/>
  <c r="D66" i="16"/>
  <c r="H66" i="16"/>
  <c r="L66" i="16"/>
  <c r="E67" i="16"/>
  <c r="I67" i="16"/>
  <c r="M67" i="16"/>
  <c r="F68" i="16"/>
  <c r="J68" i="16"/>
  <c r="N68" i="16"/>
  <c r="G69" i="16"/>
  <c r="D71" i="10" s="1"/>
  <c r="K69" i="16"/>
  <c r="D70" i="16"/>
  <c r="H70" i="16"/>
  <c r="L70" i="16"/>
  <c r="E71" i="16"/>
  <c r="I71" i="16"/>
  <c r="M71" i="16"/>
  <c r="C27" i="16"/>
  <c r="C31" i="16"/>
  <c r="C35" i="16"/>
  <c r="C40" i="16"/>
  <c r="C44" i="16"/>
  <c r="C48" i="16"/>
  <c r="C53" i="16"/>
  <c r="C57" i="16"/>
  <c r="C61" i="16"/>
  <c r="C66" i="16"/>
  <c r="C70" i="16"/>
  <c r="H25" i="16"/>
  <c r="L29" i="16"/>
  <c r="E34" i="16"/>
  <c r="I39" i="16"/>
  <c r="M43" i="16"/>
  <c r="F48" i="16"/>
  <c r="G24" i="16"/>
  <c r="D26" i="10" s="1"/>
  <c r="L25" i="16"/>
  <c r="F27" i="16"/>
  <c r="K28" i="16"/>
  <c r="E30" i="16"/>
  <c r="J31" i="16"/>
  <c r="D33" i="16"/>
  <c r="I34" i="16"/>
  <c r="N35" i="16"/>
  <c r="H38" i="16"/>
  <c r="M39" i="16"/>
  <c r="G41" i="16"/>
  <c r="L42" i="16"/>
  <c r="F44" i="16"/>
  <c r="K45" i="16"/>
  <c r="E47" i="16"/>
  <c r="J48" i="16"/>
  <c r="D50" i="16"/>
  <c r="N50" i="16"/>
  <c r="I52" i="16"/>
  <c r="N52" i="16"/>
  <c r="H53" i="16"/>
  <c r="N53" i="16"/>
  <c r="H54" i="16"/>
  <c r="M54" i="16"/>
  <c r="H55" i="16"/>
  <c r="M55" i="16"/>
  <c r="G56" i="16"/>
  <c r="D58" i="10" s="1"/>
  <c r="M56" i="16"/>
  <c r="F57" i="16"/>
  <c r="J57" i="16"/>
  <c r="N57" i="16"/>
  <c r="G58" i="16"/>
  <c r="K58" i="16"/>
  <c r="D59" i="16"/>
  <c r="H59" i="16"/>
  <c r="L59" i="16"/>
  <c r="E60" i="16"/>
  <c r="I60" i="16"/>
  <c r="M60" i="16"/>
  <c r="F61" i="16"/>
  <c r="J61" i="16"/>
  <c r="N61" i="16"/>
  <c r="G62" i="16"/>
  <c r="D64" i="10" s="1"/>
  <c r="K62" i="16"/>
  <c r="D63" i="16"/>
  <c r="H63" i="16"/>
  <c r="L63" i="16"/>
  <c r="E64" i="16"/>
  <c r="I64" i="16"/>
  <c r="M64" i="16"/>
  <c r="F66" i="16"/>
  <c r="J66" i="16"/>
  <c r="N66" i="16"/>
  <c r="G67" i="16"/>
  <c r="K67" i="16"/>
  <c r="D68" i="16"/>
  <c r="H68" i="16"/>
  <c r="L68" i="16"/>
  <c r="E69" i="16"/>
  <c r="I69" i="16"/>
  <c r="M69" i="16"/>
  <c r="F70" i="16"/>
  <c r="J70" i="16"/>
  <c r="N70" i="16"/>
  <c r="G71" i="16"/>
  <c r="D73" i="10" s="1"/>
  <c r="K71" i="16"/>
  <c r="C25" i="16"/>
  <c r="C29" i="16"/>
  <c r="C33" i="16"/>
  <c r="C38" i="16"/>
  <c r="C42" i="16"/>
  <c r="C46" i="16"/>
  <c r="C50" i="16"/>
  <c r="C55" i="16"/>
  <c r="C59" i="16"/>
  <c r="C63" i="16"/>
  <c r="C68" i="16"/>
  <c r="C24" i="16"/>
  <c r="G28" i="16"/>
  <c r="K32" i="16"/>
  <c r="D38" i="16"/>
  <c r="H42" i="16"/>
  <c r="L46" i="16"/>
  <c r="K24" i="16"/>
  <c r="E26" i="16"/>
  <c r="J27" i="16"/>
  <c r="D29" i="16"/>
  <c r="I30" i="16"/>
  <c r="N31" i="16"/>
  <c r="H33" i="16"/>
  <c r="M34" i="16"/>
  <c r="G36" i="16"/>
  <c r="D38" i="10" s="1"/>
  <c r="L38" i="16"/>
  <c r="F40" i="16"/>
  <c r="K41" i="16"/>
  <c r="E43" i="16"/>
  <c r="J44" i="16"/>
  <c r="D46" i="16"/>
  <c r="I47" i="16"/>
  <c r="N48" i="16"/>
  <c r="H50" i="16"/>
  <c r="E52" i="16"/>
  <c r="J52" i="16"/>
  <c r="D53" i="16"/>
  <c r="J53" i="16"/>
  <c r="D54" i="16"/>
  <c r="I54" i="16"/>
  <c r="D55" i="16"/>
  <c r="I55" i="16"/>
  <c r="N55" i="16"/>
  <c r="I56" i="16"/>
  <c r="N56" i="16"/>
  <c r="G57" i="16"/>
  <c r="D59" i="10" s="1"/>
  <c r="K57" i="16"/>
  <c r="D58" i="16"/>
  <c r="H58" i="16"/>
  <c r="L58" i="16"/>
  <c r="E59" i="16"/>
  <c r="I59" i="16"/>
  <c r="M59" i="16"/>
  <c r="F60" i="16"/>
  <c r="J60" i="16"/>
  <c r="N60" i="16"/>
  <c r="G61" i="16"/>
  <c r="K61" i="16"/>
  <c r="D62" i="16"/>
  <c r="H62" i="16"/>
  <c r="L62" i="16"/>
  <c r="E63" i="16"/>
  <c r="I63" i="16"/>
  <c r="M63" i="16"/>
  <c r="F64" i="16"/>
  <c r="J64" i="16"/>
  <c r="N64" i="16"/>
  <c r="G66" i="16"/>
  <c r="K66" i="16"/>
  <c r="D67" i="16"/>
  <c r="H67" i="16"/>
  <c r="L67" i="16"/>
  <c r="E68" i="16"/>
  <c r="I68" i="16"/>
  <c r="M68" i="16"/>
  <c r="F69" i="16"/>
  <c r="J69" i="16"/>
  <c r="N69" i="16"/>
  <c r="G70" i="16"/>
  <c r="K70" i="16"/>
  <c r="D71" i="16"/>
  <c r="H71" i="16"/>
  <c r="L71" i="16"/>
  <c r="C26" i="16"/>
  <c r="C30" i="16"/>
  <c r="C34" i="16"/>
  <c r="C39" i="16"/>
  <c r="C43" i="16"/>
  <c r="C47" i="16"/>
  <c r="C52" i="16"/>
  <c r="C56" i="16"/>
  <c r="C60" i="16"/>
  <c r="C64" i="16"/>
  <c r="C69" i="16"/>
  <c r="M26" i="16"/>
  <c r="F31" i="16"/>
  <c r="J35" i="16"/>
  <c r="N40" i="16"/>
  <c r="G45" i="16"/>
  <c r="G52" i="16"/>
  <c r="G54" i="16"/>
  <c r="F56" i="16"/>
  <c r="M57" i="16"/>
  <c r="G59" i="16"/>
  <c r="L60" i="16"/>
  <c r="F62" i="16"/>
  <c r="K63" i="16"/>
  <c r="E66" i="16"/>
  <c r="J67" i="16"/>
  <c r="D69" i="16"/>
  <c r="I70" i="16"/>
  <c r="N71" i="16"/>
  <c r="C41" i="16"/>
  <c r="C58" i="16"/>
  <c r="K56" i="16"/>
  <c r="E61" i="16"/>
  <c r="D64" i="16"/>
  <c r="H69" i="16"/>
  <c r="C45" i="16"/>
  <c r="K49" i="16"/>
  <c r="G53" i="16"/>
  <c r="F55" i="16"/>
  <c r="E57" i="16"/>
  <c r="J58" i="16"/>
  <c r="D60" i="16"/>
  <c r="I61" i="16"/>
  <c r="N62" i="16"/>
  <c r="H64" i="16"/>
  <c r="M66" i="16"/>
  <c r="G68" i="16"/>
  <c r="D70" i="10" s="1"/>
  <c r="L69" i="16"/>
  <c r="F71" i="16"/>
  <c r="C32" i="16"/>
  <c r="C49" i="16"/>
  <c r="C67" i="16"/>
  <c r="L54" i="16"/>
  <c r="K59" i="16"/>
  <c r="I66" i="16"/>
  <c r="M70" i="16"/>
  <c r="C62" i="16"/>
  <c r="M50" i="16"/>
  <c r="L53" i="16"/>
  <c r="L55" i="16"/>
  <c r="I57" i="16"/>
  <c r="N58" i="16"/>
  <c r="H60" i="16"/>
  <c r="M61" i="16"/>
  <c r="G63" i="16"/>
  <c r="D65" i="10" s="1"/>
  <c r="L64" i="16"/>
  <c r="F67" i="16"/>
  <c r="K68" i="16"/>
  <c r="E70" i="16"/>
  <c r="J71" i="16"/>
  <c r="C36" i="16"/>
  <c r="C54" i="16"/>
  <c r="C71" i="16"/>
  <c r="M52" i="16"/>
  <c r="F58" i="16"/>
  <c r="J62" i="16"/>
  <c r="N67" i="16"/>
  <c r="C28" i="16"/>
  <c r="C44" i="10"/>
  <c r="D43" i="11" s="1"/>
  <c r="L26" i="19"/>
  <c r="Q25" i="11" s="1"/>
  <c r="L65" i="19"/>
  <c r="Q64" i="11" s="1"/>
  <c r="L60" i="19"/>
  <c r="Q59" i="11" s="1"/>
  <c r="L71" i="19"/>
  <c r="Q70" i="11" s="1"/>
  <c r="L31" i="19"/>
  <c r="Q30" i="11" s="1"/>
  <c r="I67" i="18"/>
  <c r="I74" i="18" s="1"/>
  <c r="P53" i="11"/>
  <c r="P79" i="11" s="1"/>
  <c r="I53" i="18"/>
  <c r="I39" i="18"/>
  <c r="J67" i="10"/>
  <c r="J74" i="10" s="1"/>
  <c r="O66" i="11"/>
  <c r="O73" i="11" s="1"/>
  <c r="L43" i="11"/>
  <c r="K38" i="11"/>
  <c r="L65" i="11"/>
  <c r="L60" i="11"/>
  <c r="L48" i="11"/>
  <c r="B177" i="16"/>
  <c r="L36" i="11"/>
  <c r="L57" i="11"/>
  <c r="G52" i="11"/>
  <c r="O38" i="11"/>
  <c r="L69" i="11"/>
  <c r="O78" i="11"/>
  <c r="L68" i="11"/>
  <c r="L54" i="11"/>
  <c r="L62" i="11"/>
  <c r="L27" i="11"/>
  <c r="L64" i="11"/>
  <c r="L26" i="11"/>
  <c r="L40" i="11"/>
  <c r="L51" i="11"/>
  <c r="L28" i="11"/>
  <c r="L37" i="11"/>
  <c r="L45" i="11"/>
  <c r="L56" i="11"/>
  <c r="O79" i="11"/>
  <c r="L31" i="11"/>
  <c r="L34" i="11"/>
  <c r="L44" i="11"/>
  <c r="L29" i="11"/>
  <c r="L30" i="11"/>
  <c r="K53" i="11"/>
  <c r="K66" i="11" s="1"/>
  <c r="B142" i="16"/>
  <c r="K39" i="11"/>
  <c r="K52" i="11" s="1"/>
  <c r="C65" i="10"/>
  <c r="D64" i="11" s="1"/>
  <c r="L59" i="19"/>
  <c r="Q58" i="11" s="1"/>
  <c r="L36" i="19"/>
  <c r="Q35" i="11" s="1"/>
  <c r="B174" i="16"/>
  <c r="K67" i="11"/>
  <c r="L67" i="11" s="1"/>
  <c r="O52" i="11"/>
  <c r="C49" i="10"/>
  <c r="D48" i="11" s="1"/>
  <c r="C34" i="10"/>
  <c r="D33" i="11" s="1"/>
  <c r="G38" i="11"/>
  <c r="C60" i="10"/>
  <c r="D59" i="11" s="1"/>
  <c r="C72" i="10"/>
  <c r="D71" i="11" s="1"/>
  <c r="C28" i="10"/>
  <c r="D27" i="11" s="1"/>
  <c r="C66" i="10"/>
  <c r="D65" i="11" s="1"/>
  <c r="C27" i="10"/>
  <c r="D26" i="11" s="1"/>
  <c r="C38" i="10"/>
  <c r="D37" i="11" s="1"/>
  <c r="C42" i="10"/>
  <c r="D41" i="11" s="1"/>
  <c r="C33" i="10"/>
  <c r="D32" i="11" s="1"/>
  <c r="P52" i="11"/>
  <c r="P38" i="11"/>
  <c r="G66" i="11"/>
  <c r="G73" i="11" s="1"/>
  <c r="L61" i="11"/>
  <c r="J66" i="11"/>
  <c r="J73" i="11" s="1"/>
  <c r="L47" i="11"/>
  <c r="J52" i="11"/>
  <c r="L33" i="11"/>
  <c r="J38" i="11"/>
  <c r="G79" i="11"/>
  <c r="J79" i="11"/>
  <c r="G78" i="11"/>
  <c r="J78" i="11"/>
  <c r="L25" i="11"/>
  <c r="C67" i="19"/>
  <c r="C74" i="19" s="1"/>
  <c r="C53" i="19"/>
  <c r="L56" i="19"/>
  <c r="Q55" i="11" s="1"/>
  <c r="L38" i="19"/>
  <c r="Q37" i="11" s="1"/>
  <c r="L72" i="19"/>
  <c r="Q71" i="11" s="1"/>
  <c r="L55" i="19"/>
  <c r="Q54" i="11" s="1"/>
  <c r="L37" i="19"/>
  <c r="Q36" i="11" s="1"/>
  <c r="L66" i="19"/>
  <c r="Q65" i="11" s="1"/>
  <c r="L49" i="19"/>
  <c r="Q48" i="11" s="1"/>
  <c r="L32" i="19"/>
  <c r="Q31" i="11" s="1"/>
  <c r="L61" i="19"/>
  <c r="Q60" i="11" s="1"/>
  <c r="L44" i="19"/>
  <c r="Q43" i="11" s="1"/>
  <c r="L27" i="19"/>
  <c r="Q26" i="11" s="1"/>
  <c r="B165" i="16"/>
  <c r="L69" i="19"/>
  <c r="Q68" i="11" s="1"/>
  <c r="L51" i="19"/>
  <c r="Q50" i="11" s="1"/>
  <c r="L34" i="19"/>
  <c r="Q33" i="11" s="1"/>
  <c r="L68" i="19"/>
  <c r="Q67" i="11" s="1"/>
  <c r="L50" i="19"/>
  <c r="Q49" i="11" s="1"/>
  <c r="L33" i="19"/>
  <c r="Q32" i="11" s="1"/>
  <c r="L62" i="19"/>
  <c r="Q61" i="11" s="1"/>
  <c r="L45" i="19"/>
  <c r="Q44" i="11" s="1"/>
  <c r="L28" i="19"/>
  <c r="Q27" i="11" s="1"/>
  <c r="L57" i="19"/>
  <c r="Q56" i="11" s="1"/>
  <c r="L40" i="19"/>
  <c r="Q39" i="11" s="1"/>
  <c r="B161" i="16"/>
  <c r="L64" i="19"/>
  <c r="Q63" i="11" s="1"/>
  <c r="L47" i="19"/>
  <c r="Q46" i="11" s="1"/>
  <c r="L30" i="19"/>
  <c r="Q29" i="11" s="1"/>
  <c r="L63" i="19"/>
  <c r="Q62" i="11" s="1"/>
  <c r="L46" i="19"/>
  <c r="Q45" i="11" s="1"/>
  <c r="L29" i="19"/>
  <c r="Q28" i="11" s="1"/>
  <c r="L58" i="19"/>
  <c r="Q57" i="11" s="1"/>
  <c r="L41" i="19"/>
  <c r="Q40" i="11" s="1"/>
  <c r="L70" i="19"/>
  <c r="Q69" i="11" s="1"/>
  <c r="L52" i="19"/>
  <c r="Q51" i="11" s="1"/>
  <c r="L35" i="19"/>
  <c r="Q34" i="11" s="1"/>
  <c r="B178" i="16"/>
  <c r="B152" i="16"/>
  <c r="C73" i="10"/>
  <c r="D72" i="11" s="1"/>
  <c r="C56" i="10"/>
  <c r="D55" i="11" s="1"/>
  <c r="C55" i="10"/>
  <c r="D54" i="11" s="1"/>
  <c r="C54" i="10"/>
  <c r="D53" i="11" s="1"/>
  <c r="C61" i="10"/>
  <c r="D60" i="11" s="1"/>
  <c r="C43" i="10"/>
  <c r="D42" i="11" s="1"/>
  <c r="C59" i="10"/>
  <c r="D58" i="11" s="1"/>
  <c r="C71" i="10"/>
  <c r="D70" i="11" s="1"/>
  <c r="C29" i="10"/>
  <c r="D28" i="11" s="1"/>
  <c r="C48" i="10"/>
  <c r="D47" i="11" s="1"/>
  <c r="C69" i="10"/>
  <c r="D68" i="11" s="1"/>
  <c r="C31" i="10"/>
  <c r="D30" i="11" s="1"/>
  <c r="C64" i="10"/>
  <c r="D63" i="11" s="1"/>
  <c r="C47" i="10"/>
  <c r="D46" i="11" s="1"/>
  <c r="C35" i="10"/>
  <c r="D34" i="11" s="1"/>
  <c r="C63" i="10"/>
  <c r="D62" i="11" s="1"/>
  <c r="C46" i="10"/>
  <c r="D45" i="11" s="1"/>
  <c r="C36" i="10"/>
  <c r="D35" i="11" s="1"/>
  <c r="C58" i="10"/>
  <c r="D57" i="11" s="1"/>
  <c r="C41" i="10"/>
  <c r="D40" i="11" s="1"/>
  <c r="C70" i="10"/>
  <c r="D69" i="11" s="1"/>
  <c r="C52" i="10"/>
  <c r="D51" i="11" s="1"/>
  <c r="C30" i="10"/>
  <c r="D29" i="11" s="1"/>
  <c r="C51" i="10"/>
  <c r="D50" i="11" s="1"/>
  <c r="C68" i="10"/>
  <c r="D67" i="11" s="1"/>
  <c r="C50" i="10"/>
  <c r="D49" i="11" s="1"/>
  <c r="C32" i="10"/>
  <c r="D31" i="11" s="1"/>
  <c r="C62" i="10"/>
  <c r="D61" i="11" s="1"/>
  <c r="C45" i="10"/>
  <c r="D44" i="11" s="1"/>
  <c r="C37" i="10"/>
  <c r="D36" i="11" s="1"/>
  <c r="C57" i="10"/>
  <c r="D56" i="11" s="1"/>
  <c r="C40" i="10"/>
  <c r="D39" i="11" s="1"/>
  <c r="B169" i="16"/>
  <c r="B148" i="16"/>
  <c r="B156" i="16"/>
  <c r="C16" i="21"/>
  <c r="C16" i="16"/>
  <c r="C16" i="10"/>
  <c r="C16" i="18"/>
  <c r="C16" i="11"/>
  <c r="C16" i="19"/>
  <c r="C39" i="19"/>
  <c r="B147" i="16"/>
  <c r="B164" i="16"/>
  <c r="B135" i="16"/>
  <c r="B151" i="16"/>
  <c r="B171" i="16"/>
  <c r="B168" i="16"/>
  <c r="B139" i="16"/>
  <c r="B155" i="16"/>
  <c r="B172" i="16"/>
  <c r="B143" i="16"/>
  <c r="B163" i="16"/>
  <c r="B160" i="16"/>
  <c r="B176" i="16"/>
  <c r="B167" i="16"/>
  <c r="D72" i="10"/>
  <c r="D69" i="10"/>
  <c r="D66" i="10"/>
  <c r="D63" i="10"/>
  <c r="D61" i="10"/>
  <c r="D60" i="10"/>
  <c r="P66" i="11" l="1"/>
  <c r="P73" i="11" s="1"/>
  <c r="O77" i="11"/>
  <c r="K79" i="11"/>
  <c r="P78" i="11"/>
  <c r="O80" i="11"/>
  <c r="K73" i="11"/>
  <c r="L38" i="11"/>
  <c r="K78" i="11"/>
  <c r="L53" i="11"/>
  <c r="L66" i="11" s="1"/>
  <c r="L73" i="11" s="1"/>
  <c r="D29" i="10"/>
  <c r="D31" i="10"/>
  <c r="D36" i="10"/>
  <c r="L39" i="11"/>
  <c r="L52" i="11" s="1"/>
  <c r="D27" i="10"/>
  <c r="D30" i="10"/>
  <c r="D33" i="10"/>
  <c r="D34" i="10"/>
  <c r="D37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4" i="10"/>
  <c r="D55" i="10"/>
  <c r="D28" i="10"/>
  <c r="D32" i="10"/>
  <c r="D35" i="10"/>
  <c r="L53" i="19"/>
  <c r="Q66" i="11"/>
  <c r="Q73" i="11" s="1"/>
  <c r="Q38" i="11"/>
  <c r="D56" i="10"/>
  <c r="D68" i="10"/>
  <c r="D52" i="11"/>
  <c r="D38" i="11"/>
  <c r="D66" i="11"/>
  <c r="D73" i="11" s="1"/>
  <c r="Q52" i="11"/>
  <c r="J80" i="11"/>
  <c r="J77" i="11"/>
  <c r="D79" i="11"/>
  <c r="D78" i="11"/>
  <c r="Q78" i="11"/>
  <c r="Q79" i="11"/>
  <c r="L67" i="19"/>
  <c r="L74" i="19" s="1"/>
  <c r="C67" i="10"/>
  <c r="C74" i="10" s="1"/>
  <c r="L39" i="19"/>
  <c r="C39" i="10"/>
  <c r="C53" i="10"/>
  <c r="L78" i="11" l="1"/>
  <c r="L77" i="11"/>
  <c r="L79" i="11"/>
  <c r="L80" i="11"/>
  <c r="Q77" i="11"/>
  <c r="D77" i="11"/>
  <c r="P80" i="11"/>
  <c r="P77" i="11"/>
  <c r="G77" i="11"/>
  <c r="Q80" i="11"/>
  <c r="D80" i="11"/>
  <c r="G80" i="11"/>
  <c r="E72" i="11"/>
  <c r="F72" i="11" s="1"/>
  <c r="H72" i="11"/>
  <c r="I72" i="11" s="1"/>
  <c r="D53" i="19"/>
  <c r="D67" i="19"/>
  <c r="D74" i="19" s="1"/>
  <c r="E25" i="11"/>
  <c r="D39" i="19"/>
  <c r="H25" i="11"/>
  <c r="I25" i="11" s="1"/>
  <c r="E69" i="11"/>
  <c r="F69" i="11" s="1"/>
  <c r="H69" i="11"/>
  <c r="I69" i="11" s="1"/>
  <c r="E64" i="11"/>
  <c r="F64" i="11" s="1"/>
  <c r="H64" i="11"/>
  <c r="I64" i="11" s="1"/>
  <c r="E71" i="11"/>
  <c r="F71" i="11" s="1"/>
  <c r="H71" i="11"/>
  <c r="I71" i="11" s="1"/>
  <c r="E67" i="11"/>
  <c r="H67" i="11"/>
  <c r="E62" i="11"/>
  <c r="F62" i="11" s="1"/>
  <c r="H62" i="11"/>
  <c r="I62" i="11" s="1"/>
  <c r="E58" i="11"/>
  <c r="F58" i="11" s="1"/>
  <c r="H58" i="11"/>
  <c r="I58" i="11" s="1"/>
  <c r="E51" i="11"/>
  <c r="F51" i="11" s="1"/>
  <c r="H51" i="11"/>
  <c r="I51" i="11" s="1"/>
  <c r="E30" i="11"/>
  <c r="F30" i="11" s="1"/>
  <c r="H30" i="11"/>
  <c r="I30" i="11" s="1"/>
  <c r="E46" i="11"/>
  <c r="F46" i="11" s="1"/>
  <c r="H46" i="11"/>
  <c r="I46" i="11" s="1"/>
  <c r="E37" i="11"/>
  <c r="F37" i="11" s="1"/>
  <c r="H37" i="11"/>
  <c r="I37" i="11" s="1"/>
  <c r="E26" i="11"/>
  <c r="F26" i="11" s="1"/>
  <c r="H26" i="11"/>
  <c r="I26" i="11" s="1"/>
  <c r="E48" i="11"/>
  <c r="F48" i="11" s="1"/>
  <c r="H48" i="11"/>
  <c r="I48" i="11" s="1"/>
  <c r="E28" i="11"/>
  <c r="F28" i="11" s="1"/>
  <c r="H28" i="11"/>
  <c r="I28" i="11" s="1"/>
  <c r="E68" i="11"/>
  <c r="F68" i="11" s="1"/>
  <c r="H68" i="11"/>
  <c r="I68" i="11" s="1"/>
  <c r="E63" i="11"/>
  <c r="F63" i="11" s="1"/>
  <c r="H63" i="11"/>
  <c r="I63" i="11" s="1"/>
  <c r="E59" i="11"/>
  <c r="F59" i="11" s="1"/>
  <c r="H59" i="11"/>
  <c r="I59" i="11" s="1"/>
  <c r="E55" i="11"/>
  <c r="H55" i="11"/>
  <c r="I55" i="11" s="1"/>
  <c r="E47" i="11"/>
  <c r="F47" i="11" s="1"/>
  <c r="H47" i="11"/>
  <c r="I47" i="11" s="1"/>
  <c r="E42" i="11"/>
  <c r="F42" i="11" s="1"/>
  <c r="H42" i="11"/>
  <c r="I42" i="11" s="1"/>
  <c r="H54" i="11"/>
  <c r="I54" i="11" s="1"/>
  <c r="E34" i="11"/>
  <c r="F34" i="11" s="1"/>
  <c r="H34" i="11"/>
  <c r="I34" i="11" s="1"/>
  <c r="E44" i="11"/>
  <c r="F44" i="11" s="1"/>
  <c r="H44" i="11"/>
  <c r="I44" i="11" s="1"/>
  <c r="E40" i="11"/>
  <c r="F40" i="11" s="1"/>
  <c r="H40" i="11"/>
  <c r="I40" i="11" s="1"/>
  <c r="E41" i="11"/>
  <c r="F41" i="11" s="1"/>
  <c r="H41" i="11"/>
  <c r="I41" i="11" s="1"/>
  <c r="E35" i="11"/>
  <c r="F35" i="11" s="1"/>
  <c r="H35" i="11"/>
  <c r="I35" i="11" s="1"/>
  <c r="E56" i="11"/>
  <c r="F56" i="11" s="1"/>
  <c r="H56" i="11"/>
  <c r="I56" i="11" s="1"/>
  <c r="E43" i="11"/>
  <c r="F43" i="11" s="1"/>
  <c r="H43" i="11"/>
  <c r="I43" i="11" s="1"/>
  <c r="E49" i="11"/>
  <c r="F49" i="11" s="1"/>
  <c r="H49" i="11"/>
  <c r="I49" i="11" s="1"/>
  <c r="E33" i="11"/>
  <c r="F33" i="11" s="1"/>
  <c r="H33" i="11"/>
  <c r="I33" i="11" s="1"/>
  <c r="E36" i="11"/>
  <c r="F36" i="11" s="1"/>
  <c r="H36" i="11"/>
  <c r="I36" i="11" s="1"/>
  <c r="E31" i="11"/>
  <c r="F31" i="11" s="1"/>
  <c r="H31" i="11"/>
  <c r="I31" i="11" s="1"/>
  <c r="E70" i="11"/>
  <c r="F70" i="11" s="1"/>
  <c r="H70" i="11"/>
  <c r="I70" i="11" s="1"/>
  <c r="E65" i="11"/>
  <c r="F65" i="11" s="1"/>
  <c r="H65" i="11"/>
  <c r="I65" i="11" s="1"/>
  <c r="E61" i="11"/>
  <c r="F61" i="11" s="1"/>
  <c r="H61" i="11"/>
  <c r="I61" i="11" s="1"/>
  <c r="E57" i="11"/>
  <c r="F57" i="11" s="1"/>
  <c r="H57" i="11"/>
  <c r="I57" i="11" s="1"/>
  <c r="E50" i="11"/>
  <c r="F50" i="11" s="1"/>
  <c r="H50" i="11"/>
  <c r="I50" i="11" s="1"/>
  <c r="E45" i="11"/>
  <c r="F45" i="11" s="1"/>
  <c r="H45" i="11"/>
  <c r="I45" i="11" s="1"/>
  <c r="E39" i="11"/>
  <c r="H39" i="11"/>
  <c r="E53" i="11"/>
  <c r="H53" i="11"/>
  <c r="E32" i="11"/>
  <c r="F32" i="11" s="1"/>
  <c r="H32" i="11"/>
  <c r="I32" i="11" s="1"/>
  <c r="E27" i="11"/>
  <c r="F27" i="11" s="1"/>
  <c r="H27" i="11"/>
  <c r="I27" i="11" s="1"/>
  <c r="E29" i="11"/>
  <c r="F29" i="11" s="1"/>
  <c r="H29" i="11"/>
  <c r="I29" i="11" s="1"/>
  <c r="C43" i="11" l="1"/>
  <c r="F39" i="11"/>
  <c r="F52" i="11" s="1"/>
  <c r="E52" i="11"/>
  <c r="I53" i="11"/>
  <c r="E38" i="11"/>
  <c r="F53" i="11"/>
  <c r="H38" i="11"/>
  <c r="I39" i="11"/>
  <c r="I52" i="11" s="1"/>
  <c r="H52" i="11"/>
  <c r="K80" i="11"/>
  <c r="K77" i="11"/>
  <c r="I67" i="11"/>
  <c r="F67" i="11"/>
  <c r="I38" i="11"/>
  <c r="F25" i="11"/>
  <c r="F38" i="11" s="1"/>
  <c r="C64" i="11"/>
  <c r="C28" i="11"/>
  <c r="C26" i="11"/>
  <c r="C46" i="11"/>
  <c r="C40" i="11"/>
  <c r="C42" i="11"/>
  <c r="C45" i="11"/>
  <c r="C27" i="11"/>
  <c r="C51" i="11"/>
  <c r="C71" i="11"/>
  <c r="C62" i="11"/>
  <c r="C65" i="11"/>
  <c r="C57" i="11"/>
  <c r="C63" i="11"/>
  <c r="C61" i="11"/>
  <c r="C36" i="11"/>
  <c r="C56" i="11"/>
  <c r="C41" i="11"/>
  <c r="C47" i="11"/>
  <c r="C59" i="11"/>
  <c r="C48" i="11"/>
  <c r="C37" i="11"/>
  <c r="C58" i="11"/>
  <c r="C72" i="11"/>
  <c r="C29" i="11"/>
  <c r="C50" i="11"/>
  <c r="C70" i="11"/>
  <c r="C49" i="11"/>
  <c r="C44" i="11"/>
  <c r="C68" i="11"/>
  <c r="C69" i="11"/>
  <c r="H60" i="11"/>
  <c r="H79" i="11" s="1"/>
  <c r="E60" i="11"/>
  <c r="D53" i="10"/>
  <c r="D67" i="10"/>
  <c r="D74" i="10" s="1"/>
  <c r="D39" i="10"/>
  <c r="E54" i="11"/>
  <c r="F54" i="11" s="1"/>
  <c r="C54" i="11" s="1"/>
  <c r="F55" i="11"/>
  <c r="C55" i="11" s="1"/>
  <c r="C34" i="11"/>
  <c r="C30" i="11"/>
  <c r="C35" i="11"/>
  <c r="C31" i="11"/>
  <c r="C32" i="11"/>
  <c r="C33" i="11"/>
  <c r="H66" i="11" l="1"/>
  <c r="H73" i="11" s="1"/>
  <c r="H77" i="11" s="1"/>
  <c r="H78" i="11"/>
  <c r="C39" i="11"/>
  <c r="C52" i="11" s="1"/>
  <c r="C53" i="11"/>
  <c r="I60" i="11"/>
  <c r="I78" i="11" s="1"/>
  <c r="E66" i="11"/>
  <c r="F60" i="11"/>
  <c r="F66" i="11" s="1"/>
  <c r="C67" i="11"/>
  <c r="E79" i="11"/>
  <c r="E78" i="11"/>
  <c r="C25" i="11"/>
  <c r="E73" i="11" l="1"/>
  <c r="E77" i="11" s="1"/>
  <c r="I79" i="11"/>
  <c r="I66" i="11"/>
  <c r="I73" i="11" s="1"/>
  <c r="H80" i="11"/>
  <c r="F79" i="11"/>
  <c r="F78" i="11"/>
  <c r="C60" i="11"/>
  <c r="C66" i="11" s="1"/>
  <c r="F73" i="11"/>
  <c r="F80" i="11" s="1"/>
  <c r="C77" i="11"/>
  <c r="C38" i="11"/>
  <c r="C80" i="11"/>
  <c r="C78" i="11"/>
  <c r="C79" i="11" l="1"/>
  <c r="F77" i="11"/>
  <c r="C73" i="11"/>
  <c r="I77" i="11"/>
  <c r="I80" i="11"/>
  <c r="E80" i="11"/>
</calcChain>
</file>

<file path=xl/sharedStrings.xml><?xml version="1.0" encoding="utf-8"?>
<sst xmlns="http://schemas.openxmlformats.org/spreadsheetml/2006/main" count="730" uniqueCount="269">
  <si>
    <t>GROUPE</t>
  </si>
  <si>
    <t>GE2.2</t>
  </si>
  <si>
    <t>GC</t>
  </si>
  <si>
    <t>GE2.1</t>
  </si>
  <si>
    <t>kWh</t>
  </si>
  <si>
    <t>T3</t>
  </si>
  <si>
    <t>T4</t>
  </si>
  <si>
    <t>T5</t>
  </si>
  <si>
    <t>SURFACE</t>
  </si>
  <si>
    <t>PROJET</t>
  </si>
  <si>
    <t>ENCERTICUS</t>
  </si>
  <si>
    <t>ETUDE</t>
  </si>
  <si>
    <t>CHAUFFAGE - ENERGIE GAZ</t>
  </si>
  <si>
    <t>INDICE GDF [N-1]</t>
  </si>
  <si>
    <t>INDICE GDF [N]</t>
  </si>
  <si>
    <t>KWh PCS en kWh PCI</t>
  </si>
  <si>
    <t>S01</t>
  </si>
  <si>
    <t>kWh PCI / m²</t>
  </si>
  <si>
    <t>-</t>
  </si>
  <si>
    <t>m²</t>
  </si>
  <si>
    <t>INDICE EDF [N-1]</t>
  </si>
  <si>
    <t>INDICE EDF [N]</t>
  </si>
  <si>
    <t>kWh / m²</t>
  </si>
  <si>
    <t>Nbre semaine par mois</t>
  </si>
  <si>
    <t>ENERTECH/CEREN - 2008</t>
  </si>
  <si>
    <t>Ratio CHAUFFAGE corrigé</t>
  </si>
  <si>
    <t>INDICE EAU
[N-1]</t>
  </si>
  <si>
    <t>Ratio EAU</t>
  </si>
  <si>
    <t>litres / occup</t>
  </si>
  <si>
    <t>http://www.eaufrance.fr/site-156/groupes-de-chiffres-cles/consommation-d-eau-par-foyer-en</t>
  </si>
  <si>
    <t>EAU
EF + ECS</t>
  </si>
  <si>
    <t>Ratio EAU type</t>
  </si>
  <si>
    <t>%</t>
  </si>
  <si>
    <r>
      <t>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en kWh PCI</t>
    </r>
  </si>
  <si>
    <r>
      <t>kWh / m</t>
    </r>
    <r>
      <rPr>
        <vertAlign val="superscript"/>
        <sz val="10"/>
        <color theme="1"/>
        <rFont val="Arial"/>
        <family val="2"/>
      </rPr>
      <t>3</t>
    </r>
  </si>
  <si>
    <t>Semaine</t>
  </si>
  <si>
    <t>Pas de temps</t>
  </si>
  <si>
    <r>
      <t>1m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de 15°C à 50°C ; rendement=90%</t>
    </r>
  </si>
  <si>
    <r>
      <t>m</t>
    </r>
    <r>
      <rPr>
        <i/>
        <vertAlign val="superscript"/>
        <sz val="10"/>
        <color theme="1"/>
        <rFont val="Arial"/>
        <family val="2"/>
      </rPr>
      <t>3</t>
    </r>
  </si>
  <si>
    <t>kWh/m²</t>
  </si>
  <si>
    <t>Année</t>
  </si>
  <si>
    <t>Mois</t>
  </si>
  <si>
    <t>S16</t>
  </si>
  <si>
    <t>Avril</t>
  </si>
  <si>
    <t>SO</t>
  </si>
  <si>
    <t>APPARTEMENT</t>
  </si>
  <si>
    <t>Janvier</t>
  </si>
  <si>
    <t>Février</t>
  </si>
  <si>
    <t>Mars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</si>
  <si>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</si>
  <si>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</si>
  <si>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</si>
  <si>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</si>
  <si>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</si>
  <si>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</si>
  <si>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</si>
  <si>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</si>
  <si>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Consommation cuisson</t>
  </si>
  <si>
    <t>Consommation chauffage</t>
  </si>
  <si>
    <t>Consommation ECS</t>
  </si>
  <si>
    <t>Consommation électrique</t>
  </si>
  <si>
    <t>Consommation eau (EF+ECS)</t>
  </si>
  <si>
    <t>kWh / ménage</t>
  </si>
  <si>
    <t>Ratio type / semaine</t>
  </si>
  <si>
    <t>kWh / logement</t>
  </si>
  <si>
    <t>l / pers</t>
  </si>
  <si>
    <t>Unité</t>
  </si>
  <si>
    <t>Période</t>
  </si>
  <si>
    <t>Constante - Facteur de conversion</t>
  </si>
  <si>
    <t>Conversion GAZ</t>
  </si>
  <si>
    <t>Source</t>
  </si>
  <si>
    <t>Traitement données GAZ</t>
  </si>
  <si>
    <t>T</t>
  </si>
  <si>
    <r>
      <t>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/ pers</t>
    </r>
  </si>
  <si>
    <t>TYPE APPART</t>
  </si>
  <si>
    <t>TAUX OCCUPATION</t>
  </si>
  <si>
    <t>COMPTEUR GAZ</t>
  </si>
  <si>
    <t>COMPTEUR ECS</t>
  </si>
  <si>
    <t>NOM DE LA DONNEES</t>
  </si>
  <si>
    <t>ELECTRICTE - TOUT USAGE</t>
  </si>
  <si>
    <t>COMPTEUR ELEC</t>
  </si>
  <si>
    <t>Données relevé</t>
  </si>
  <si>
    <t>Ratio nationaux et régionaux</t>
  </si>
  <si>
    <t>Ratio ELECTRICTE de référence</t>
  </si>
  <si>
    <t>Ratio EAU de référence</t>
  </si>
  <si>
    <t>ECONOMIE GLOBALE</t>
  </si>
  <si>
    <t>Moyenne des economie sans coef</t>
  </si>
  <si>
    <t>EAU - EF + ECS</t>
  </si>
  <si>
    <t>Ratio ELECTRICTE</t>
  </si>
  <si>
    <t>Ratio ELECTRICITE type</t>
  </si>
  <si>
    <t>Ratio CHAUFFAGE type</t>
  </si>
  <si>
    <t>Volume d'ECS "estimation"</t>
  </si>
  <si>
    <t>NOMBRE D'OCCUPANTS</t>
  </si>
  <si>
    <t>Personne</t>
  </si>
  <si>
    <t>CASE à REMPLIR</t>
  </si>
  <si>
    <t>NOTES &amp; REMARQUES</t>
  </si>
  <si>
    <t>Traitement données ELEC</t>
  </si>
  <si>
    <t>Traitement données EAU</t>
  </si>
  <si>
    <t>Entrée Logiciel</t>
  </si>
  <si>
    <t>VALEUR à vérifier</t>
  </si>
  <si>
    <t>SORTIE logiciel</t>
  </si>
  <si>
    <t>Valeur de référence</t>
  </si>
  <si>
    <t>ECONOMIE CHAUFFAGE</t>
  </si>
  <si>
    <t>ECONOMIE EAU</t>
  </si>
  <si>
    <t>ECONOMIE ELECTRICTE</t>
  </si>
  <si>
    <t>TRAITEMENT METEO</t>
  </si>
  <si>
    <t>METEO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</si>
  <si>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</si>
  <si>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</si>
  <si>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</si>
  <si>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</si>
  <si>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</si>
  <si>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</si>
  <si>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</si>
  <si>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</si>
  <si>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</si>
  <si>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</si>
  <si>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</si>
  <si>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</si>
  <si>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</si>
  <si>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</si>
  <si>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</si>
  <si>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</si>
  <si>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</si>
  <si>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</si>
  <si>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</si>
  <si>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</si>
  <si>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</si>
  <si>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</si>
  <si>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</si>
  <si>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</si>
  <si>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</si>
  <si>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</si>
  <si>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</si>
  <si>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</si>
  <si>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</si>
  <si>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</si>
  <si>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</si>
  <si>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</si>
  <si>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</si>
  <si>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</si>
  <si>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</si>
  <si>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</si>
  <si>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</si>
  <si>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</si>
  <si>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</si>
  <si>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</si>
  <si>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</si>
  <si>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</si>
  <si>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</si>
  <si>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</si>
  <si>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</si>
  <si>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</si>
  <si>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</si>
  <si>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</si>
  <si>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</si>
  <si>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</si>
  <si>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Facteur travaux</t>
  </si>
  <si>
    <t>DJU MODELE</t>
  </si>
  <si>
    <t>NE PAS SUPPRIMER</t>
  </si>
  <si>
    <t>Ne pas supprimer</t>
  </si>
  <si>
    <t>Liste de choix - NE PAS SUPPRIMER</t>
  </si>
  <si>
    <t>Rq: si Ratio&lt;0 alors 0</t>
  </si>
  <si>
    <t>Maximum</t>
  </si>
  <si>
    <t>Minimum</t>
  </si>
  <si>
    <t>Mediane</t>
  </si>
  <si>
    <t>Moyenne</t>
  </si>
  <si>
    <t>STATISTIQUE</t>
  </si>
  <si>
    <t>T2</t>
  </si>
  <si>
    <t>Case rouge 0 occupation remplace par 1</t>
  </si>
  <si>
    <t>DJU 2011</t>
  </si>
  <si>
    <t>DJU 2012</t>
  </si>
  <si>
    <t>DJU 2013</t>
  </si>
  <si>
    <t>Nbre de semaine</t>
  </si>
  <si>
    <t>DJU moyen semaine</t>
  </si>
  <si>
    <t>DJU 2011/2013</t>
  </si>
  <si>
    <t>GAZ</t>
  </si>
  <si>
    <t>ECS</t>
  </si>
  <si>
    <t>ELEC</t>
  </si>
  <si>
    <t>EF</t>
  </si>
  <si>
    <t>Colonne Sem</t>
  </si>
  <si>
    <t>Année précédente</t>
  </si>
  <si>
    <t>semaine précédente</t>
  </si>
  <si>
    <t>A SUPPRIMER</t>
  </si>
  <si>
    <t>DJU REEL - 2014</t>
  </si>
  <si>
    <t>DJU REEL - 2015</t>
  </si>
  <si>
    <t>DJU REEL - 2012</t>
  </si>
  <si>
    <t>DJU REEL - 2013</t>
  </si>
  <si>
    <t>A compléter</t>
  </si>
  <si>
    <t>DJU 2014</t>
  </si>
  <si>
    <t>DJU 2015</t>
  </si>
  <si>
    <t>DJU REF - 2012</t>
  </si>
  <si>
    <t>DJU REF - 2013</t>
  </si>
  <si>
    <t>DJU REF - 2014</t>
  </si>
  <si>
    <t>DJU REF - 2015</t>
  </si>
  <si>
    <t>CONSOMMATION BRUTES GAZ ANNEE PRECEDENTE - [kWh]</t>
  </si>
  <si>
    <t>DONNEES D'ENTREE GENERALES + INDICE RELEVE SEMAINE ETUDIE</t>
  </si>
  <si>
    <t>MOYENNE GC</t>
  </si>
  <si>
    <t>MOYENNE GE2.1</t>
  </si>
  <si>
    <t>MOYENNE GE2.2</t>
  </si>
  <si>
    <t>MOYENNE SO</t>
  </si>
  <si>
    <t>CALCUL DES RATIO DE DE REFERENCE</t>
  </si>
  <si>
    <t>RATIO CHAUFFAGE - DONNEES ANNEE PRECEDENTE</t>
  </si>
  <si>
    <t>RATIO ELEC - DONNEES SEMAINE PRECEDENTE</t>
  </si>
  <si>
    <t>RATIO EAU - DONNEES SEMAINE PRECEDENTE</t>
  </si>
  <si>
    <t>TABLEAU DJU</t>
  </si>
  <si>
    <t>Ratio type / sem</t>
  </si>
  <si>
    <t>CALCUL A REPRENDRE</t>
  </si>
  <si>
    <t>Coller les résultats de la semaine précedente dans celle de la semaine étudiée</t>
  </si>
  <si>
    <t>2014-ref - S01</t>
  </si>
  <si>
    <t>2014-ref - S02</t>
  </si>
  <si>
    <t>2014-ref - S03</t>
  </si>
  <si>
    <t>2014-ref - S04</t>
  </si>
  <si>
    <t>2014-ref - S05</t>
  </si>
  <si>
    <t>2014-ref - S06</t>
  </si>
  <si>
    <t>2014-ref - S07</t>
  </si>
  <si>
    <t>2014-ref - S08</t>
  </si>
  <si>
    <t>2014-ref - S09</t>
  </si>
  <si>
    <t>2014-ref - S10</t>
  </si>
  <si>
    <t>2014-ref - S11</t>
  </si>
  <si>
    <t>2014-ref - S12</t>
  </si>
  <si>
    <t>2014-ref - S13</t>
  </si>
  <si>
    <t>2014-ref - S14</t>
  </si>
  <si>
    <t>2014-ref - S15</t>
  </si>
  <si>
    <t>2014-ref - S16</t>
  </si>
  <si>
    <t>2014-ref - S17</t>
  </si>
  <si>
    <t>2014-ref - S18</t>
  </si>
  <si>
    <t>2014-ref - S19</t>
  </si>
  <si>
    <t>2014-ref - S20</t>
  </si>
  <si>
    <t>2014-ref - S21</t>
  </si>
  <si>
    <t>2014-ref - S22</t>
  </si>
  <si>
    <t>2014-ref - S23</t>
  </si>
  <si>
    <t>2014-ref - S24</t>
  </si>
  <si>
    <t>2014-ref - S25</t>
  </si>
  <si>
    <t>2014-ref - S26</t>
  </si>
  <si>
    <t>2014-ref - S27</t>
  </si>
  <si>
    <t>2014-ref - S28</t>
  </si>
  <si>
    <t>2014-ref - S29</t>
  </si>
  <si>
    <t>2014-ref - S30</t>
  </si>
  <si>
    <t>2014-ref - S31</t>
  </si>
  <si>
    <t>2014-ref - S32</t>
  </si>
  <si>
    <t>2014-ref - S33</t>
  </si>
  <si>
    <t>2014-ref - S34</t>
  </si>
  <si>
    <t>2014-ref - S35</t>
  </si>
  <si>
    <t>2014-ref - S36</t>
  </si>
  <si>
    <t>2014-ref - S37</t>
  </si>
  <si>
    <t>2014-ref - S38</t>
  </si>
  <si>
    <t>2014-ref - S39</t>
  </si>
  <si>
    <t>2014-ref - S40</t>
  </si>
  <si>
    <t>2014-ref - S41</t>
  </si>
  <si>
    <t>2014-ref - S42</t>
  </si>
  <si>
    <t>2014-ref - S43</t>
  </si>
  <si>
    <t>2014-ref - S44</t>
  </si>
  <si>
    <t>2014-ref - S45</t>
  </si>
  <si>
    <t>2014-ref - S46</t>
  </si>
  <si>
    <t>2014-ref - S47</t>
  </si>
  <si>
    <t>2014-ref - S48</t>
  </si>
  <si>
    <t>2014-ref - S49</t>
  </si>
  <si>
    <t>2014-ref - S50</t>
  </si>
  <si>
    <t>2014-ref - S51</t>
  </si>
  <si>
    <t>2014-ref - S52</t>
  </si>
  <si>
    <t>MOIS</t>
  </si>
  <si>
    <t>Jours</t>
  </si>
  <si>
    <t>RATIO CHAUFFAGE - SEMAINE ETUDIEE</t>
  </si>
  <si>
    <t>RATIO ELECTRICITE - SEMAINE ETUDIEE</t>
  </si>
  <si>
    <t>RATIO EAU - SEMAINE ETUDIEE</t>
  </si>
  <si>
    <t>Ratio EAU réf</t>
  </si>
  <si>
    <t>Ratio ELECTRICTE réf</t>
  </si>
  <si>
    <t>Ratio CHAUFFAGE réf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</si>
</sst>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0"/>
    <numFmt numFmtId="165" formatCode="#,##0.0"/>
    <numFmt numFmtId="166" formatCode="0.0%"/>
    <numFmt numFmtId="167" formatCode="[$-40C]mmm\-yy;@"/>
    <numFmt numFmtId="168" formatCode="#,##0_ ;[Red]\-#,##0\ "/>
    <numFmt numFmtId="169" formatCode="#,##0.0000"/>
    <numFmt numFmtId="170" formatCode="[$-40C]mmmmm;@"/>
    <numFmt numFmtId="171" formatCode="#,##0.0_ ;[Red]\-#,##0.0\ 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Calibri"/>
      <family val="2"/>
      <scheme val="minor"/>
    </font>
    <font>
      <vertAlign val="superscript"/>
      <sz val="10"/>
      <color theme="1"/>
      <name val="Arial"/>
      <family val="2"/>
    </font>
    <font>
      <i/>
      <vertAlign val="superscript"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8"/>
      <color theme="1"/>
      <name val="Arial"/>
      <family val="2"/>
    </font>
    <font>
      <b/>
      <sz val="10"/>
      <color rgb="FFFF0000"/>
      <name val="Arial"/>
      <family val="2"/>
    </font>
    <font>
      <u/>
      <sz val="10"/>
      <color theme="4" tint="-0.249977111117893"/>
      <name val="Arial"/>
      <family val="2"/>
    </font>
    <font>
      <sz val="10"/>
      <color theme="0" tint="-0.499984740745262"/>
      <name val="Arial"/>
      <family val="2"/>
    </font>
    <font>
      <u/>
      <sz val="10"/>
      <color rgb="FFFF0000"/>
      <name val="Calibri"/>
      <family val="2"/>
      <scheme val="minor"/>
    </font>
    <font>
      <sz val="10"/>
      <color theme="0" tint="-0.14999847407452621"/>
      <name val="Arial"/>
      <family val="2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i/>
      <sz val="10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 style="thick">
        <color auto="1"/>
      </right>
      <top style="thin">
        <color indexed="55"/>
      </top>
      <bottom style="thin">
        <color indexed="55"/>
      </bottom>
      <diagonal/>
    </border>
    <border>
      <left style="thick">
        <color auto="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ck">
        <color auto="1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ck">
        <color auto="1"/>
      </right>
      <top/>
      <bottom style="thin">
        <color indexed="55"/>
      </bottom>
      <diagonal/>
    </border>
    <border>
      <left style="thick">
        <color auto="1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20" fillId="0" borderId="0"/>
    <xf numFmtId="0" fontId="21" fillId="0" borderId="85" applyNumberFormat="0" applyFill="0" applyAlignment="0" applyProtection="0"/>
    <xf numFmtId="0" fontId="22" fillId="0" borderId="86" applyNumberFormat="0" applyFill="0" applyAlignment="0" applyProtection="0"/>
    <xf numFmtId="0" fontId="23" fillId="0" borderId="0" applyNumberFormat="0" applyFill="0" applyBorder="0" applyAlignment="0" applyProtection="0"/>
  </cellStyleXfs>
  <cellXfs count="476">
    <xf numFmtId="0" fontId="0" fillId="0" borderId="0" xfId="0"/>
    <xf numFmtId="0" fontId="1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right" vertical="center" wrapText="1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 wrapText="1"/>
    </xf>
    <xf numFmtId="0" fontId="8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right" vertical="center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3" fillId="2" borderId="18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right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0" fillId="0" borderId="0" xfId="1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right" vertical="center" wrapText="1"/>
    </xf>
    <xf numFmtId="0" fontId="13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NumberFormat="1" applyFont="1" applyBorder="1" applyAlignment="1">
      <alignment horizontal="left" vertical="center" wrapText="1"/>
    </xf>
    <xf numFmtId="4" fontId="1" fillId="0" borderId="0" xfId="0" applyNumberFormat="1" applyFont="1" applyAlignment="1">
      <alignment vertical="center" wrapText="1"/>
    </xf>
    <xf numFmtId="0" fontId="2" fillId="4" borderId="10" xfId="0" applyNumberFormat="1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2" fillId="4" borderId="25" xfId="0" applyNumberFormat="1" applyFont="1" applyFill="1" applyBorder="1" applyAlignment="1">
      <alignment horizontal="center" vertical="center" wrapText="1"/>
    </xf>
    <xf numFmtId="0" fontId="3" fillId="4" borderId="26" xfId="0" applyNumberFormat="1" applyFont="1" applyFill="1" applyBorder="1" applyAlignment="1">
      <alignment horizontal="center" vertical="center" wrapText="1"/>
    </xf>
    <xf numFmtId="3" fontId="1" fillId="0" borderId="30" xfId="0" applyNumberFormat="1" applyFont="1" applyBorder="1" applyAlignment="1">
      <alignment horizontal="left" vertical="center" wrapText="1"/>
    </xf>
    <xf numFmtId="3" fontId="1" fillId="0" borderId="32" xfId="0" applyNumberFormat="1" applyFont="1" applyBorder="1" applyAlignment="1">
      <alignment horizontal="left" vertical="center" wrapText="1"/>
    </xf>
    <xf numFmtId="0" fontId="2" fillId="4" borderId="19" xfId="0" applyNumberFormat="1" applyFont="1" applyFill="1" applyBorder="1" applyAlignment="1">
      <alignment horizontal="center" vertical="center" wrapText="1"/>
    </xf>
    <xf numFmtId="0" fontId="3" fillId="4" borderId="20" xfId="0" applyNumberFormat="1" applyFont="1" applyFill="1" applyBorder="1" applyAlignment="1">
      <alignment horizontal="center" vertical="center" wrapText="1"/>
    </xf>
    <xf numFmtId="0" fontId="2" fillId="2" borderId="25" xfId="0" applyNumberFormat="1" applyFont="1" applyFill="1" applyBorder="1" applyAlignment="1">
      <alignment horizontal="center" vertical="center" wrapText="1"/>
    </xf>
    <xf numFmtId="0" fontId="2" fillId="2" borderId="34" xfId="0" applyNumberFormat="1" applyFont="1" applyFill="1" applyBorder="1" applyAlignment="1">
      <alignment horizontal="center" vertical="center" wrapText="1"/>
    </xf>
    <xf numFmtId="0" fontId="3" fillId="2" borderId="26" xfId="0" applyNumberFormat="1" applyFont="1" applyFill="1" applyBorder="1" applyAlignment="1">
      <alignment horizontal="center" vertical="center" wrapText="1"/>
    </xf>
    <xf numFmtId="0" fontId="3" fillId="2" borderId="35" xfId="0" applyNumberFormat="1" applyFont="1" applyFill="1" applyBorder="1" applyAlignment="1">
      <alignment horizontal="center" vertical="center" wrapText="1"/>
    </xf>
    <xf numFmtId="0" fontId="2" fillId="12" borderId="30" xfId="0" applyNumberFormat="1" applyFont="1" applyFill="1" applyBorder="1" applyAlignment="1">
      <alignment horizontal="center" vertical="center" wrapText="1"/>
    </xf>
    <xf numFmtId="0" fontId="3" fillId="12" borderId="31" xfId="0" applyNumberFormat="1" applyFont="1" applyFill="1" applyBorder="1" applyAlignment="1">
      <alignment horizontal="center" vertical="center" wrapText="1"/>
    </xf>
    <xf numFmtId="4" fontId="2" fillId="2" borderId="16" xfId="0" applyNumberFormat="1" applyFont="1" applyFill="1" applyBorder="1" applyAlignment="1">
      <alignment horizontal="right" vertical="center" wrapText="1"/>
    </xf>
    <xf numFmtId="4" fontId="2" fillId="2" borderId="36" xfId="0" applyNumberFormat="1" applyFont="1" applyFill="1" applyBorder="1" applyAlignment="1">
      <alignment horizontal="right" vertical="center" wrapText="1"/>
    </xf>
    <xf numFmtId="0" fontId="2" fillId="0" borderId="0" xfId="0" applyNumberFormat="1" applyFont="1" applyAlignment="1">
      <alignment horizontal="left" vertical="center" wrapText="1"/>
    </xf>
    <xf numFmtId="4" fontId="2" fillId="2" borderId="41" xfId="0" applyNumberFormat="1" applyFont="1" applyFill="1" applyBorder="1" applyAlignment="1">
      <alignment horizontal="right" vertical="center" wrapText="1"/>
    </xf>
    <xf numFmtId="4" fontId="2" fillId="2" borderId="42" xfId="0" applyNumberFormat="1" applyFont="1" applyFill="1" applyBorder="1" applyAlignment="1">
      <alignment horizontal="right" vertical="center" wrapText="1"/>
    </xf>
    <xf numFmtId="3" fontId="1" fillId="0" borderId="43" xfId="0" applyNumberFormat="1" applyFont="1" applyBorder="1" applyAlignment="1">
      <alignment horizontal="left" vertic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9" fillId="10" borderId="29" xfId="0" applyNumberFormat="1" applyFont="1" applyFill="1" applyBorder="1" applyAlignment="1">
      <alignment horizontal="center" vertical="center" wrapText="1"/>
    </xf>
    <xf numFmtId="0" fontId="9" fillId="10" borderId="1" xfId="0" applyNumberFormat="1" applyFont="1" applyFill="1" applyBorder="1" applyAlignment="1">
      <alignment horizontal="center" vertical="center" wrapText="1"/>
    </xf>
    <xf numFmtId="0" fontId="9" fillId="10" borderId="4" xfId="0" applyNumberFormat="1" applyFont="1" applyFill="1" applyBorder="1" applyAlignment="1">
      <alignment horizontal="center" vertical="center" wrapText="1"/>
    </xf>
    <xf numFmtId="0" fontId="9" fillId="10" borderId="15" xfId="0" applyNumberFormat="1" applyFont="1" applyFill="1" applyBorder="1" applyAlignment="1">
      <alignment horizontal="center" vertical="center" wrapText="1"/>
    </xf>
    <xf numFmtId="0" fontId="9" fillId="10" borderId="33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 wrapText="1"/>
    </xf>
    <xf numFmtId="0" fontId="9" fillId="10" borderId="28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left" vertical="center" wrapText="1"/>
    </xf>
    <xf numFmtId="0" fontId="9" fillId="8" borderId="28" xfId="0" applyNumberFormat="1" applyFont="1" applyFill="1" applyBorder="1" applyAlignment="1">
      <alignment horizontal="center" vertical="center" wrapText="1"/>
    </xf>
    <xf numFmtId="0" fontId="9" fillId="8" borderId="29" xfId="0" applyNumberFormat="1" applyFont="1" applyFill="1" applyBorder="1" applyAlignment="1">
      <alignment horizontal="center" vertical="center" wrapText="1"/>
    </xf>
    <xf numFmtId="0" fontId="9" fillId="8" borderId="1" xfId="0" applyNumberFormat="1" applyFont="1" applyFill="1" applyBorder="1" applyAlignment="1">
      <alignment horizontal="center" vertical="center" wrapText="1"/>
    </xf>
    <xf numFmtId="0" fontId="9" fillId="8" borderId="4" xfId="0" applyNumberFormat="1" applyFont="1" applyFill="1" applyBorder="1" applyAlignment="1">
      <alignment horizontal="center" vertical="center" wrapText="1"/>
    </xf>
    <xf numFmtId="0" fontId="9" fillId="8" borderId="33" xfId="0" applyNumberFormat="1" applyFont="1" applyFill="1" applyBorder="1" applyAlignment="1">
      <alignment horizontal="center" vertical="center" wrapText="1"/>
    </xf>
    <xf numFmtId="0" fontId="2" fillId="5" borderId="25" xfId="0" applyNumberFormat="1" applyFont="1" applyFill="1" applyBorder="1" applyAlignment="1">
      <alignment horizontal="center" vertical="center" wrapText="1"/>
    </xf>
    <xf numFmtId="0" fontId="2" fillId="5" borderId="10" xfId="0" applyNumberFormat="1" applyFont="1" applyFill="1" applyBorder="1" applyAlignment="1">
      <alignment horizontal="center" vertical="center" wrapText="1"/>
    </xf>
    <xf numFmtId="0" fontId="2" fillId="5" borderId="19" xfId="0" applyNumberFormat="1" applyFont="1" applyFill="1" applyBorder="1" applyAlignment="1">
      <alignment horizontal="center" vertical="center" wrapText="1"/>
    </xf>
    <xf numFmtId="0" fontId="3" fillId="5" borderId="26" xfId="0" applyNumberFormat="1" applyFont="1" applyFill="1" applyBorder="1" applyAlignment="1">
      <alignment horizontal="center" vertical="center" wrapText="1"/>
    </xf>
    <xf numFmtId="0" fontId="3" fillId="5" borderId="12" xfId="0" applyNumberFormat="1" applyFont="1" applyFill="1" applyBorder="1" applyAlignment="1">
      <alignment horizontal="center" vertical="center" wrapText="1"/>
    </xf>
    <xf numFmtId="0" fontId="3" fillId="5" borderId="20" xfId="0" applyNumberFormat="1" applyFont="1" applyFill="1" applyBorder="1" applyAlignment="1">
      <alignment horizontal="center" vertical="center" wrapText="1"/>
    </xf>
    <xf numFmtId="165" fontId="2" fillId="2" borderId="40" xfId="0" applyNumberFormat="1" applyFont="1" applyFill="1" applyBorder="1" applyAlignment="1">
      <alignment horizontal="right" vertical="center" wrapText="1"/>
    </xf>
    <xf numFmtId="165" fontId="2" fillId="2" borderId="42" xfId="0" applyNumberFormat="1" applyFont="1" applyFill="1" applyBorder="1" applyAlignment="1">
      <alignment horizontal="right" vertical="center" wrapText="1"/>
    </xf>
    <xf numFmtId="3" fontId="2" fillId="2" borderId="40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165" fontId="2" fillId="2" borderId="38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167" fontId="2" fillId="10" borderId="21" xfId="0" applyNumberFormat="1" applyFont="1" applyFill="1" applyBorder="1" applyAlignment="1">
      <alignment horizontal="center" vertical="center" wrapText="1"/>
    </xf>
    <xf numFmtId="167" fontId="2" fillId="10" borderId="23" xfId="0" applyNumberFormat="1" applyFont="1" applyFill="1" applyBorder="1" applyAlignment="1">
      <alignment horizontal="center" vertical="center" wrapText="1"/>
    </xf>
    <xf numFmtId="167" fontId="2" fillId="10" borderId="24" xfId="0" applyNumberFormat="1" applyFont="1" applyFill="1" applyBorder="1" applyAlignment="1">
      <alignment horizontal="center" vertical="center" wrapText="1"/>
    </xf>
    <xf numFmtId="167" fontId="13" fillId="8" borderId="21" xfId="0" applyNumberFormat="1" applyFont="1" applyFill="1" applyBorder="1" applyAlignment="1">
      <alignment horizontal="center" vertical="center" wrapText="1"/>
    </xf>
    <xf numFmtId="167" fontId="13" fillId="6" borderId="2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3" fontId="2" fillId="10" borderId="37" xfId="0" applyNumberFormat="1" applyFont="1" applyFill="1" applyBorder="1" applyAlignment="1">
      <alignment horizontal="right" vertical="center" wrapText="1"/>
    </xf>
    <xf numFmtId="165" fontId="1" fillId="5" borderId="19" xfId="0" applyNumberFormat="1" applyFont="1" applyFill="1" applyBorder="1" applyAlignment="1">
      <alignment horizontal="right" vertical="center" wrapText="1"/>
    </xf>
    <xf numFmtId="165" fontId="1" fillId="5" borderId="11" xfId="0" applyNumberFormat="1" applyFont="1" applyFill="1" applyBorder="1" applyAlignment="1">
      <alignment horizontal="right" vertical="center" wrapText="1"/>
    </xf>
    <xf numFmtId="165" fontId="2" fillId="5" borderId="39" xfId="0" applyNumberFormat="1" applyFont="1" applyFill="1" applyBorder="1" applyAlignment="1">
      <alignment horizontal="right" vertical="center" wrapText="1"/>
    </xf>
    <xf numFmtId="165" fontId="1" fillId="5" borderId="45" xfId="0" applyNumberFormat="1" applyFont="1" applyFill="1" applyBorder="1" applyAlignment="1">
      <alignment horizontal="right" vertical="center" wrapText="1"/>
    </xf>
    <xf numFmtId="165" fontId="1" fillId="4" borderId="19" xfId="0" applyNumberFormat="1" applyFont="1" applyFill="1" applyBorder="1" applyAlignment="1">
      <alignment horizontal="right" vertical="center" wrapText="1"/>
    </xf>
    <xf numFmtId="165" fontId="1" fillId="4" borderId="11" xfId="0" applyNumberFormat="1" applyFont="1" applyFill="1" applyBorder="1" applyAlignment="1">
      <alignment horizontal="right" vertical="center" wrapText="1"/>
    </xf>
    <xf numFmtId="165" fontId="2" fillId="10" borderId="39" xfId="0" applyNumberFormat="1" applyFont="1" applyFill="1" applyBorder="1" applyAlignment="1">
      <alignment horizontal="right" vertical="center" wrapText="1"/>
    </xf>
    <xf numFmtId="165" fontId="1" fillId="4" borderId="45" xfId="0" applyNumberFormat="1" applyFont="1" applyFill="1" applyBorder="1" applyAlignment="1">
      <alignment horizontal="right" vertical="center" wrapText="1"/>
    </xf>
    <xf numFmtId="165" fontId="1" fillId="13" borderId="19" xfId="0" applyNumberFormat="1" applyFont="1" applyFill="1" applyBorder="1" applyAlignment="1">
      <alignment horizontal="right" vertical="center" wrapText="1"/>
    </xf>
    <xf numFmtId="165" fontId="1" fillId="13" borderId="11" xfId="0" applyNumberFormat="1" applyFont="1" applyFill="1" applyBorder="1" applyAlignment="1">
      <alignment horizontal="right" vertical="center" wrapText="1"/>
    </xf>
    <xf numFmtId="165" fontId="1" fillId="13" borderId="45" xfId="0" applyNumberFormat="1" applyFont="1" applyFill="1" applyBorder="1" applyAlignment="1">
      <alignment horizontal="righ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3" borderId="34" xfId="0" applyNumberFormat="1" applyFont="1" applyFill="1" applyBorder="1" applyAlignment="1">
      <alignment horizontal="center" vertical="center" wrapText="1"/>
    </xf>
    <xf numFmtId="0" fontId="3" fillId="13" borderId="35" xfId="0" applyNumberFormat="1" applyFont="1" applyFill="1" applyBorder="1" applyAlignment="1">
      <alignment horizontal="center" vertical="center" wrapText="1"/>
    </xf>
    <xf numFmtId="0" fontId="2" fillId="12" borderId="25" xfId="0" applyNumberFormat="1" applyFont="1" applyFill="1" applyBorder="1" applyAlignment="1">
      <alignment horizontal="center" vertical="center" wrapText="1"/>
    </xf>
    <xf numFmtId="0" fontId="2" fillId="12" borderId="10" xfId="0" applyNumberFormat="1" applyFont="1" applyFill="1" applyBorder="1" applyAlignment="1">
      <alignment horizontal="center" vertical="center" wrapText="1"/>
    </xf>
    <xf numFmtId="0" fontId="2" fillId="12" borderId="17" xfId="0" applyNumberFormat="1" applyFont="1" applyFill="1" applyBorder="1" applyAlignment="1">
      <alignment horizontal="center" vertical="center" wrapText="1"/>
    </xf>
    <xf numFmtId="0" fontId="2" fillId="12" borderId="34" xfId="0" applyNumberFormat="1" applyFont="1" applyFill="1" applyBorder="1" applyAlignment="1">
      <alignment horizontal="center" vertical="center" wrapText="1"/>
    </xf>
    <xf numFmtId="0" fontId="3" fillId="12" borderId="26" xfId="0" applyNumberFormat="1" applyFont="1" applyFill="1" applyBorder="1" applyAlignment="1">
      <alignment horizontal="center" vertical="center" wrapText="1"/>
    </xf>
    <xf numFmtId="0" fontId="3" fillId="12" borderId="12" xfId="0" applyNumberFormat="1" applyFont="1" applyFill="1" applyBorder="1" applyAlignment="1">
      <alignment horizontal="center" vertical="center" wrapText="1"/>
    </xf>
    <xf numFmtId="0" fontId="3" fillId="12" borderId="18" xfId="0" applyNumberFormat="1" applyFont="1" applyFill="1" applyBorder="1" applyAlignment="1">
      <alignment horizontal="center" vertical="center" wrapText="1"/>
    </xf>
    <xf numFmtId="0" fontId="3" fillId="12" borderId="35" xfId="0" applyNumberFormat="1" applyFont="1" applyFill="1" applyBorder="1" applyAlignment="1">
      <alignment horizontal="center" vertical="center" wrapText="1"/>
    </xf>
    <xf numFmtId="165" fontId="1" fillId="12" borderId="25" xfId="0" applyNumberFormat="1" applyFont="1" applyFill="1" applyBorder="1" applyAlignment="1">
      <alignment horizontal="right" vertical="center" wrapText="1"/>
    </xf>
    <xf numFmtId="165" fontId="1" fillId="12" borderId="10" xfId="0" applyNumberFormat="1" applyFont="1" applyFill="1" applyBorder="1" applyAlignment="1">
      <alignment horizontal="right" vertical="center" wrapText="1"/>
    </xf>
    <xf numFmtId="4" fontId="1" fillId="12" borderId="17" xfId="0" applyNumberFormat="1" applyFont="1" applyFill="1" applyBorder="1" applyAlignment="1">
      <alignment horizontal="right" vertical="center" wrapText="1"/>
    </xf>
    <xf numFmtId="4" fontId="1" fillId="12" borderId="34" xfId="0" applyNumberFormat="1" applyFont="1" applyFill="1" applyBorder="1" applyAlignment="1">
      <alignment horizontal="right" vertical="center" wrapText="1"/>
    </xf>
    <xf numFmtId="165" fontId="1" fillId="12" borderId="27" xfId="0" applyNumberFormat="1" applyFont="1" applyFill="1" applyBorder="1" applyAlignment="1">
      <alignment horizontal="right" vertical="center" wrapText="1"/>
    </xf>
    <xf numFmtId="165" fontId="1" fillId="12" borderId="9" xfId="0" applyNumberFormat="1" applyFont="1" applyFill="1" applyBorder="1" applyAlignment="1">
      <alignment horizontal="right" vertical="center" wrapText="1"/>
    </xf>
    <xf numFmtId="4" fontId="1" fillId="12" borderId="16" xfId="0" applyNumberFormat="1" applyFont="1" applyFill="1" applyBorder="1" applyAlignment="1">
      <alignment horizontal="right" vertical="center" wrapText="1"/>
    </xf>
    <xf numFmtId="4" fontId="1" fillId="12" borderId="36" xfId="0" applyNumberFormat="1" applyFont="1" applyFill="1" applyBorder="1" applyAlignment="1">
      <alignment horizontal="right" vertical="center" wrapText="1"/>
    </xf>
    <xf numFmtId="165" fontId="1" fillId="12" borderId="46" xfId="0" applyNumberFormat="1" applyFont="1" applyFill="1" applyBorder="1" applyAlignment="1">
      <alignment horizontal="right" vertical="center" wrapText="1"/>
    </xf>
    <xf numFmtId="165" fontId="1" fillId="12" borderId="44" xfId="0" applyNumberFormat="1" applyFont="1" applyFill="1" applyBorder="1" applyAlignment="1">
      <alignment horizontal="right" vertical="center" wrapText="1"/>
    </xf>
    <xf numFmtId="4" fontId="1" fillId="12" borderId="47" xfId="0" applyNumberFormat="1" applyFont="1" applyFill="1" applyBorder="1" applyAlignment="1">
      <alignment horizontal="right" vertical="center" wrapText="1"/>
    </xf>
    <xf numFmtId="4" fontId="1" fillId="12" borderId="48" xfId="0" applyNumberFormat="1" applyFont="1" applyFill="1" applyBorder="1" applyAlignment="1">
      <alignment horizontal="right"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 wrapText="1"/>
    </xf>
    <xf numFmtId="0" fontId="2" fillId="15" borderId="7" xfId="0" applyFont="1" applyFill="1" applyBorder="1" applyAlignment="1">
      <alignment horizontal="center" vertical="center" wrapText="1"/>
    </xf>
    <xf numFmtId="0" fontId="13" fillId="15" borderId="6" xfId="0" applyFont="1" applyFill="1" applyBorder="1" applyAlignment="1">
      <alignment horizontal="center" vertical="center" wrapText="1"/>
    </xf>
    <xf numFmtId="0" fontId="13" fillId="15" borderId="22" xfId="0" applyFont="1" applyFill="1" applyBorder="1" applyAlignment="1">
      <alignment horizontal="center" vertical="center" wrapText="1"/>
    </xf>
    <xf numFmtId="0" fontId="13" fillId="15" borderId="7" xfId="0" applyFont="1" applyFill="1" applyBorder="1" applyAlignment="1">
      <alignment horizontal="center" vertical="center" wrapText="1"/>
    </xf>
    <xf numFmtId="0" fontId="1" fillId="15" borderId="8" xfId="0" applyFont="1" applyFill="1" applyBorder="1" applyAlignment="1">
      <alignment vertical="center" wrapText="1"/>
    </xf>
    <xf numFmtId="4" fontId="5" fillId="3" borderId="0" xfId="0" applyNumberFormat="1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horizontal="left" vertical="center"/>
    </xf>
    <xf numFmtId="0" fontId="1" fillId="15" borderId="0" xfId="0" applyFont="1" applyFill="1" applyBorder="1" applyAlignment="1">
      <alignment vertical="center" wrapText="1"/>
    </xf>
    <xf numFmtId="165" fontId="1" fillId="15" borderId="0" xfId="0" applyNumberFormat="1" applyFont="1" applyFill="1" applyBorder="1" applyAlignment="1">
      <alignment vertical="center" wrapText="1"/>
    </xf>
    <xf numFmtId="0" fontId="1" fillId="15" borderId="5" xfId="0" applyNumberFormat="1" applyFont="1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 wrapText="1"/>
    </xf>
    <xf numFmtId="0" fontId="2" fillId="7" borderId="50" xfId="0" applyFont="1" applyFill="1" applyBorder="1" applyAlignment="1">
      <alignment vertical="center" wrapText="1"/>
    </xf>
    <xf numFmtId="0" fontId="1" fillId="7" borderId="51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2" fillId="0" borderId="52" xfId="0" applyNumberFormat="1" applyFont="1" applyBorder="1" applyAlignment="1">
      <alignment horizontal="left" vertical="center" wrapText="1"/>
    </xf>
    <xf numFmtId="0" fontId="13" fillId="7" borderId="50" xfId="0" applyFont="1" applyFill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52" xfId="0" applyNumberFormat="1" applyFont="1" applyBorder="1" applyAlignment="1">
      <alignment horizontal="left" vertical="center" wrapText="1"/>
    </xf>
    <xf numFmtId="0" fontId="1" fillId="12" borderId="14" xfId="0" applyNumberFormat="1" applyFont="1" applyFill="1" applyBorder="1" applyAlignment="1">
      <alignment horizontal="left" vertical="center" wrapText="1"/>
    </xf>
    <xf numFmtId="165" fontId="1" fillId="12" borderId="1" xfId="0" applyNumberFormat="1" applyFont="1" applyFill="1" applyBorder="1" applyAlignment="1">
      <alignment horizontal="right" vertical="center" wrapText="1"/>
    </xf>
    <xf numFmtId="0" fontId="1" fillId="12" borderId="13" xfId="0" applyNumberFormat="1" applyFont="1" applyFill="1" applyBorder="1" applyAlignment="1">
      <alignment horizontal="right" vertical="center" wrapText="1"/>
    </xf>
    <xf numFmtId="164" fontId="1" fillId="12" borderId="1" xfId="0" applyNumberFormat="1" applyFont="1" applyFill="1" applyBorder="1" applyAlignment="1">
      <alignment horizontal="right" vertical="center" wrapText="1"/>
    </xf>
    <xf numFmtId="0" fontId="1" fillId="12" borderId="13" xfId="0" applyNumberFormat="1" applyFont="1" applyFill="1" applyBorder="1" applyAlignment="1">
      <alignment horizontal="left" vertical="center" wrapText="1"/>
    </xf>
    <xf numFmtId="0" fontId="1" fillId="12" borderId="14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vertical="center" wrapText="1"/>
    </xf>
    <xf numFmtId="0" fontId="1" fillId="12" borderId="13" xfId="0" applyFont="1" applyFill="1" applyBorder="1" applyAlignment="1">
      <alignment vertical="center" wrapText="1"/>
    </xf>
    <xf numFmtId="0" fontId="1" fillId="12" borderId="52" xfId="0" applyFont="1" applyFill="1" applyBorder="1" applyAlignment="1">
      <alignment vertical="center" wrapText="1"/>
    </xf>
    <xf numFmtId="0" fontId="1" fillId="12" borderId="53" xfId="0" applyFont="1" applyFill="1" applyBorder="1" applyAlignment="1">
      <alignment vertical="center" wrapText="1"/>
    </xf>
    <xf numFmtId="4" fontId="1" fillId="12" borderId="1" xfId="0" applyNumberFormat="1" applyFont="1" applyFill="1" applyBorder="1" applyAlignment="1">
      <alignment horizontal="right" vertical="center" wrapText="1"/>
    </xf>
    <xf numFmtId="169" fontId="1" fillId="12" borderId="1" xfId="0" applyNumberFormat="1" applyFont="1" applyFill="1" applyBorder="1" applyAlignment="1">
      <alignment horizontal="right" vertical="center" wrapText="1"/>
    </xf>
    <xf numFmtId="3" fontId="1" fillId="12" borderId="13" xfId="0" applyNumberFormat="1" applyFont="1" applyFill="1" applyBorder="1" applyAlignment="1">
      <alignment vertical="center" wrapText="1"/>
    </xf>
    <xf numFmtId="0" fontId="1" fillId="12" borderId="53" xfId="0" applyNumberFormat="1" applyFont="1" applyFill="1" applyBorder="1" applyAlignment="1">
      <alignment horizontal="left" vertical="center" wrapText="1"/>
    </xf>
    <xf numFmtId="3" fontId="1" fillId="12" borderId="13" xfId="0" applyNumberFormat="1" applyFont="1" applyFill="1" applyBorder="1" applyAlignment="1">
      <alignment horizontal="left" vertical="center" wrapText="1"/>
    </xf>
    <xf numFmtId="0" fontId="16" fillId="15" borderId="5" xfId="0" applyNumberFormat="1" applyFont="1" applyFill="1" applyBorder="1" applyAlignment="1">
      <alignment horizontal="left" vertical="center"/>
    </xf>
    <xf numFmtId="0" fontId="5" fillId="0" borderId="0" xfId="0" applyNumberFormat="1" applyFont="1" applyBorder="1" applyAlignment="1">
      <alignment horizontal="left" vertical="center" wrapText="1"/>
    </xf>
    <xf numFmtId="4" fontId="4" fillId="3" borderId="0" xfId="0" applyNumberFormat="1" applyFont="1" applyFill="1" applyBorder="1" applyAlignment="1">
      <alignment vertical="center" wrapText="1"/>
    </xf>
    <xf numFmtId="165" fontId="5" fillId="15" borderId="0" xfId="0" applyNumberFormat="1" applyFont="1" applyFill="1" applyBorder="1" applyAlignment="1">
      <alignment vertical="center" wrapText="1"/>
    </xf>
    <xf numFmtId="0" fontId="1" fillId="12" borderId="13" xfId="0" applyFont="1" applyFill="1" applyBorder="1" applyAlignment="1">
      <alignment horizontal="right" vertical="center" wrapText="1"/>
    </xf>
    <xf numFmtId="0" fontId="1" fillId="12" borderId="53" xfId="0" applyNumberFormat="1" applyFont="1" applyFill="1" applyBorder="1" applyAlignment="1">
      <alignment horizontal="right" vertical="center" wrapText="1"/>
    </xf>
    <xf numFmtId="3" fontId="1" fillId="12" borderId="25" xfId="0" applyNumberFormat="1" applyFont="1" applyFill="1" applyBorder="1" applyAlignment="1">
      <alignment horizontal="right" vertical="center" wrapText="1"/>
    </xf>
    <xf numFmtId="3" fontId="1" fillId="12" borderId="34" xfId="0" applyNumberFormat="1" applyFont="1" applyFill="1" applyBorder="1" applyAlignment="1">
      <alignment horizontal="right" vertical="center" wrapText="1"/>
    </xf>
    <xf numFmtId="3" fontId="1" fillId="12" borderId="27" xfId="0" applyNumberFormat="1" applyFont="1" applyFill="1" applyBorder="1" applyAlignment="1">
      <alignment horizontal="right" vertical="center" wrapText="1"/>
    </xf>
    <xf numFmtId="3" fontId="1" fillId="12" borderId="36" xfId="0" applyNumberFormat="1" applyFont="1" applyFill="1" applyBorder="1" applyAlignment="1">
      <alignment horizontal="right" vertical="center" wrapText="1"/>
    </xf>
    <xf numFmtId="3" fontId="1" fillId="12" borderId="46" xfId="0" applyNumberFormat="1" applyFont="1" applyFill="1" applyBorder="1" applyAlignment="1">
      <alignment horizontal="right" vertical="center" wrapText="1"/>
    </xf>
    <xf numFmtId="3" fontId="1" fillId="12" borderId="48" xfId="0" applyNumberFormat="1" applyFont="1" applyFill="1" applyBorder="1" applyAlignment="1">
      <alignment horizontal="right" vertical="center" wrapText="1"/>
    </xf>
    <xf numFmtId="0" fontId="5" fillId="15" borderId="8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165" fontId="2" fillId="2" borderId="27" xfId="0" applyNumberFormat="1" applyFont="1" applyFill="1" applyBorder="1" applyAlignment="1">
      <alignment horizontal="right" vertical="center" wrapText="1"/>
    </xf>
    <xf numFmtId="165" fontId="2" fillId="2" borderId="9" xfId="0" applyNumberFormat="1" applyFont="1" applyFill="1" applyBorder="1" applyAlignment="1">
      <alignment horizontal="right" vertical="center" wrapText="1"/>
    </xf>
    <xf numFmtId="3" fontId="2" fillId="2" borderId="27" xfId="0" applyNumberFormat="1" applyFont="1" applyFill="1" applyBorder="1" applyAlignment="1">
      <alignment horizontal="right" vertical="center" wrapText="1"/>
    </xf>
    <xf numFmtId="3" fontId="2" fillId="2" borderId="36" xfId="0" applyNumberFormat="1" applyFont="1" applyFill="1" applyBorder="1" applyAlignment="1">
      <alignment horizontal="right" vertical="center" wrapText="1"/>
    </xf>
    <xf numFmtId="165" fontId="2" fillId="2" borderId="36" xfId="0" applyNumberFormat="1" applyFont="1" applyFill="1" applyBorder="1" applyAlignment="1">
      <alignment horizontal="right" vertical="center" wrapText="1"/>
    </xf>
    <xf numFmtId="168" fontId="2" fillId="10" borderId="21" xfId="0" applyNumberFormat="1" applyFont="1" applyFill="1" applyBorder="1" applyAlignment="1" applyProtection="1">
      <alignment horizontal="right" vertical="center"/>
      <protection locked="0"/>
    </xf>
    <xf numFmtId="168" fontId="1" fillId="0" borderId="21" xfId="0" applyNumberFormat="1" applyFont="1" applyFill="1" applyBorder="1" applyAlignment="1" applyProtection="1">
      <alignment horizontal="left" vertical="center" wrapText="1"/>
      <protection locked="0"/>
    </xf>
    <xf numFmtId="168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68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0" xfId="0" applyNumberFormat="1" applyFont="1" applyFill="1" applyBorder="1" applyAlignment="1">
      <alignment horizontal="center" vertical="center" wrapText="1"/>
    </xf>
    <xf numFmtId="165" fontId="1" fillId="0" borderId="56" xfId="0" applyNumberFormat="1" applyFont="1" applyFill="1" applyBorder="1" applyAlignment="1">
      <alignment horizontal="right" vertical="center" wrapText="1"/>
    </xf>
    <xf numFmtId="0" fontId="2" fillId="7" borderId="57" xfId="0" applyNumberFormat="1" applyFont="1" applyFill="1" applyBorder="1" applyAlignment="1">
      <alignment horizontal="center" vertical="center" wrapText="1"/>
    </xf>
    <xf numFmtId="0" fontId="3" fillId="7" borderId="12" xfId="0" applyNumberFormat="1" applyFont="1" applyFill="1" applyBorder="1" applyAlignment="1">
      <alignment horizontal="center" vertical="center" wrapText="1"/>
    </xf>
    <xf numFmtId="0" fontId="2" fillId="7" borderId="59" xfId="0" applyNumberFormat="1" applyFont="1" applyFill="1" applyBorder="1" applyAlignment="1">
      <alignment horizontal="center" vertical="center" wrapText="1"/>
    </xf>
    <xf numFmtId="0" fontId="2" fillId="7" borderId="62" xfId="0" applyNumberFormat="1" applyFont="1" applyFill="1" applyBorder="1" applyAlignment="1">
      <alignment horizontal="center" vertical="center" wrapText="1"/>
    </xf>
    <xf numFmtId="0" fontId="3" fillId="7" borderId="35" xfId="0" applyNumberFormat="1" applyFont="1" applyFill="1" applyBorder="1" applyAlignment="1">
      <alignment horizontal="center" vertical="center" wrapText="1"/>
    </xf>
    <xf numFmtId="166" fontId="1" fillId="16" borderId="64" xfId="2" applyNumberFormat="1" applyFont="1" applyFill="1" applyBorder="1" applyAlignment="1">
      <alignment horizontal="right" vertical="center" wrapText="1"/>
    </xf>
    <xf numFmtId="0" fontId="1" fillId="7" borderId="20" xfId="0" applyNumberFormat="1" applyFont="1" applyFill="1" applyBorder="1" applyAlignment="1">
      <alignment horizontal="left" vertical="center" wrapText="1"/>
    </xf>
    <xf numFmtId="3" fontId="1" fillId="0" borderId="60" xfId="0" applyNumberFormat="1" applyFont="1" applyBorder="1" applyAlignment="1">
      <alignment horizontal="left" vertical="center" wrapText="1"/>
    </xf>
    <xf numFmtId="0" fontId="2" fillId="7" borderId="65" xfId="0" applyNumberFormat="1" applyFont="1" applyFill="1" applyBorder="1" applyAlignment="1">
      <alignment horizontal="center" vertical="center" wrapText="1"/>
    </xf>
    <xf numFmtId="0" fontId="3" fillId="7" borderId="31" xfId="0" applyNumberFormat="1" applyFont="1" applyFill="1" applyBorder="1" applyAlignment="1">
      <alignment horizontal="center" vertical="center" wrapText="1"/>
    </xf>
    <xf numFmtId="166" fontId="1" fillId="14" borderId="58" xfId="0" applyNumberFormat="1" applyFont="1" applyFill="1" applyBorder="1" applyAlignment="1">
      <alignment horizontal="right" vertical="center" wrapText="1"/>
    </xf>
    <xf numFmtId="3" fontId="2" fillId="7" borderId="60" xfId="0" applyNumberFormat="1" applyFont="1" applyFill="1" applyBorder="1" applyAlignment="1">
      <alignment horizontal="right" vertical="center" wrapText="1"/>
    </xf>
    <xf numFmtId="165" fontId="2" fillId="7" borderId="56" xfId="0" applyNumberFormat="1" applyFont="1" applyFill="1" applyBorder="1" applyAlignment="1">
      <alignment horizontal="right" vertical="center" wrapText="1"/>
    </xf>
    <xf numFmtId="0" fontId="2" fillId="7" borderId="60" xfId="0" applyFont="1" applyFill="1" applyBorder="1" applyAlignment="1">
      <alignment horizontal="right" vertical="center" wrapText="1"/>
    </xf>
    <xf numFmtId="0" fontId="9" fillId="9" borderId="28" xfId="0" applyNumberFormat="1" applyFont="1" applyFill="1" applyBorder="1" applyAlignment="1">
      <alignment horizontal="center" vertical="center" wrapText="1"/>
    </xf>
    <xf numFmtId="165" fontId="1" fillId="0" borderId="0" xfId="0" applyNumberFormat="1" applyFont="1" applyFill="1" applyBorder="1" applyAlignment="1">
      <alignment horizontal="right" vertical="center" wrapText="1"/>
    </xf>
    <xf numFmtId="165" fontId="2" fillId="0" borderId="0" xfId="0" applyNumberFormat="1" applyFont="1" applyFill="1" applyBorder="1" applyAlignment="1">
      <alignment horizontal="right" vertical="center" wrapText="1"/>
    </xf>
    <xf numFmtId="0" fontId="5" fillId="12" borderId="52" xfId="0" applyFont="1" applyFill="1" applyBorder="1" applyAlignment="1">
      <alignment vertical="center" wrapText="1"/>
    </xf>
    <xf numFmtId="0" fontId="5" fillId="12" borderId="55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70" fontId="1" fillId="0" borderId="1" xfId="0" applyNumberFormat="1" applyFont="1" applyBorder="1" applyAlignment="1">
      <alignment horizontal="right" vertical="center" wrapText="1"/>
    </xf>
    <xf numFmtId="3" fontId="17" fillId="12" borderId="0" xfId="0" applyNumberFormat="1" applyFont="1" applyFill="1" applyBorder="1" applyAlignment="1">
      <alignment horizontal="left" vertical="center" wrapText="1"/>
    </xf>
    <xf numFmtId="0" fontId="17" fillId="12" borderId="0" xfId="0" applyFont="1" applyFill="1" applyAlignment="1">
      <alignment vertical="center" wrapText="1"/>
    </xf>
    <xf numFmtId="0" fontId="18" fillId="0" borderId="0" xfId="1" applyNumberFormat="1" applyFont="1" applyBorder="1" applyAlignment="1">
      <alignment horizontal="left" vertical="center"/>
    </xf>
    <xf numFmtId="0" fontId="5" fillId="2" borderId="0" xfId="0" applyNumberFormat="1" applyFont="1" applyFill="1" applyBorder="1" applyAlignment="1">
      <alignment horizontal="left" vertical="center" wrapText="1"/>
    </xf>
    <xf numFmtId="4" fontId="1" fillId="12" borderId="25" xfId="0" applyNumberFormat="1" applyFont="1" applyFill="1" applyBorder="1" applyAlignment="1">
      <alignment horizontal="right" vertical="center" wrapText="1"/>
    </xf>
    <xf numFmtId="4" fontId="1" fillId="12" borderId="27" xfId="0" applyNumberFormat="1" applyFont="1" applyFill="1" applyBorder="1" applyAlignment="1">
      <alignment horizontal="right" vertical="center" wrapText="1"/>
    </xf>
    <xf numFmtId="165" fontId="2" fillId="16" borderId="56" xfId="0" applyNumberFormat="1" applyFont="1" applyFill="1" applyBorder="1" applyAlignment="1">
      <alignment horizontal="right" vertical="center" wrapText="1"/>
    </xf>
    <xf numFmtId="165" fontId="2" fillId="16" borderId="54" xfId="0" applyNumberFormat="1" applyFont="1" applyFill="1" applyBorder="1" applyAlignment="1">
      <alignment horizontal="right" vertical="center" wrapText="1"/>
    </xf>
    <xf numFmtId="166" fontId="1" fillId="16" borderId="51" xfId="2" applyNumberFormat="1" applyFont="1" applyFill="1" applyBorder="1" applyAlignment="1">
      <alignment horizontal="right" vertical="center" wrapText="1"/>
    </xf>
    <xf numFmtId="166" fontId="1" fillId="16" borderId="66" xfId="2" applyNumberFormat="1" applyFont="1" applyFill="1" applyBorder="1" applyAlignment="1">
      <alignment horizontal="right" vertical="center" wrapText="1"/>
    </xf>
    <xf numFmtId="165" fontId="2" fillId="16" borderId="55" xfId="0" applyNumberFormat="1" applyFont="1" applyFill="1" applyBorder="1" applyAlignment="1">
      <alignment horizontal="right" vertical="center" wrapText="1"/>
    </xf>
    <xf numFmtId="166" fontId="1" fillId="16" borderId="53" xfId="2" applyNumberFormat="1" applyFont="1" applyFill="1" applyBorder="1" applyAlignment="1">
      <alignment horizontal="right" vertical="center" wrapText="1"/>
    </xf>
    <xf numFmtId="0" fontId="2" fillId="7" borderId="44" xfId="0" applyNumberFormat="1" applyFont="1" applyFill="1" applyBorder="1" applyAlignment="1">
      <alignment horizontal="center" vertical="center" wrapText="1"/>
    </xf>
    <xf numFmtId="0" fontId="2" fillId="7" borderId="67" xfId="0" applyNumberFormat="1" applyFont="1" applyFill="1" applyBorder="1" applyAlignment="1">
      <alignment horizontal="center" vertical="center" wrapText="1"/>
    </xf>
    <xf numFmtId="0" fontId="3" fillId="7" borderId="68" xfId="0" applyNumberFormat="1" applyFont="1" applyFill="1" applyBorder="1" applyAlignment="1">
      <alignment horizontal="center" vertical="center" wrapText="1"/>
    </xf>
    <xf numFmtId="0" fontId="2" fillId="7" borderId="69" xfId="0" applyNumberFormat="1" applyFont="1" applyFill="1" applyBorder="1" applyAlignment="1">
      <alignment horizontal="center" vertical="center" wrapText="1"/>
    </xf>
    <xf numFmtId="0" fontId="3" fillId="7" borderId="70" xfId="0" applyNumberFormat="1" applyFont="1" applyFill="1" applyBorder="1" applyAlignment="1">
      <alignment horizontal="center" vertical="center" wrapText="1"/>
    </xf>
    <xf numFmtId="166" fontId="1" fillId="16" borderId="71" xfId="0" applyNumberFormat="1" applyFont="1" applyFill="1" applyBorder="1" applyAlignment="1">
      <alignment horizontal="right" vertical="center" wrapText="1"/>
    </xf>
    <xf numFmtId="166" fontId="1" fillId="16" borderId="72" xfId="0" applyNumberFormat="1" applyFont="1" applyFill="1" applyBorder="1" applyAlignment="1">
      <alignment horizontal="right" vertical="center" wrapText="1"/>
    </xf>
    <xf numFmtId="166" fontId="1" fillId="16" borderId="73" xfId="0" applyNumberFormat="1" applyFont="1" applyFill="1" applyBorder="1" applyAlignment="1">
      <alignment horizontal="right" vertical="center" wrapText="1"/>
    </xf>
    <xf numFmtId="0" fontId="1" fillId="7" borderId="70" xfId="0" applyNumberFormat="1" applyFont="1" applyFill="1" applyBorder="1" applyAlignment="1">
      <alignment horizontal="left" vertical="center" wrapText="1"/>
    </xf>
    <xf numFmtId="0" fontId="2" fillId="16" borderId="71" xfId="0" applyFont="1" applyFill="1" applyBorder="1" applyAlignment="1">
      <alignment horizontal="right" vertical="center" wrapText="1"/>
    </xf>
    <xf numFmtId="0" fontId="2" fillId="16" borderId="72" xfId="0" applyFont="1" applyFill="1" applyBorder="1" applyAlignment="1">
      <alignment horizontal="right" vertical="center" wrapText="1"/>
    </xf>
    <xf numFmtId="0" fontId="2" fillId="16" borderId="73" xfId="0" applyFont="1" applyFill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165" fontId="1" fillId="15" borderId="79" xfId="0" applyNumberFormat="1" applyFont="1" applyFill="1" applyBorder="1" applyAlignment="1" applyProtection="1">
      <alignment horizontal="center" vertical="center" wrapText="1"/>
      <protection locked="0"/>
    </xf>
    <xf numFmtId="165" fontId="1" fillId="15" borderId="80" xfId="0" applyNumberFormat="1" applyFont="1" applyFill="1" applyBorder="1" applyAlignment="1" applyProtection="1">
      <alignment horizontal="center" vertical="center" wrapText="1"/>
      <protection locked="0"/>
    </xf>
    <xf numFmtId="165" fontId="1" fillId="15" borderId="8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>
      <alignment vertical="center" wrapText="1"/>
    </xf>
    <xf numFmtId="165" fontId="1" fillId="12" borderId="13" xfId="0" applyNumberFormat="1" applyFont="1" applyFill="1" applyBorder="1" applyAlignment="1">
      <alignment vertical="center" wrapText="1"/>
    </xf>
    <xf numFmtId="165" fontId="1" fillId="0" borderId="1" xfId="0" applyNumberFormat="1" applyFont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3" fontId="4" fillId="0" borderId="60" xfId="0" applyNumberFormat="1" applyFont="1" applyBorder="1" applyAlignment="1">
      <alignment horizontal="left" vertical="center" wrapText="1"/>
    </xf>
    <xf numFmtId="166" fontId="4" fillId="14" borderId="58" xfId="0" applyNumberFormat="1" applyFont="1" applyFill="1" applyBorder="1" applyAlignment="1">
      <alignment horizontal="right" vertical="center" wrapText="1"/>
    </xf>
    <xf numFmtId="165" fontId="4" fillId="0" borderId="56" xfId="0" applyNumberFormat="1" applyFont="1" applyFill="1" applyBorder="1" applyAlignment="1">
      <alignment horizontal="right" vertical="center" wrapText="1"/>
    </xf>
    <xf numFmtId="166" fontId="4" fillId="16" borderId="64" xfId="2" applyNumberFormat="1" applyFont="1" applyFill="1" applyBorder="1" applyAlignment="1">
      <alignment horizontal="right" vertical="center" wrapText="1"/>
    </xf>
    <xf numFmtId="3" fontId="8" fillId="7" borderId="60" xfId="0" applyNumberFormat="1" applyFont="1" applyFill="1" applyBorder="1" applyAlignment="1">
      <alignment horizontal="right" vertical="center" wrapText="1"/>
    </xf>
    <xf numFmtId="165" fontId="8" fillId="7" borderId="56" xfId="0" applyNumberFormat="1" applyFont="1" applyFill="1" applyBorder="1" applyAlignment="1">
      <alignment horizontal="right" vertical="center" wrapText="1"/>
    </xf>
    <xf numFmtId="4" fontId="4" fillId="0" borderId="56" xfId="0" applyNumberFormat="1" applyFont="1" applyFill="1" applyBorder="1" applyAlignment="1">
      <alignment horizontal="right" vertical="center" wrapText="1"/>
    </xf>
    <xf numFmtId="167" fontId="2" fillId="2" borderId="24" xfId="0" applyNumberFormat="1" applyFont="1" applyFill="1" applyBorder="1" applyAlignment="1">
      <alignment horizontal="center" vertical="center" wrapText="1"/>
    </xf>
    <xf numFmtId="167" fontId="2" fillId="2" borderId="21" xfId="0" applyNumberFormat="1" applyFont="1" applyFill="1" applyBorder="1" applyAlignment="1">
      <alignment horizontal="center" vertical="center" wrapText="1"/>
    </xf>
    <xf numFmtId="167" fontId="2" fillId="2" borderId="23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165" fontId="1" fillId="11" borderId="24" xfId="0" applyNumberFormat="1" applyFont="1" applyFill="1" applyBorder="1" applyAlignment="1" applyProtection="1">
      <alignment horizontal="center" vertical="center" wrapText="1"/>
      <protection locked="0"/>
    </xf>
    <xf numFmtId="165" fontId="1" fillId="11" borderId="21" xfId="0" applyNumberFormat="1" applyFont="1" applyFill="1" applyBorder="1" applyAlignment="1" applyProtection="1">
      <alignment horizontal="center" vertical="center" wrapText="1"/>
      <protection locked="0"/>
    </xf>
    <xf numFmtId="165" fontId="1" fillId="11" borderId="23" xfId="0" applyNumberFormat="1" applyFont="1" applyFill="1" applyBorder="1" applyAlignment="1" applyProtection="1">
      <alignment horizontal="center" vertical="center" wrapText="1"/>
      <protection locked="0"/>
    </xf>
    <xf numFmtId="165" fontId="2" fillId="10" borderId="24" xfId="0" applyNumberFormat="1" applyFont="1" applyFill="1" applyBorder="1" applyAlignment="1" applyProtection="1">
      <alignment horizontal="center" vertical="center" wrapText="1"/>
      <protection locked="0"/>
    </xf>
    <xf numFmtId="165" fontId="2" fillId="10" borderId="21" xfId="0" applyNumberFormat="1" applyFont="1" applyFill="1" applyBorder="1" applyAlignment="1" applyProtection="1">
      <alignment horizontal="center" vertical="center" wrapText="1"/>
      <protection locked="0"/>
    </xf>
    <xf numFmtId="165" fontId="2" fillId="10" borderId="23" xfId="0" applyNumberFormat="1" applyFont="1" applyFill="1" applyBorder="1" applyAlignment="1" applyProtection="1">
      <alignment horizontal="center" vertical="center" wrapText="1"/>
      <protection locked="0"/>
    </xf>
    <xf numFmtId="165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165" fontId="1" fillId="4" borderId="21" xfId="0" applyNumberFormat="1" applyFont="1" applyFill="1" applyBorder="1" applyAlignment="1" applyProtection="1">
      <alignment horizontal="center" vertical="center" wrapText="1"/>
      <protection locked="0"/>
    </xf>
    <xf numFmtId="165" fontId="1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0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left" vertical="center" wrapText="1"/>
    </xf>
    <xf numFmtId="0" fontId="8" fillId="0" borderId="0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1" fillId="0" borderId="13" xfId="0" applyNumberFormat="1" applyFont="1" applyFill="1" applyBorder="1" applyAlignment="1">
      <alignment vertical="center" wrapText="1"/>
    </xf>
    <xf numFmtId="0" fontId="1" fillId="2" borderId="0" xfId="0" applyFont="1" applyFill="1" applyAlignment="1">
      <alignment vertical="center"/>
    </xf>
    <xf numFmtId="0" fontId="24" fillId="0" borderId="0" xfId="0" applyFont="1" applyFill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2" fillId="20" borderId="0" xfId="0" applyFont="1" applyFill="1" applyAlignment="1">
      <alignment vertical="center"/>
    </xf>
    <xf numFmtId="0" fontId="1" fillId="20" borderId="0" xfId="0" applyFont="1" applyFill="1" applyAlignment="1">
      <alignment vertical="center" wrapText="1"/>
    </xf>
    <xf numFmtId="0" fontId="1" fillId="20" borderId="56" xfId="0" applyFont="1" applyFill="1" applyBorder="1" applyAlignment="1">
      <alignment vertical="center" wrapText="1"/>
    </xf>
    <xf numFmtId="0" fontId="2" fillId="20" borderId="10" xfId="0" applyFont="1" applyFill="1" applyBorder="1" applyAlignment="1">
      <alignment horizontal="center" vertical="center" wrapText="1"/>
    </xf>
    <xf numFmtId="0" fontId="2" fillId="20" borderId="34" xfId="0" applyFont="1" applyFill="1" applyBorder="1" applyAlignment="1">
      <alignment horizontal="center" vertical="center" wrapText="1"/>
    </xf>
    <xf numFmtId="0" fontId="3" fillId="20" borderId="12" xfId="0" applyFont="1" applyFill="1" applyBorder="1" applyAlignment="1">
      <alignment horizontal="center" vertical="center" wrapText="1"/>
    </xf>
    <xf numFmtId="0" fontId="3" fillId="20" borderId="35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vertical="center" wrapText="1"/>
    </xf>
    <xf numFmtId="9" fontId="1" fillId="19" borderId="1" xfId="2" applyFont="1" applyFill="1" applyBorder="1" applyAlignment="1">
      <alignment vertical="center" wrapText="1"/>
    </xf>
    <xf numFmtId="0" fontId="5" fillId="19" borderId="1" xfId="0" applyFont="1" applyFill="1" applyBorder="1" applyAlignment="1">
      <alignment vertical="center" wrapText="1"/>
    </xf>
    <xf numFmtId="0" fontId="2" fillId="20" borderId="1" xfId="0" applyFont="1" applyFill="1" applyBorder="1" applyAlignment="1">
      <alignment vertical="center" wrapText="1"/>
    </xf>
    <xf numFmtId="9" fontId="2" fillId="20" borderId="1" xfId="2" applyFont="1" applyFill="1" applyBorder="1" applyAlignment="1">
      <alignment vertical="center" wrapText="1"/>
    </xf>
    <xf numFmtId="165" fontId="1" fillId="21" borderId="25" xfId="0" applyNumberFormat="1" applyFont="1" applyFill="1" applyBorder="1" applyAlignment="1">
      <alignment horizontal="right" vertical="center" wrapText="1"/>
    </xf>
    <xf numFmtId="165" fontId="1" fillId="21" borderId="10" xfId="0" applyNumberFormat="1" applyFont="1" applyFill="1" applyBorder="1" applyAlignment="1">
      <alignment horizontal="right" vertical="center" wrapText="1"/>
    </xf>
    <xf numFmtId="4" fontId="1" fillId="21" borderId="17" xfId="0" applyNumberFormat="1" applyFont="1" applyFill="1" applyBorder="1" applyAlignment="1">
      <alignment horizontal="right" vertical="center" wrapText="1"/>
    </xf>
    <xf numFmtId="4" fontId="1" fillId="21" borderId="34" xfId="0" applyNumberFormat="1" applyFont="1" applyFill="1" applyBorder="1" applyAlignment="1">
      <alignment horizontal="right" vertical="center" wrapText="1"/>
    </xf>
    <xf numFmtId="3" fontId="1" fillId="21" borderId="25" xfId="0" applyNumberFormat="1" applyFont="1" applyFill="1" applyBorder="1" applyAlignment="1">
      <alignment horizontal="right" vertical="center" wrapText="1"/>
    </xf>
    <xf numFmtId="3" fontId="1" fillId="21" borderId="34" xfId="0" applyNumberFormat="1" applyFont="1" applyFill="1" applyBorder="1" applyAlignment="1">
      <alignment horizontal="right" vertical="center" wrapText="1"/>
    </xf>
    <xf numFmtId="165" fontId="1" fillId="21" borderId="34" xfId="0" applyNumberFormat="1" applyFont="1" applyFill="1" applyBorder="1" applyAlignment="1">
      <alignment horizontal="right" vertical="center" wrapText="1"/>
    </xf>
    <xf numFmtId="165" fontId="1" fillId="21" borderId="27" xfId="0" applyNumberFormat="1" applyFont="1" applyFill="1" applyBorder="1" applyAlignment="1">
      <alignment horizontal="right" vertical="center" wrapText="1"/>
    </xf>
    <xf numFmtId="165" fontId="1" fillId="21" borderId="9" xfId="0" applyNumberFormat="1" applyFont="1" applyFill="1" applyBorder="1" applyAlignment="1">
      <alignment horizontal="right" vertical="center" wrapText="1"/>
    </xf>
    <xf numFmtId="4" fontId="1" fillId="21" borderId="16" xfId="0" applyNumberFormat="1" applyFont="1" applyFill="1" applyBorder="1" applyAlignment="1">
      <alignment horizontal="right" vertical="center" wrapText="1"/>
    </xf>
    <xf numFmtId="4" fontId="1" fillId="21" borderId="36" xfId="0" applyNumberFormat="1" applyFont="1" applyFill="1" applyBorder="1" applyAlignment="1">
      <alignment horizontal="right" vertical="center" wrapText="1"/>
    </xf>
    <xf numFmtId="3" fontId="1" fillId="21" borderId="27" xfId="0" applyNumberFormat="1" applyFont="1" applyFill="1" applyBorder="1" applyAlignment="1">
      <alignment horizontal="right" vertical="center" wrapText="1"/>
    </xf>
    <xf numFmtId="3" fontId="1" fillId="21" borderId="36" xfId="0" applyNumberFormat="1" applyFont="1" applyFill="1" applyBorder="1" applyAlignment="1">
      <alignment horizontal="right" vertical="center" wrapText="1"/>
    </xf>
    <xf numFmtId="165" fontId="1" fillId="21" borderId="36" xfId="0" applyNumberFormat="1" applyFont="1" applyFill="1" applyBorder="1" applyAlignment="1">
      <alignment horizontal="right" vertical="center" wrapText="1"/>
    </xf>
    <xf numFmtId="165" fontId="1" fillId="21" borderId="46" xfId="0" applyNumberFormat="1" applyFont="1" applyFill="1" applyBorder="1" applyAlignment="1">
      <alignment horizontal="right" vertical="center" wrapText="1"/>
    </xf>
    <xf numFmtId="165" fontId="1" fillId="21" borderId="44" xfId="0" applyNumberFormat="1" applyFont="1" applyFill="1" applyBorder="1" applyAlignment="1">
      <alignment horizontal="right" vertical="center" wrapText="1"/>
    </xf>
    <xf numFmtId="4" fontId="1" fillId="21" borderId="47" xfId="0" applyNumberFormat="1" applyFont="1" applyFill="1" applyBorder="1" applyAlignment="1">
      <alignment horizontal="right" vertical="center" wrapText="1"/>
    </xf>
    <xf numFmtId="4" fontId="1" fillId="21" borderId="48" xfId="0" applyNumberFormat="1" applyFont="1" applyFill="1" applyBorder="1" applyAlignment="1">
      <alignment horizontal="right" vertical="center" wrapText="1"/>
    </xf>
    <xf numFmtId="3" fontId="1" fillId="21" borderId="46" xfId="0" applyNumberFormat="1" applyFont="1" applyFill="1" applyBorder="1" applyAlignment="1">
      <alignment horizontal="right" vertical="center" wrapText="1"/>
    </xf>
    <xf numFmtId="3" fontId="1" fillId="21" borderId="48" xfId="0" applyNumberFormat="1" applyFont="1" applyFill="1" applyBorder="1" applyAlignment="1">
      <alignment horizontal="right" vertical="center" wrapText="1"/>
    </xf>
    <xf numFmtId="165" fontId="1" fillId="21" borderId="48" xfId="0" applyNumberFormat="1" applyFont="1" applyFill="1" applyBorder="1" applyAlignment="1">
      <alignment horizontal="right" vertical="center" wrapText="1"/>
    </xf>
    <xf numFmtId="164" fontId="1" fillId="21" borderId="47" xfId="0" applyNumberFormat="1" applyFont="1" applyFill="1" applyBorder="1" applyAlignment="1">
      <alignment horizontal="right" vertical="center" wrapText="1"/>
    </xf>
    <xf numFmtId="164" fontId="1" fillId="21" borderId="48" xfId="0" applyNumberFormat="1" applyFont="1" applyFill="1" applyBorder="1" applyAlignment="1">
      <alignment horizontal="right" vertical="center" wrapText="1"/>
    </xf>
    <xf numFmtId="164" fontId="1" fillId="21" borderId="46" xfId="0" applyNumberFormat="1" applyFont="1" applyFill="1" applyBorder="1" applyAlignment="1">
      <alignment horizontal="right" vertical="center" wrapText="1"/>
    </xf>
    <xf numFmtId="164" fontId="1" fillId="21" borderId="16" xfId="0" applyNumberFormat="1" applyFont="1" applyFill="1" applyBorder="1" applyAlignment="1">
      <alignment horizontal="right" vertical="center" wrapText="1"/>
    </xf>
    <xf numFmtId="164" fontId="1" fillId="21" borderId="36" xfId="0" applyNumberFormat="1" applyFont="1" applyFill="1" applyBorder="1" applyAlignment="1">
      <alignment horizontal="right" vertical="center" wrapText="1"/>
    </xf>
    <xf numFmtId="164" fontId="1" fillId="21" borderId="27" xfId="0" applyNumberFormat="1" applyFont="1" applyFill="1" applyBorder="1" applyAlignment="1">
      <alignment horizontal="right" vertical="center" wrapText="1"/>
    </xf>
    <xf numFmtId="165" fontId="1" fillId="21" borderId="1" xfId="0" applyNumberFormat="1" applyFont="1" applyFill="1" applyBorder="1" applyAlignment="1">
      <alignment vertical="center" wrapText="1"/>
    </xf>
    <xf numFmtId="0" fontId="1" fillId="21" borderId="13" xfId="0" applyFont="1" applyFill="1" applyBorder="1" applyAlignment="1">
      <alignment horizontal="right" vertical="center" wrapText="1"/>
    </xf>
    <xf numFmtId="0" fontId="1" fillId="21" borderId="53" xfId="0" applyNumberFormat="1" applyFont="1" applyFill="1" applyBorder="1" applyAlignment="1">
      <alignment horizontal="right" vertical="center" wrapText="1"/>
    </xf>
    <xf numFmtId="0" fontId="4" fillId="21" borderId="0" xfId="0" applyFont="1" applyFill="1" applyBorder="1" applyAlignment="1">
      <alignment vertical="center" wrapText="1"/>
    </xf>
    <xf numFmtId="0" fontId="25" fillId="12" borderId="0" xfId="0" applyFont="1" applyFill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12" borderId="0" xfId="0" applyFont="1" applyFill="1" applyAlignment="1">
      <alignment horizontal="left" vertical="center" wrapText="1"/>
    </xf>
    <xf numFmtId="0" fontId="1" fillId="8" borderId="0" xfId="0" applyFont="1" applyFill="1" applyAlignment="1">
      <alignment horizontal="center" vertical="center" wrapText="1"/>
    </xf>
    <xf numFmtId="0" fontId="1" fillId="22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167" fontId="2" fillId="10" borderId="21" xfId="0" applyNumberFormat="1" applyFont="1" applyFill="1" applyBorder="1" applyAlignment="1">
      <alignment horizontal="left" vertical="center" wrapText="1"/>
    </xf>
    <xf numFmtId="0" fontId="1" fillId="10" borderId="0" xfId="0" applyFont="1" applyFill="1" applyAlignment="1">
      <alignment vertical="center"/>
    </xf>
    <xf numFmtId="0" fontId="1" fillId="10" borderId="0" xfId="0" applyFont="1" applyFill="1" applyAlignment="1">
      <alignment vertical="center" wrapText="1"/>
    </xf>
    <xf numFmtId="0" fontId="1" fillId="8" borderId="0" xfId="0" applyFont="1" applyFill="1" applyAlignment="1">
      <alignment vertical="center"/>
    </xf>
    <xf numFmtId="0" fontId="1" fillId="8" borderId="0" xfId="0" applyFont="1" applyFill="1" applyAlignment="1">
      <alignment vertical="center" wrapText="1"/>
    </xf>
    <xf numFmtId="0" fontId="1" fillId="17" borderId="0" xfId="0" applyFont="1" applyFill="1" applyAlignment="1">
      <alignment vertical="center"/>
    </xf>
    <xf numFmtId="0" fontId="1" fillId="17" borderId="0" xfId="0" applyFont="1" applyFill="1" applyAlignment="1">
      <alignment vertical="center" wrapText="1"/>
    </xf>
    <xf numFmtId="165" fontId="1" fillId="21" borderId="24" xfId="0" applyNumberFormat="1" applyFont="1" applyFill="1" applyBorder="1" applyAlignment="1" applyProtection="1">
      <alignment horizontal="center" vertical="center" wrapText="1"/>
      <protection locked="0"/>
    </xf>
    <xf numFmtId="165" fontId="1" fillId="21" borderId="21" xfId="0" applyNumberFormat="1" applyFont="1" applyFill="1" applyBorder="1" applyAlignment="1" applyProtection="1">
      <alignment horizontal="center" vertical="center" wrapText="1"/>
      <protection locked="0"/>
    </xf>
    <xf numFmtId="165" fontId="1" fillId="21" borderId="23" xfId="0" applyNumberFormat="1" applyFont="1" applyFill="1" applyBorder="1" applyAlignment="1" applyProtection="1">
      <alignment horizontal="center" vertical="center" wrapText="1"/>
      <protection locked="0"/>
    </xf>
    <xf numFmtId="3" fontId="1" fillId="21" borderId="1" xfId="0" applyNumberFormat="1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3" fontId="1" fillId="21" borderId="24" xfId="0" applyNumberFormat="1" applyFont="1" applyFill="1" applyBorder="1" applyAlignment="1" applyProtection="1">
      <alignment horizontal="center" vertical="center" wrapText="1"/>
      <protection locked="0"/>
    </xf>
    <xf numFmtId="3" fontId="1" fillId="21" borderId="21" xfId="0" applyNumberFormat="1" applyFont="1" applyFill="1" applyBorder="1" applyAlignment="1" applyProtection="1">
      <alignment horizontal="center" vertical="center" wrapText="1"/>
      <protection locked="0"/>
    </xf>
    <xf numFmtId="3" fontId="1" fillId="21" borderId="23" xfId="0" applyNumberFormat="1" applyFont="1" applyFill="1" applyBorder="1" applyAlignment="1" applyProtection="1">
      <alignment horizontal="center" vertical="center" wrapText="1"/>
      <protection locked="0"/>
    </xf>
    <xf numFmtId="168" fontId="1" fillId="21" borderId="24" xfId="0" applyNumberFormat="1" applyFont="1" applyFill="1" applyBorder="1" applyAlignment="1" applyProtection="1">
      <alignment horizontal="center" vertical="center" wrapText="1"/>
      <protection locked="0"/>
    </xf>
    <xf numFmtId="168" fontId="1" fillId="21" borderId="21" xfId="0" applyNumberFormat="1" applyFont="1" applyFill="1" applyBorder="1" applyAlignment="1" applyProtection="1">
      <alignment horizontal="center" vertical="center" wrapText="1"/>
      <protection locked="0"/>
    </xf>
    <xf numFmtId="168" fontId="1" fillId="21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>
      <alignment vertical="center" wrapText="1"/>
    </xf>
    <xf numFmtId="0" fontId="5" fillId="12" borderId="0" xfId="0" applyFont="1" applyFill="1" applyBorder="1" applyAlignment="1">
      <alignment vertical="center" wrapText="1"/>
    </xf>
    <xf numFmtId="0" fontId="1" fillId="23" borderId="0" xfId="0" applyFont="1" applyFill="1" applyAlignment="1">
      <alignment vertical="center"/>
    </xf>
    <xf numFmtId="0" fontId="1" fillId="23" borderId="0" xfId="0" applyFont="1" applyFill="1" applyAlignment="1">
      <alignment vertical="center" wrapText="1"/>
    </xf>
    <xf numFmtId="0" fontId="4" fillId="23" borderId="78" xfId="0" applyFont="1" applyFill="1" applyBorder="1" applyAlignment="1">
      <alignment horizontal="center" vertical="center"/>
    </xf>
    <xf numFmtId="0" fontId="4" fillId="23" borderId="77" xfId="0" applyFont="1" applyFill="1" applyBorder="1" applyAlignment="1">
      <alignment horizontal="center" vertical="center"/>
    </xf>
    <xf numFmtId="167" fontId="2" fillId="23" borderId="21" xfId="0" applyNumberFormat="1" applyFont="1" applyFill="1" applyBorder="1" applyAlignment="1">
      <alignment horizontal="center" vertical="center" wrapText="1"/>
    </xf>
    <xf numFmtId="167" fontId="2" fillId="23" borderId="24" xfId="0" applyNumberFormat="1" applyFont="1" applyFill="1" applyBorder="1" applyAlignment="1">
      <alignment horizontal="center" vertical="center" wrapText="1"/>
    </xf>
    <xf numFmtId="167" fontId="2" fillId="23" borderId="23" xfId="0" applyNumberFormat="1" applyFont="1" applyFill="1" applyBorder="1" applyAlignment="1">
      <alignment horizontal="center" vertical="center" wrapText="1"/>
    </xf>
    <xf numFmtId="168" fontId="2" fillId="23" borderId="21" xfId="0" applyNumberFormat="1" applyFont="1" applyFill="1" applyBorder="1" applyAlignment="1" applyProtection="1">
      <alignment horizontal="right" vertical="center" wrapText="1"/>
      <protection locked="0"/>
    </xf>
    <xf numFmtId="171" fontId="2" fillId="23" borderId="82" xfId="0" applyNumberFormat="1" applyFont="1" applyFill="1" applyBorder="1" applyAlignment="1" applyProtection="1">
      <alignment horizontal="center" vertical="center" wrapText="1"/>
      <protection locked="0"/>
    </xf>
    <xf numFmtId="171" fontId="2" fillId="23" borderId="83" xfId="0" applyNumberFormat="1" applyFont="1" applyFill="1" applyBorder="1" applyAlignment="1" applyProtection="1">
      <alignment horizontal="center" vertical="center" wrapText="1"/>
      <protection locked="0"/>
    </xf>
    <xf numFmtId="171" fontId="2" fillId="23" borderId="84" xfId="0" applyNumberFormat="1" applyFont="1" applyFill="1" applyBorder="1" applyAlignment="1" applyProtection="1">
      <alignment horizontal="center" vertical="center" wrapText="1"/>
      <protection locked="0"/>
    </xf>
    <xf numFmtId="168" fontId="1" fillId="2" borderId="21" xfId="0" applyNumberFormat="1" applyFont="1" applyFill="1" applyBorder="1" applyAlignment="1" applyProtection="1">
      <alignment horizontal="left" vertical="center" wrapText="1"/>
      <protection locked="0"/>
    </xf>
    <xf numFmtId="0" fontId="2" fillId="23" borderId="0" xfId="0" applyFont="1" applyFill="1" applyAlignment="1">
      <alignment horizontal="right" vertical="center" wrapText="1"/>
    </xf>
    <xf numFmtId="168" fontId="2" fillId="23" borderId="21" xfId="0" applyNumberFormat="1" applyFont="1" applyFill="1" applyBorder="1" applyAlignment="1" applyProtection="1">
      <alignment horizontal="left" vertical="center" wrapText="1"/>
      <protection locked="0"/>
    </xf>
    <xf numFmtId="165" fontId="5" fillId="21" borderId="1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right" vertical="center" wrapText="1"/>
    </xf>
    <xf numFmtId="4" fontId="1" fillId="4" borderId="9" xfId="0" applyNumberFormat="1" applyFont="1" applyFill="1" applyBorder="1" applyAlignment="1">
      <alignment horizontal="right" vertical="center" wrapText="1"/>
    </xf>
    <xf numFmtId="4" fontId="2" fillId="10" borderId="38" xfId="0" applyNumberFormat="1" applyFont="1" applyFill="1" applyBorder="1" applyAlignment="1">
      <alignment horizontal="right" vertical="center" wrapText="1"/>
    </xf>
    <xf numFmtId="4" fontId="1" fillId="4" borderId="44" xfId="0" applyNumberFormat="1" applyFont="1" applyFill="1" applyBorder="1" applyAlignment="1">
      <alignment horizontal="right" vertical="center" wrapText="1"/>
    </xf>
    <xf numFmtId="165" fontId="2" fillId="23" borderId="40" xfId="0" applyNumberFormat="1" applyFont="1" applyFill="1" applyBorder="1" applyAlignment="1">
      <alignment horizontal="right" vertical="center" wrapText="1"/>
    </xf>
    <xf numFmtId="165" fontId="2" fillId="23" borderId="38" xfId="0" applyNumberFormat="1" applyFont="1" applyFill="1" applyBorder="1" applyAlignment="1">
      <alignment horizontal="right" vertical="center" wrapText="1"/>
    </xf>
    <xf numFmtId="4" fontId="2" fillId="23" borderId="41" xfId="0" applyNumberFormat="1" applyFont="1" applyFill="1" applyBorder="1" applyAlignment="1">
      <alignment horizontal="right" vertical="center" wrapText="1"/>
    </xf>
    <xf numFmtId="4" fontId="2" fillId="23" borderId="42" xfId="0" applyNumberFormat="1" applyFont="1" applyFill="1" applyBorder="1" applyAlignment="1">
      <alignment horizontal="right" vertical="center" wrapText="1"/>
    </xf>
    <xf numFmtId="0" fontId="24" fillId="12" borderId="0" xfId="0" applyNumberFormat="1" applyFont="1" applyFill="1" applyBorder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center" vertical="center" wrapText="1"/>
    </xf>
    <xf numFmtId="3" fontId="25" fillId="12" borderId="0" xfId="0" applyNumberFormat="1" applyFont="1" applyFill="1" applyBorder="1" applyAlignment="1">
      <alignment horizontal="left" vertical="center" wrapText="1"/>
    </xf>
    <xf numFmtId="0" fontId="24" fillId="12" borderId="0" xfId="0" applyNumberFormat="1" applyFont="1" applyFill="1" applyBorder="1" applyAlignment="1">
      <alignment horizontal="right" vertical="center" wrapText="1"/>
    </xf>
    <xf numFmtId="0" fontId="26" fillId="0" borderId="0" xfId="0" applyNumberFormat="1" applyFont="1" applyFill="1" applyBorder="1" applyAlignment="1">
      <alignment horizontal="right" vertical="center" wrapText="1"/>
    </xf>
    <xf numFmtId="3" fontId="25" fillId="12" borderId="0" xfId="0" applyNumberFormat="1" applyFont="1" applyFill="1" applyBorder="1" applyAlignment="1">
      <alignment horizontal="right" vertical="center" wrapText="1"/>
    </xf>
    <xf numFmtId="3" fontId="2" fillId="23" borderId="40" xfId="0" applyNumberFormat="1" applyFont="1" applyFill="1" applyBorder="1" applyAlignment="1">
      <alignment horizontal="right" vertical="center" wrapText="1"/>
    </xf>
    <xf numFmtId="3" fontId="2" fillId="23" borderId="42" xfId="0" applyNumberFormat="1" applyFont="1" applyFill="1" applyBorder="1" applyAlignment="1">
      <alignment horizontal="right" vertical="center" wrapText="1"/>
    </xf>
    <xf numFmtId="3" fontId="2" fillId="8" borderId="37" xfId="0" applyNumberFormat="1" applyFont="1" applyFill="1" applyBorder="1" applyAlignment="1">
      <alignment horizontal="right" vertical="center" wrapText="1"/>
    </xf>
    <xf numFmtId="4" fontId="1" fillId="5" borderId="10" xfId="0" applyNumberFormat="1" applyFont="1" applyFill="1" applyBorder="1" applyAlignment="1">
      <alignment horizontal="right" vertical="center" wrapText="1"/>
    </xf>
    <xf numFmtId="4" fontId="1" fillId="5" borderId="87" xfId="0" applyNumberFormat="1" applyFont="1" applyFill="1" applyBorder="1" applyAlignment="1">
      <alignment horizontal="right" vertical="center" wrapText="1"/>
    </xf>
    <xf numFmtId="4" fontId="1" fillId="5" borderId="9" xfId="0" applyNumberFormat="1" applyFont="1" applyFill="1" applyBorder="1" applyAlignment="1">
      <alignment horizontal="right" vertical="center" wrapText="1"/>
    </xf>
    <xf numFmtId="4" fontId="2" fillId="8" borderId="38" xfId="0" applyNumberFormat="1" applyFont="1" applyFill="1" applyBorder="1" applyAlignment="1">
      <alignment horizontal="right" vertical="center" wrapText="1"/>
    </xf>
    <xf numFmtId="4" fontId="1" fillId="5" borderId="44" xfId="0" applyNumberFormat="1" applyFont="1" applyFill="1" applyBorder="1" applyAlignment="1">
      <alignment horizontal="right" vertical="center" wrapText="1"/>
    </xf>
    <xf numFmtId="4" fontId="2" fillId="23" borderId="40" xfId="0" applyNumberFormat="1" applyFont="1" applyFill="1" applyBorder="1" applyAlignment="1">
      <alignment horizontal="right" vertical="center" wrapText="1"/>
    </xf>
    <xf numFmtId="0" fontId="1" fillId="18" borderId="0" xfId="0" applyFont="1" applyFill="1" applyAlignment="1">
      <alignment vertical="center"/>
    </xf>
    <xf numFmtId="3" fontId="1" fillId="13" borderId="10" xfId="0" applyNumberFormat="1" applyFont="1" applyFill="1" applyBorder="1" applyAlignment="1">
      <alignment horizontal="right" vertical="center" wrapText="1"/>
    </xf>
    <xf numFmtId="3" fontId="1" fillId="13" borderId="87" xfId="0" applyNumberFormat="1" applyFont="1" applyFill="1" applyBorder="1" applyAlignment="1">
      <alignment horizontal="right" vertical="center" wrapText="1"/>
    </xf>
    <xf numFmtId="3" fontId="1" fillId="13" borderId="9" xfId="0" applyNumberFormat="1" applyFont="1" applyFill="1" applyBorder="1" applyAlignment="1">
      <alignment horizontal="right" vertical="center" wrapText="1"/>
    </xf>
    <xf numFmtId="3" fontId="1" fillId="13" borderId="44" xfId="0" applyNumberFormat="1" applyFont="1" applyFill="1" applyBorder="1" applyAlignment="1">
      <alignment horizontal="right" vertical="center" wrapText="1"/>
    </xf>
    <xf numFmtId="0" fontId="2" fillId="10" borderId="61" xfId="0" applyNumberFormat="1" applyFont="1" applyFill="1" applyBorder="1" applyAlignment="1">
      <alignment horizontal="center" vertical="center" wrapText="1"/>
    </xf>
    <xf numFmtId="0" fontId="2" fillId="10" borderId="57" xfId="0" applyNumberFormat="1" applyFont="1" applyFill="1" applyBorder="1" applyAlignment="1">
      <alignment horizontal="center" vertical="center" wrapText="1"/>
    </xf>
    <xf numFmtId="0" fontId="3" fillId="10" borderId="26" xfId="0" applyNumberFormat="1" applyFont="1" applyFill="1" applyBorder="1" applyAlignment="1">
      <alignment horizontal="center" vertical="center" wrapText="1"/>
    </xf>
    <xf numFmtId="0" fontId="3" fillId="10" borderId="12" xfId="0" applyNumberFormat="1" applyFont="1" applyFill="1" applyBorder="1" applyAlignment="1">
      <alignment horizontal="center" vertical="center" wrapText="1"/>
    </xf>
    <xf numFmtId="165" fontId="4" fillId="13" borderId="63" xfId="0" applyNumberFormat="1" applyFont="1" applyFill="1" applyBorder="1" applyAlignment="1">
      <alignment horizontal="right" vertical="center" wrapText="1"/>
    </xf>
    <xf numFmtId="165" fontId="4" fillId="13" borderId="56" xfId="0" applyNumberFormat="1" applyFont="1" applyFill="1" applyBorder="1" applyAlignment="1">
      <alignment horizontal="right" vertical="center" wrapText="1"/>
    </xf>
    <xf numFmtId="165" fontId="1" fillId="13" borderId="63" xfId="0" applyNumberFormat="1" applyFont="1" applyFill="1" applyBorder="1" applyAlignment="1">
      <alignment horizontal="right" vertical="center" wrapText="1"/>
    </xf>
    <xf numFmtId="165" fontId="1" fillId="13" borderId="56" xfId="0" applyNumberFormat="1" applyFont="1" applyFill="1" applyBorder="1" applyAlignment="1">
      <alignment horizontal="right" vertical="center" wrapText="1"/>
    </xf>
    <xf numFmtId="165" fontId="4" fillId="5" borderId="63" xfId="0" applyNumberFormat="1" applyFont="1" applyFill="1" applyBorder="1" applyAlignment="1">
      <alignment horizontal="right" vertical="center" wrapText="1"/>
    </xf>
    <xf numFmtId="165" fontId="4" fillId="5" borderId="56" xfId="0" applyNumberFormat="1" applyFont="1" applyFill="1" applyBorder="1" applyAlignment="1">
      <alignment horizontal="right" vertical="center" wrapText="1"/>
    </xf>
    <xf numFmtId="165" fontId="1" fillId="5" borderId="63" xfId="0" applyNumberFormat="1" applyFont="1" applyFill="1" applyBorder="1" applyAlignment="1">
      <alignment horizontal="right" vertical="center" wrapText="1"/>
    </xf>
    <xf numFmtId="165" fontId="1" fillId="5" borderId="56" xfId="0" applyNumberFormat="1" applyFont="1" applyFill="1" applyBorder="1" applyAlignment="1">
      <alignment horizontal="right" vertical="center" wrapText="1"/>
    </xf>
    <xf numFmtId="165" fontId="1" fillId="4" borderId="56" xfId="0" applyNumberFormat="1" applyFont="1" applyFill="1" applyBorder="1" applyAlignment="1">
      <alignment horizontal="right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4" fontId="1" fillId="4" borderId="63" xfId="0" applyNumberFormat="1" applyFont="1" applyFill="1" applyBorder="1" applyAlignment="1">
      <alignment horizontal="right" vertical="center" wrapText="1"/>
    </xf>
    <xf numFmtId="4" fontId="1" fillId="4" borderId="56" xfId="0" applyNumberFormat="1" applyFont="1" applyFill="1" applyBorder="1" applyAlignment="1">
      <alignment horizontal="right" vertical="center" wrapText="1"/>
    </xf>
    <xf numFmtId="4" fontId="2" fillId="10" borderId="63" xfId="0" applyNumberFormat="1" applyFont="1" applyFill="1" applyBorder="1" applyAlignment="1">
      <alignment horizontal="right" vertical="center" wrapText="1"/>
    </xf>
    <xf numFmtId="4" fontId="2" fillId="10" borderId="56" xfId="0" applyNumberFormat="1" applyFont="1" applyFill="1" applyBorder="1" applyAlignment="1">
      <alignment horizontal="right" vertical="center" wrapText="1"/>
    </xf>
    <xf numFmtId="4" fontId="4" fillId="4" borderId="63" xfId="0" applyNumberFormat="1" applyFont="1" applyFill="1" applyBorder="1" applyAlignment="1">
      <alignment horizontal="right" vertical="center" wrapText="1"/>
    </xf>
    <xf numFmtId="4" fontId="4" fillId="4" borderId="56" xfId="0" applyNumberFormat="1" applyFont="1" applyFill="1" applyBorder="1" applyAlignment="1">
      <alignment horizontal="right" vertical="center" wrapText="1"/>
    </xf>
    <xf numFmtId="4" fontId="8" fillId="10" borderId="63" xfId="0" applyNumberFormat="1" applyFont="1" applyFill="1" applyBorder="1" applyAlignment="1">
      <alignment horizontal="right" vertical="center" wrapText="1"/>
    </xf>
    <xf numFmtId="4" fontId="8" fillId="10" borderId="56" xfId="0" applyNumberFormat="1" applyFont="1" applyFill="1" applyBorder="1" applyAlignment="1">
      <alignment horizontal="right" vertical="center" wrapText="1"/>
    </xf>
    <xf numFmtId="165" fontId="2" fillId="8" borderId="63" xfId="0" applyNumberFormat="1" applyFont="1" applyFill="1" applyBorder="1" applyAlignment="1">
      <alignment horizontal="right" vertical="center" wrapText="1"/>
    </xf>
    <xf numFmtId="165" fontId="2" fillId="8" borderId="56" xfId="0" applyNumberFormat="1" applyFont="1" applyFill="1" applyBorder="1" applyAlignment="1">
      <alignment horizontal="right" vertical="center" wrapText="1"/>
    </xf>
    <xf numFmtId="165" fontId="8" fillId="8" borderId="63" xfId="0" applyNumberFormat="1" applyFont="1" applyFill="1" applyBorder="1" applyAlignment="1">
      <alignment horizontal="right" vertical="center" wrapText="1"/>
    </xf>
    <xf numFmtId="165" fontId="8" fillId="8" borderId="56" xfId="0" applyNumberFormat="1" applyFont="1" applyFill="1" applyBorder="1" applyAlignment="1">
      <alignment horizontal="right" vertical="center" wrapText="1"/>
    </xf>
    <xf numFmtId="0" fontId="2" fillId="8" borderId="61" xfId="0" applyNumberFormat="1" applyFont="1" applyFill="1" applyBorder="1" applyAlignment="1">
      <alignment horizontal="center" vertical="center" wrapText="1"/>
    </xf>
    <xf numFmtId="0" fontId="2" fillId="8" borderId="57" xfId="0" applyNumberFormat="1" applyFont="1" applyFill="1" applyBorder="1" applyAlignment="1">
      <alignment horizontal="center" vertical="center" wrapText="1"/>
    </xf>
    <xf numFmtId="0" fontId="3" fillId="8" borderId="26" xfId="0" applyNumberFormat="1" applyFont="1" applyFill="1" applyBorder="1" applyAlignment="1">
      <alignment horizontal="center" vertical="center" wrapText="1"/>
    </xf>
    <xf numFmtId="0" fontId="3" fillId="8" borderId="12" xfId="0" applyNumberFormat="1" applyFont="1" applyFill="1" applyBorder="1" applyAlignment="1">
      <alignment horizontal="center" vertical="center" wrapText="1"/>
    </xf>
    <xf numFmtId="4" fontId="4" fillId="5" borderId="63" xfId="0" applyNumberFormat="1" applyFont="1" applyFill="1" applyBorder="1" applyAlignment="1">
      <alignment horizontal="right" vertical="center" wrapText="1"/>
    </xf>
    <xf numFmtId="4" fontId="4" fillId="5" borderId="56" xfId="0" applyNumberFormat="1" applyFont="1" applyFill="1" applyBorder="1" applyAlignment="1">
      <alignment horizontal="right" vertical="center" wrapText="1"/>
    </xf>
    <xf numFmtId="0" fontId="2" fillId="8" borderId="74" xfId="0" applyNumberFormat="1" applyFont="1" applyFill="1" applyBorder="1" applyAlignment="1">
      <alignment horizontal="center" vertical="center" wrapText="1"/>
    </xf>
    <xf numFmtId="0" fontId="2" fillId="8" borderId="44" xfId="0" applyNumberFormat="1" applyFont="1" applyFill="1" applyBorder="1" applyAlignment="1">
      <alignment horizontal="center" vertical="center" wrapText="1"/>
    </xf>
    <xf numFmtId="0" fontId="3" fillId="8" borderId="75" xfId="0" applyNumberFormat="1" applyFont="1" applyFill="1" applyBorder="1" applyAlignment="1">
      <alignment horizontal="center" vertical="center" wrapText="1"/>
    </xf>
    <xf numFmtId="0" fontId="2" fillId="18" borderId="74" xfId="0" applyNumberFormat="1" applyFont="1" applyFill="1" applyBorder="1" applyAlignment="1">
      <alignment horizontal="center" vertical="center" wrapText="1"/>
    </xf>
    <xf numFmtId="0" fontId="2" fillId="18" borderId="44" xfId="0" applyNumberFormat="1" applyFont="1" applyFill="1" applyBorder="1" applyAlignment="1">
      <alignment horizontal="center" vertical="center" wrapText="1"/>
    </xf>
    <xf numFmtId="0" fontId="3" fillId="18" borderId="75" xfId="0" applyNumberFormat="1" applyFont="1" applyFill="1" applyBorder="1" applyAlignment="1">
      <alignment horizontal="center" vertical="center" wrapText="1"/>
    </xf>
    <xf numFmtId="0" fontId="3" fillId="18" borderId="12" xfId="0" applyNumberFormat="1" applyFont="1" applyFill="1" applyBorder="1" applyAlignment="1">
      <alignment horizontal="center" vertical="center" wrapText="1"/>
    </xf>
    <xf numFmtId="0" fontId="2" fillId="10" borderId="74" xfId="0" applyNumberFormat="1" applyFont="1" applyFill="1" applyBorder="1" applyAlignment="1">
      <alignment horizontal="center" vertical="center" wrapText="1"/>
    </xf>
    <xf numFmtId="0" fontId="2" fillId="10" borderId="44" xfId="0" applyNumberFormat="1" applyFont="1" applyFill="1" applyBorder="1" applyAlignment="1">
      <alignment horizontal="center" vertical="center" wrapText="1"/>
    </xf>
    <xf numFmtId="0" fontId="3" fillId="10" borderId="75" xfId="0" applyNumberFormat="1" applyFont="1" applyFill="1" applyBorder="1" applyAlignment="1">
      <alignment horizontal="center" vertical="center" wrapText="1"/>
    </xf>
    <xf numFmtId="165" fontId="2" fillId="18" borderId="56" xfId="0" applyNumberFormat="1" applyFont="1" applyFill="1" applyBorder="1" applyAlignment="1">
      <alignment horizontal="right" vertical="center" wrapText="1"/>
    </xf>
    <xf numFmtId="165" fontId="1" fillId="4" borderId="50" xfId="0" applyNumberFormat="1" applyFont="1" applyFill="1" applyBorder="1" applyAlignment="1">
      <alignment horizontal="right" vertical="center" wrapText="1"/>
    </xf>
    <xf numFmtId="165" fontId="1" fillId="4" borderId="54" xfId="0" applyNumberFormat="1" applyFont="1" applyFill="1" applyBorder="1" applyAlignment="1">
      <alignment horizontal="right" vertical="center" wrapText="1"/>
    </xf>
    <xf numFmtId="165" fontId="1" fillId="5" borderId="50" xfId="0" applyNumberFormat="1" applyFont="1" applyFill="1" applyBorder="1" applyAlignment="1">
      <alignment horizontal="right" vertical="center" wrapText="1"/>
    </xf>
    <xf numFmtId="165" fontId="1" fillId="5" borderId="54" xfId="0" applyNumberFormat="1" applyFont="1" applyFill="1" applyBorder="1" applyAlignment="1">
      <alignment horizontal="right" vertical="center" wrapText="1"/>
    </xf>
    <xf numFmtId="165" fontId="1" fillId="4" borderId="76" xfId="0" applyNumberFormat="1" applyFont="1" applyFill="1" applyBorder="1" applyAlignment="1">
      <alignment horizontal="right" vertical="center" wrapText="1"/>
    </xf>
    <xf numFmtId="165" fontId="1" fillId="5" borderId="76" xfId="0" applyNumberFormat="1" applyFont="1" applyFill="1" applyBorder="1" applyAlignment="1">
      <alignment horizontal="right" vertical="center" wrapText="1"/>
    </xf>
    <xf numFmtId="165" fontId="1" fillId="4" borderId="52" xfId="0" applyNumberFormat="1" applyFont="1" applyFill="1" applyBorder="1" applyAlignment="1">
      <alignment horizontal="right" vertical="center" wrapText="1"/>
    </xf>
    <xf numFmtId="165" fontId="1" fillId="4" borderId="55" xfId="0" applyNumberFormat="1" applyFont="1" applyFill="1" applyBorder="1" applyAlignment="1">
      <alignment horizontal="right" vertical="center" wrapText="1"/>
    </xf>
    <xf numFmtId="165" fontId="1" fillId="5" borderId="52" xfId="0" applyNumberFormat="1" applyFont="1" applyFill="1" applyBorder="1" applyAlignment="1">
      <alignment horizontal="right" vertical="center" wrapText="1"/>
    </xf>
    <xf numFmtId="165" fontId="1" fillId="5" borderId="55" xfId="0" applyNumberFormat="1" applyFont="1" applyFill="1" applyBorder="1" applyAlignment="1">
      <alignment horizontal="right" vertical="center" wrapText="1"/>
    </xf>
    <xf numFmtId="0" fontId="2" fillId="18" borderId="61" xfId="0" applyNumberFormat="1" applyFont="1" applyFill="1" applyBorder="1" applyAlignment="1">
      <alignment horizontal="center" vertical="center" wrapText="1"/>
    </xf>
    <xf numFmtId="0" fontId="2" fillId="18" borderId="57" xfId="0" applyNumberFormat="1" applyFont="1" applyFill="1" applyBorder="1" applyAlignment="1">
      <alignment horizontal="center" vertical="center" wrapText="1"/>
    </xf>
    <xf numFmtId="0" fontId="3" fillId="18" borderId="26" xfId="0" applyNumberFormat="1" applyFont="1" applyFill="1" applyBorder="1" applyAlignment="1">
      <alignment horizontal="center" vertical="center" wrapText="1"/>
    </xf>
    <xf numFmtId="165" fontId="1" fillId="13" borderId="50" xfId="0" applyNumberFormat="1" applyFont="1" applyFill="1" applyBorder="1" applyAlignment="1">
      <alignment horizontal="right" vertical="center" wrapText="1"/>
    </xf>
    <xf numFmtId="165" fontId="1" fillId="13" borderId="54" xfId="0" applyNumberFormat="1" applyFont="1" applyFill="1" applyBorder="1" applyAlignment="1">
      <alignment horizontal="right" vertical="center" wrapText="1"/>
    </xf>
    <xf numFmtId="165" fontId="1" fillId="13" borderId="76" xfId="0" applyNumberFormat="1" applyFont="1" applyFill="1" applyBorder="1" applyAlignment="1">
      <alignment horizontal="right" vertical="center" wrapText="1"/>
    </xf>
    <xf numFmtId="165" fontId="1" fillId="13" borderId="52" xfId="0" applyNumberFormat="1" applyFont="1" applyFill="1" applyBorder="1" applyAlignment="1">
      <alignment horizontal="right" vertical="center" wrapText="1"/>
    </xf>
    <xf numFmtId="165" fontId="1" fillId="13" borderId="55" xfId="0" applyNumberFormat="1" applyFont="1" applyFill="1" applyBorder="1" applyAlignment="1">
      <alignment horizontal="right" vertical="center" wrapText="1"/>
    </xf>
    <xf numFmtId="165" fontId="2" fillId="18" borderId="63" xfId="0" applyNumberFormat="1" applyFont="1" applyFill="1" applyBorder="1" applyAlignment="1">
      <alignment horizontal="right" vertical="center" wrapText="1"/>
    </xf>
    <xf numFmtId="165" fontId="8" fillId="18" borderId="63" xfId="0" applyNumberFormat="1" applyFont="1" applyFill="1" applyBorder="1" applyAlignment="1">
      <alignment horizontal="right" vertical="center" wrapText="1"/>
    </xf>
    <xf numFmtId="165" fontId="8" fillId="18" borderId="56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166" fontId="8" fillId="7" borderId="58" xfId="0" applyNumberFormat="1" applyFont="1" applyFill="1" applyBorder="1" applyAlignment="1">
      <alignment horizontal="right" vertical="center" wrapText="1"/>
    </xf>
    <xf numFmtId="166" fontId="8" fillId="7" borderId="64" xfId="2" applyNumberFormat="1" applyFont="1" applyFill="1" applyBorder="1" applyAlignment="1">
      <alignment horizontal="right" vertical="center" wrapText="1"/>
    </xf>
    <xf numFmtId="166" fontId="2" fillId="7" borderId="58" xfId="0" applyNumberFormat="1" applyFont="1" applyFill="1" applyBorder="1" applyAlignment="1">
      <alignment horizontal="right" vertical="center" wrapText="1"/>
    </xf>
    <xf numFmtId="166" fontId="2" fillId="7" borderId="64" xfId="2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0" fontId="9" fillId="18" borderId="28" xfId="0" applyNumberFormat="1" applyFont="1" applyFill="1" applyBorder="1" applyAlignment="1">
      <alignment horizontal="center" vertical="center" wrapText="1"/>
    </xf>
    <xf numFmtId="0" fontId="9" fillId="18" borderId="29" xfId="0" applyNumberFormat="1" applyFont="1" applyFill="1" applyBorder="1" applyAlignment="1">
      <alignment horizontal="center" vertical="center" wrapText="1"/>
    </xf>
    <xf numFmtId="0" fontId="9" fillId="18" borderId="1" xfId="0" applyNumberFormat="1" applyFont="1" applyFill="1" applyBorder="1" applyAlignment="1">
      <alignment horizontal="center" vertical="center" wrapText="1"/>
    </xf>
    <xf numFmtId="0" fontId="2" fillId="18" borderId="30" xfId="0" applyNumberFormat="1" applyFont="1" applyFill="1" applyBorder="1" applyAlignment="1">
      <alignment horizontal="center" vertical="center" wrapText="1"/>
    </xf>
    <xf numFmtId="0" fontId="2" fillId="18" borderId="25" xfId="0" applyNumberFormat="1" applyFont="1" applyFill="1" applyBorder="1" applyAlignment="1">
      <alignment horizontal="center" vertical="center" wrapText="1"/>
    </xf>
    <xf numFmtId="0" fontId="2" fillId="18" borderId="10" xfId="0" applyNumberFormat="1" applyFont="1" applyFill="1" applyBorder="1" applyAlignment="1">
      <alignment horizontal="center" vertical="center" wrapText="1"/>
    </xf>
    <xf numFmtId="0" fontId="3" fillId="18" borderId="31" xfId="0" applyNumberFormat="1" applyFont="1" applyFill="1" applyBorder="1" applyAlignment="1">
      <alignment horizontal="center" vertical="center" wrapText="1"/>
    </xf>
    <xf numFmtId="0" fontId="1" fillId="18" borderId="29" xfId="0" applyNumberFormat="1" applyFont="1" applyFill="1" applyBorder="1" applyAlignment="1">
      <alignment horizontal="center" vertical="center" wrapText="1"/>
    </xf>
    <xf numFmtId="0" fontId="1" fillId="18" borderId="33" xfId="0" applyNumberFormat="1" applyFont="1" applyFill="1" applyBorder="1" applyAlignment="1">
      <alignment horizontal="center" vertical="center" wrapText="1"/>
    </xf>
    <xf numFmtId="0" fontId="9" fillId="18" borderId="33" xfId="0" applyNumberFormat="1" applyFont="1" applyFill="1" applyBorder="1" applyAlignment="1">
      <alignment horizontal="center" vertical="center" wrapText="1"/>
    </xf>
    <xf numFmtId="3" fontId="2" fillId="18" borderId="38" xfId="0" applyNumberFormat="1" applyFont="1" applyFill="1" applyBorder="1" applyAlignment="1">
      <alignment horizontal="right" vertical="center" wrapText="1"/>
    </xf>
    <xf numFmtId="3" fontId="2" fillId="18" borderId="37" xfId="0" applyNumberFormat="1" applyFont="1" applyFill="1" applyBorder="1" applyAlignment="1">
      <alignment horizontal="right" vertical="center" wrapText="1"/>
    </xf>
    <xf numFmtId="165" fontId="2" fillId="18" borderId="39" xfId="0" applyNumberFormat="1" applyFont="1" applyFill="1" applyBorder="1" applyAlignment="1">
      <alignment horizontal="right" vertical="center" wrapText="1"/>
    </xf>
    <xf numFmtId="0" fontId="14" fillId="7" borderId="3" xfId="0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2" fillId="12" borderId="50" xfId="0" applyFont="1" applyFill="1" applyBorder="1" applyAlignment="1">
      <alignment horizontal="center" vertical="center" wrapText="1"/>
    </xf>
    <xf numFmtId="0" fontId="2" fillId="12" borderId="54" xfId="0" applyFont="1" applyFill="1" applyBorder="1" applyAlignment="1">
      <alignment horizontal="center" vertical="center" wrapText="1"/>
    </xf>
    <xf numFmtId="0" fontId="2" fillId="12" borderId="51" xfId="0" applyFont="1" applyFill="1" applyBorder="1" applyAlignment="1">
      <alignment horizontal="center" vertical="center" wrapText="1"/>
    </xf>
    <xf numFmtId="0" fontId="24" fillId="12" borderId="0" xfId="0" applyFont="1" applyFill="1" applyAlignment="1">
      <alignment horizontal="center" vertical="center" wrapText="1"/>
    </xf>
    <xf numFmtId="0" fontId="13" fillId="12" borderId="50" xfId="0" applyFont="1" applyFill="1" applyBorder="1" applyAlignment="1">
      <alignment horizontal="center" vertical="center" wrapText="1"/>
    </xf>
    <xf numFmtId="0" fontId="13" fillId="12" borderId="54" xfId="0" applyFont="1" applyFill="1" applyBorder="1" applyAlignment="1">
      <alignment horizontal="center" vertical="center" wrapText="1"/>
    </xf>
    <xf numFmtId="0" fontId="13" fillId="12" borderId="51" xfId="0" applyFont="1" applyFill="1" applyBorder="1" applyAlignment="1">
      <alignment horizontal="center" vertical="center" wrapText="1"/>
    </xf>
  </cellXfs>
  <cellStyles count="7">
    <cellStyle name="Lien hypertexte" xfId="1" builtinId="8"/>
    <cellStyle name="Normal" xfId="0" builtinId="0"/>
    <cellStyle name="Normal 2" xfId="3"/>
    <cellStyle name="Pourcentage" xfId="2" builtinId="5"/>
    <cellStyle name="Titre 1 2" xfId="4"/>
    <cellStyle name="Titre 2 2" xfId="5"/>
    <cellStyle name="Titre 4 2" xfId="6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5"/>
  <sheetViews>
    <sheetView zoomScaleNormal="100" workbookViewId="0">
      <selection sqref="A1:D1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8" width="20.7109375" style="18" customWidth="1"/>
    <col min="9" max="16" width="12.7109375" style="18" customWidth="1"/>
    <col min="17" max="17" width="12.7109375" style="29" customWidth="1"/>
    <col min="18" max="20" width="10.7109375" style="18" customWidth="1"/>
    <col min="21" max="16384" width="15.7109375" style="18"/>
  </cols>
  <sheetData>
    <row r="1" spans="1:20" ht="24" thickBot="1" x14ac:dyDescent="0.3">
      <c r="A1" s="466" t="str">
        <f>CONCATENATE("ENCERTICUS - ",B4," - ",B5," - ",B7)</f>
        <v>ENCERTICUS - Entrée Logiciel - 2014 - S20</v>
      </c>
      <c r="B1" s="467"/>
      <c r="C1" s="467"/>
      <c r="D1" s="468"/>
      <c r="E1" s="28"/>
      <c r="F1" s="312" t="s">
        <v>94</v>
      </c>
      <c r="G1" s="173" t="s">
        <v>99</v>
      </c>
      <c r="H1" s="28"/>
      <c r="I1" s="28"/>
      <c r="R1" s="472" t="s">
        <v>161</v>
      </c>
      <c r="S1" s="472"/>
      <c r="T1" s="472"/>
    </row>
    <row r="2" spans="1:20" ht="26.25" thickBot="1" x14ac:dyDescent="0.3">
      <c r="E2" s="23"/>
      <c r="F2" s="13"/>
      <c r="G2" s="161"/>
      <c r="H2" s="13"/>
      <c r="I2" s="28"/>
      <c r="J2" s="265" t="s">
        <v>188</v>
      </c>
      <c r="K2" s="205" t="s">
        <v>186</v>
      </c>
      <c r="L2" s="205" t="s">
        <v>187</v>
      </c>
      <c r="M2" s="205" t="s">
        <v>184</v>
      </c>
      <c r="N2" s="205" t="s">
        <v>185</v>
      </c>
      <c r="O2" s="205" t="s">
        <v>158</v>
      </c>
      <c r="R2" s="313" t="s">
        <v>35</v>
      </c>
      <c r="S2" s="313" t="s">
        <v>41</v>
      </c>
      <c r="T2" s="313" t="s">
        <v>180</v>
      </c>
    </row>
    <row r="3" spans="1:20" x14ac:dyDescent="0.25">
      <c r="A3" s="137" t="s">
        <v>9</v>
      </c>
      <c r="B3" s="138" t="s">
        <v>10</v>
      </c>
      <c r="D3" s="469" t="s">
        <v>68</v>
      </c>
      <c r="E3" s="470"/>
      <c r="F3" s="471"/>
      <c r="G3" s="469" t="str">
        <f>CONCATENATE("Correction DJU - ",B6)</f>
        <v>Correction DJU - Mai</v>
      </c>
      <c r="H3" s="471"/>
      <c r="I3" s="28"/>
      <c r="J3" s="207" t="s">
        <v>46</v>
      </c>
      <c r="K3" s="309"/>
      <c r="L3" s="309"/>
      <c r="M3" s="354">
        <v>120</v>
      </c>
      <c r="N3" s="309"/>
      <c r="O3" s="238">
        <f>'1_Valeur_Référence'!O3</f>
        <v>75.727956989247303</v>
      </c>
      <c r="R3" s="313" t="s">
        <v>16</v>
      </c>
      <c r="S3" s="313" t="s">
        <v>46</v>
      </c>
      <c r="T3" s="313">
        <v>3</v>
      </c>
    </row>
    <row r="4" spans="1:20" x14ac:dyDescent="0.25">
      <c r="A4" s="139" t="s">
        <v>11</v>
      </c>
      <c r="B4" s="140" t="s">
        <v>98</v>
      </c>
      <c r="D4" s="145" t="s">
        <v>23</v>
      </c>
      <c r="E4" s="146">
        <f>(365/7)/12</f>
        <v>4.3452380952380958</v>
      </c>
      <c r="F4" s="147"/>
      <c r="G4" s="145" t="str">
        <f>CONCATENATE(M2," - ",B6)</f>
        <v>DJU REEL - 2014 - Mai</v>
      </c>
      <c r="H4" s="266">
        <f>VLOOKUP(B6,J2:N14,4,FALSE)</f>
        <v>20</v>
      </c>
      <c r="I4" s="28"/>
      <c r="J4" s="207" t="s">
        <v>47</v>
      </c>
      <c r="K4" s="309"/>
      <c r="L4" s="309"/>
      <c r="M4" s="354">
        <v>100</v>
      </c>
      <c r="N4" s="309"/>
      <c r="O4" s="238">
        <f>'1_Valeur_Référence'!O4</f>
        <v>86.941666666666677</v>
      </c>
      <c r="R4" s="313" t="s">
        <v>107</v>
      </c>
      <c r="S4" s="313" t="s">
        <v>47</v>
      </c>
      <c r="T4" s="313">
        <v>4</v>
      </c>
    </row>
    <row r="5" spans="1:20" ht="14.25" x14ac:dyDescent="0.25">
      <c r="A5" s="139" t="s">
        <v>40</v>
      </c>
      <c r="B5" s="310">
        <v>2014</v>
      </c>
      <c r="C5" s="314"/>
      <c r="D5" s="145" t="s">
        <v>69</v>
      </c>
      <c r="E5" s="148">
        <v>11.628</v>
      </c>
      <c r="F5" s="149" t="s">
        <v>33</v>
      </c>
      <c r="G5" s="145" t="str">
        <f>CONCATENATE('1_Valeur_Référence'!O2," - ",B6)</f>
        <v>DJU MODELE - Mai</v>
      </c>
      <c r="H5" s="266">
        <f>VLOOKUP(B6,J2:O14,6,FALSE)</f>
        <v>7.2182795698924735</v>
      </c>
      <c r="I5" s="28"/>
      <c r="J5" s="207" t="s">
        <v>48</v>
      </c>
      <c r="K5" s="309"/>
      <c r="L5" s="309"/>
      <c r="M5" s="354">
        <v>80</v>
      </c>
      <c r="N5" s="309"/>
      <c r="O5" s="238">
        <f>'1_Valeur_Référence'!O5</f>
        <v>47.456989247311824</v>
      </c>
      <c r="R5" s="313" t="s">
        <v>108</v>
      </c>
      <c r="S5" s="313" t="s">
        <v>48</v>
      </c>
      <c r="T5" s="313">
        <v>5</v>
      </c>
    </row>
    <row r="6" spans="1:20" x14ac:dyDescent="0.25">
      <c r="A6" s="139" t="s">
        <v>41</v>
      </c>
      <c r="B6" s="310" t="s">
        <v>49</v>
      </c>
      <c r="C6" s="315">
        <f>VLOOKUP(B6,S3:T14,2,FALSE)</f>
        <v>7</v>
      </c>
      <c r="D6" s="145" t="s">
        <v>69</v>
      </c>
      <c r="E6" s="148">
        <f>1/1.11</f>
        <v>0.9009009009009008</v>
      </c>
      <c r="F6" s="149" t="s">
        <v>15</v>
      </c>
      <c r="G6" s="145" t="str">
        <f>'1_Valeur_Référence'!G6</f>
        <v>DJU REF - 2013 - Mai</v>
      </c>
      <c r="H6" s="266">
        <f>'1_Valeur_Référence'!H6</f>
        <v>15.987096774193548</v>
      </c>
      <c r="I6" s="28"/>
      <c r="J6" s="207" t="s">
        <v>43</v>
      </c>
      <c r="K6" s="309"/>
      <c r="L6" s="309"/>
      <c r="M6" s="354">
        <v>60</v>
      </c>
      <c r="N6" s="309"/>
      <c r="O6" s="238">
        <f>'1_Valeur_Référence'!O6</f>
        <v>24.958888888888886</v>
      </c>
      <c r="R6" s="313" t="s">
        <v>109</v>
      </c>
      <c r="S6" s="313" t="s">
        <v>43</v>
      </c>
      <c r="T6" s="313">
        <v>6</v>
      </c>
    </row>
    <row r="7" spans="1:20" x14ac:dyDescent="0.25">
      <c r="A7" s="139" t="s">
        <v>67</v>
      </c>
      <c r="B7" s="310" t="s">
        <v>124</v>
      </c>
      <c r="C7" s="315">
        <f>VLOOKUP(B7,R2:T54,3,FALSE)</f>
        <v>22</v>
      </c>
      <c r="D7" s="150"/>
      <c r="E7" s="151"/>
      <c r="F7" s="152"/>
      <c r="G7" s="145"/>
      <c r="H7" s="149"/>
      <c r="I7" s="28"/>
      <c r="J7" s="207" t="s">
        <v>49</v>
      </c>
      <c r="K7" s="309"/>
      <c r="L7" s="309"/>
      <c r="M7" s="354">
        <v>20</v>
      </c>
      <c r="N7" s="309"/>
      <c r="O7" s="238">
        <f>'1_Valeur_Référence'!O7</f>
        <v>7.2182795698924735</v>
      </c>
      <c r="P7" s="19"/>
      <c r="R7" s="313" t="s">
        <v>110</v>
      </c>
      <c r="S7" s="313" t="s">
        <v>49</v>
      </c>
      <c r="T7" s="313">
        <v>7</v>
      </c>
    </row>
    <row r="8" spans="1:20" ht="13.5" thickBot="1" x14ac:dyDescent="0.3">
      <c r="A8" s="141" t="s">
        <v>36</v>
      </c>
      <c r="B8" s="311" t="s">
        <v>35</v>
      </c>
      <c r="C8" s="314"/>
      <c r="D8" s="203" t="s">
        <v>157</v>
      </c>
      <c r="E8" s="204">
        <v>1</v>
      </c>
      <c r="F8" s="154"/>
      <c r="G8" s="153"/>
      <c r="H8" s="158"/>
      <c r="I8" s="28"/>
      <c r="J8" s="207" t="s">
        <v>50</v>
      </c>
      <c r="K8" s="309"/>
      <c r="L8" s="309"/>
      <c r="M8" s="354">
        <v>0.1</v>
      </c>
      <c r="N8" s="309"/>
      <c r="O8" s="238">
        <f>'1_Valeur_Référence'!O8</f>
        <v>0</v>
      </c>
      <c r="R8" s="313" t="s">
        <v>111</v>
      </c>
      <c r="S8" s="313" t="s">
        <v>50</v>
      </c>
      <c r="T8" s="313">
        <v>8</v>
      </c>
    </row>
    <row r="9" spans="1:20" ht="13.5" thickBot="1" x14ac:dyDescent="0.3">
      <c r="A9" s="4"/>
      <c r="B9" s="24"/>
      <c r="C9" s="29"/>
      <c r="D9" s="29"/>
      <c r="E9" s="29"/>
      <c r="F9" s="29"/>
      <c r="G9" s="29"/>
      <c r="H9" s="4"/>
      <c r="I9" s="30"/>
      <c r="J9" s="207" t="s">
        <v>51</v>
      </c>
      <c r="K9" s="309"/>
      <c r="L9" s="309"/>
      <c r="M9" s="354">
        <v>0.1</v>
      </c>
      <c r="N9" s="309"/>
      <c r="O9" s="238">
        <f>'1_Valeur_Référence'!O9</f>
        <v>0</v>
      </c>
      <c r="R9" s="313" t="s">
        <v>112</v>
      </c>
      <c r="S9" s="313" t="s">
        <v>51</v>
      </c>
      <c r="T9" s="313">
        <v>9</v>
      </c>
    </row>
    <row r="10" spans="1:20" s="19" customFormat="1" x14ac:dyDescent="0.25">
      <c r="B10" s="123"/>
      <c r="C10" s="124" t="s">
        <v>63</v>
      </c>
      <c r="D10" s="124" t="s">
        <v>66</v>
      </c>
      <c r="E10" s="125" t="s">
        <v>70</v>
      </c>
      <c r="H10" s="14"/>
      <c r="I10" s="26"/>
      <c r="J10" s="207" t="s">
        <v>52</v>
      </c>
      <c r="K10" s="309"/>
      <c r="L10" s="309"/>
      <c r="M10" s="354">
        <v>0.1</v>
      </c>
      <c r="N10" s="309"/>
      <c r="O10" s="238">
        <f>'1_Valeur_Référence'!O10</f>
        <v>0</v>
      </c>
      <c r="P10" s="18"/>
      <c r="Q10" s="29"/>
      <c r="R10" s="313" t="s">
        <v>113</v>
      </c>
      <c r="S10" s="313" t="s">
        <v>52</v>
      </c>
      <c r="T10" s="313">
        <v>10</v>
      </c>
    </row>
    <row r="11" spans="1:20" x14ac:dyDescent="0.25">
      <c r="B11" s="174" t="s">
        <v>58</v>
      </c>
      <c r="C11" s="130">
        <v>20</v>
      </c>
      <c r="D11" s="131" t="s">
        <v>39</v>
      </c>
      <c r="E11" s="132"/>
      <c r="G11" s="13"/>
      <c r="H11" s="28"/>
      <c r="I11" s="28"/>
      <c r="J11" s="207" t="s">
        <v>53</v>
      </c>
      <c r="K11" s="309"/>
      <c r="L11" s="309"/>
      <c r="M11" s="354">
        <v>15</v>
      </c>
      <c r="N11" s="309"/>
      <c r="O11" s="238">
        <f>'1_Valeur_Référence'!O11</f>
        <v>0</v>
      </c>
      <c r="R11" s="313" t="s">
        <v>114</v>
      </c>
      <c r="S11" s="313" t="s">
        <v>53</v>
      </c>
      <c r="T11" s="313">
        <v>11</v>
      </c>
    </row>
    <row r="12" spans="1:20" x14ac:dyDescent="0.25">
      <c r="B12" s="129" t="s">
        <v>57</v>
      </c>
      <c r="C12" s="134">
        <f>1*7</f>
        <v>7</v>
      </c>
      <c r="D12" s="133" t="s">
        <v>64</v>
      </c>
      <c r="E12" s="135"/>
      <c r="G12" s="13"/>
      <c r="H12" s="28"/>
      <c r="I12" s="28"/>
      <c r="J12" s="207" t="s">
        <v>54</v>
      </c>
      <c r="K12" s="309"/>
      <c r="L12" s="309"/>
      <c r="M12" s="354">
        <v>45</v>
      </c>
      <c r="N12" s="309"/>
      <c r="O12" s="238">
        <f>'1_Valeur_Référence'!O12</f>
        <v>4.5161290322580641</v>
      </c>
      <c r="R12" s="313" t="s">
        <v>115</v>
      </c>
      <c r="S12" s="313" t="s">
        <v>54</v>
      </c>
      <c r="T12" s="313">
        <v>12</v>
      </c>
    </row>
    <row r="13" spans="1:20" x14ac:dyDescent="0.25">
      <c r="B13" s="136" t="s">
        <v>60</v>
      </c>
      <c r="C13" s="162">
        <f>2726/52</f>
        <v>52.42307692307692</v>
      </c>
      <c r="D13" s="131" t="s">
        <v>62</v>
      </c>
      <c r="E13" s="132" t="s">
        <v>24</v>
      </c>
      <c r="G13" s="13"/>
      <c r="H13" s="28"/>
      <c r="I13" s="28"/>
      <c r="J13" s="207" t="s">
        <v>55</v>
      </c>
      <c r="K13" s="309"/>
      <c r="L13" s="309"/>
      <c r="M13" s="354">
        <v>85</v>
      </c>
      <c r="N13" s="309"/>
      <c r="O13" s="238">
        <f>'1_Valeur_Référence'!O13</f>
        <v>42.56</v>
      </c>
      <c r="R13" s="313" t="s">
        <v>116</v>
      </c>
      <c r="S13" s="313" t="s">
        <v>55</v>
      </c>
      <c r="T13" s="313">
        <v>13</v>
      </c>
    </row>
    <row r="14" spans="1:20" x14ac:dyDescent="0.25">
      <c r="B14" s="129" t="s">
        <v>61</v>
      </c>
      <c r="C14" s="134">
        <f>150*7</f>
        <v>1050</v>
      </c>
      <c r="D14" s="133" t="s">
        <v>65</v>
      </c>
      <c r="E14" s="160" t="s">
        <v>29</v>
      </c>
      <c r="G14" s="28"/>
      <c r="H14" s="28"/>
      <c r="I14" s="28"/>
      <c r="J14" s="207" t="s">
        <v>56</v>
      </c>
      <c r="K14" s="309"/>
      <c r="L14" s="309"/>
      <c r="M14" s="354">
        <v>105</v>
      </c>
      <c r="N14" s="309"/>
      <c r="O14" s="238">
        <f>'1_Valeur_Référence'!O14</f>
        <v>64.407526881720429</v>
      </c>
      <c r="R14" s="313" t="s">
        <v>117</v>
      </c>
      <c r="S14" s="313" t="s">
        <v>56</v>
      </c>
      <c r="T14" s="313">
        <v>14</v>
      </c>
    </row>
    <row r="15" spans="1:20" ht="14.25" x14ac:dyDescent="0.25">
      <c r="B15" s="136" t="s">
        <v>59</v>
      </c>
      <c r="C15" s="162">
        <f>1.16*1*(50-15)/0.9</f>
        <v>45.111111111111107</v>
      </c>
      <c r="D15" s="131" t="s">
        <v>34</v>
      </c>
      <c r="E15" s="132" t="s">
        <v>37</v>
      </c>
      <c r="G15" s="28"/>
      <c r="H15" s="28"/>
      <c r="I15" s="28"/>
      <c r="R15" s="313" t="s">
        <v>118</v>
      </c>
      <c r="S15" s="313"/>
      <c r="T15" s="313">
        <v>15</v>
      </c>
    </row>
    <row r="16" spans="1:20" ht="14.25" x14ac:dyDescent="0.25">
      <c r="B16" s="172" t="s">
        <v>91</v>
      </c>
      <c r="C16" s="163">
        <f>(C14/2)/1000</f>
        <v>0.52500000000000002</v>
      </c>
      <c r="D16" s="133" t="s">
        <v>73</v>
      </c>
      <c r="E16" s="135"/>
      <c r="R16" s="313" t="s">
        <v>119</v>
      </c>
      <c r="S16" s="313"/>
      <c r="T16" s="313">
        <v>16</v>
      </c>
    </row>
    <row r="17" spans="2:20" x14ac:dyDescent="0.25">
      <c r="R17" s="313" t="s">
        <v>120</v>
      </c>
      <c r="S17" s="313"/>
      <c r="T17" s="313">
        <v>17</v>
      </c>
    </row>
    <row r="18" spans="2:20" x14ac:dyDescent="0.25">
      <c r="R18" s="313" t="s">
        <v>42</v>
      </c>
      <c r="S18" s="313"/>
      <c r="T18" s="313">
        <v>18</v>
      </c>
    </row>
    <row r="19" spans="2:20" x14ac:dyDescent="0.25">
      <c r="R19" s="313" t="s">
        <v>121</v>
      </c>
      <c r="S19" s="313"/>
      <c r="T19" s="313">
        <v>19</v>
      </c>
    </row>
    <row r="20" spans="2:20" x14ac:dyDescent="0.25">
      <c r="B20" s="270" t="s">
        <v>196</v>
      </c>
      <c r="C20" s="271"/>
      <c r="D20" s="271"/>
      <c r="E20" s="271"/>
      <c r="F20" s="271"/>
      <c r="G20" s="271"/>
      <c r="H20" s="271"/>
      <c r="Q20" s="35"/>
      <c r="R20" s="313" t="s">
        <v>122</v>
      </c>
      <c r="S20" s="313"/>
      <c r="T20" s="313">
        <v>20</v>
      </c>
    </row>
    <row r="21" spans="2:20" x14ac:dyDescent="0.25">
      <c r="G21" s="232" t="s">
        <v>169</v>
      </c>
      <c r="Q21" s="36"/>
      <c r="R21" s="313" t="s">
        <v>123</v>
      </c>
      <c r="S21" s="313"/>
      <c r="T21" s="313">
        <v>21</v>
      </c>
    </row>
    <row r="22" spans="2:20" x14ac:dyDescent="0.25">
      <c r="I22" s="269" t="s">
        <v>176</v>
      </c>
      <c r="J22" s="269" t="s">
        <v>176</v>
      </c>
      <c r="K22" s="269" t="s">
        <v>177</v>
      </c>
      <c r="L22" s="269" t="s">
        <v>177</v>
      </c>
      <c r="M22" s="316" t="s">
        <v>178</v>
      </c>
      <c r="N22" s="316" t="s">
        <v>178</v>
      </c>
      <c r="O22" s="317" t="s">
        <v>179</v>
      </c>
      <c r="P22" s="317" t="s">
        <v>179</v>
      </c>
      <c r="Q22" s="201"/>
      <c r="R22" s="313" t="s">
        <v>124</v>
      </c>
      <c r="S22" s="313"/>
      <c r="T22" s="313">
        <v>22</v>
      </c>
    </row>
    <row r="23" spans="2:20" ht="25.5" x14ac:dyDescent="0.25">
      <c r="B23" s="272"/>
      <c r="C23" s="273" t="s">
        <v>0</v>
      </c>
      <c r="D23" s="273" t="s">
        <v>45</v>
      </c>
      <c r="E23" s="273" t="s">
        <v>74</v>
      </c>
      <c r="F23" s="273" t="s">
        <v>8</v>
      </c>
      <c r="G23" s="273" t="s">
        <v>92</v>
      </c>
      <c r="H23" s="274" t="s">
        <v>75</v>
      </c>
      <c r="I23" s="43" t="s">
        <v>13</v>
      </c>
      <c r="J23" s="6" t="s">
        <v>14</v>
      </c>
      <c r="K23" s="7" t="s">
        <v>13</v>
      </c>
      <c r="L23" s="44" t="s">
        <v>14</v>
      </c>
      <c r="M23" s="43" t="s">
        <v>20</v>
      </c>
      <c r="N23" s="44" t="s">
        <v>21</v>
      </c>
      <c r="O23" s="43" t="s">
        <v>26</v>
      </c>
      <c r="P23" s="44" t="s">
        <v>26</v>
      </c>
      <c r="Q23" s="201"/>
      <c r="R23" s="313" t="s">
        <v>125</v>
      </c>
      <c r="S23" s="313"/>
      <c r="T23" s="313">
        <v>23</v>
      </c>
    </row>
    <row r="24" spans="2:20" ht="14.25" x14ac:dyDescent="0.25">
      <c r="B24" s="272"/>
      <c r="C24" s="275" t="s">
        <v>18</v>
      </c>
      <c r="D24" s="275" t="s">
        <v>18</v>
      </c>
      <c r="E24" s="275" t="s">
        <v>18</v>
      </c>
      <c r="F24" s="275" t="s">
        <v>19</v>
      </c>
      <c r="G24" s="275" t="s">
        <v>93</v>
      </c>
      <c r="H24" s="276" t="s">
        <v>32</v>
      </c>
      <c r="I24" s="45" t="s">
        <v>38</v>
      </c>
      <c r="J24" s="11" t="s">
        <v>38</v>
      </c>
      <c r="K24" s="12" t="s">
        <v>38</v>
      </c>
      <c r="L24" s="46" t="s">
        <v>38</v>
      </c>
      <c r="M24" s="45" t="s">
        <v>4</v>
      </c>
      <c r="N24" s="46" t="s">
        <v>4</v>
      </c>
      <c r="O24" s="45" t="s">
        <v>38</v>
      </c>
      <c r="P24" s="46" t="s">
        <v>38</v>
      </c>
      <c r="Q24" s="201"/>
      <c r="R24" s="313" t="s">
        <v>126</v>
      </c>
      <c r="S24" s="313"/>
      <c r="T24" s="313">
        <v>24</v>
      </c>
    </row>
    <row r="25" spans="2:20" x14ac:dyDescent="0.25">
      <c r="B25" s="277" t="str">
        <f>CONCATENATE(C25," - ",D25," - ",E25," - ",F25,"m²")</f>
        <v>GC - 274 - T4 - 83m²</v>
      </c>
      <c r="C25" s="277" t="s">
        <v>2</v>
      </c>
      <c r="D25" s="277">
        <v>274</v>
      </c>
      <c r="E25" s="277" t="s">
        <v>6</v>
      </c>
      <c r="F25" s="277">
        <v>83</v>
      </c>
      <c r="G25" s="277">
        <v>2</v>
      </c>
      <c r="H25" s="278">
        <v>0.9</v>
      </c>
      <c r="I25" s="282">
        <v>515.51</v>
      </c>
      <c r="J25" s="283">
        <v>520.32000000000005</v>
      </c>
      <c r="K25" s="284">
        <v>13.032</v>
      </c>
      <c r="L25" s="285">
        <v>13.776999999999999</v>
      </c>
      <c r="M25" s="286">
        <v>1247.2460000000001</v>
      </c>
      <c r="N25" s="287">
        <v>1298.1980000000001</v>
      </c>
      <c r="O25" s="282">
        <v>31.789000000000001</v>
      </c>
      <c r="P25" s="288">
        <v>33.960999999999999</v>
      </c>
      <c r="Q25" s="201"/>
      <c r="R25" s="313" t="s">
        <v>127</v>
      </c>
      <c r="S25" s="313"/>
      <c r="T25" s="313">
        <v>25</v>
      </c>
    </row>
    <row r="26" spans="2:20" x14ac:dyDescent="0.25">
      <c r="B26" s="277" t="str">
        <f t="shared" ref="B26:B72" si="0">CONCATENATE(C26," - ",D26," - ",E26," - ",F26,"m²")</f>
        <v>GC - 277 - T2 - 53m²</v>
      </c>
      <c r="C26" s="277" t="s">
        <v>2</v>
      </c>
      <c r="D26" s="277">
        <v>277</v>
      </c>
      <c r="E26" s="277" t="s">
        <v>168</v>
      </c>
      <c r="F26" s="277">
        <v>53</v>
      </c>
      <c r="G26" s="277">
        <v>1</v>
      </c>
      <c r="H26" s="278">
        <v>0.9</v>
      </c>
      <c r="I26" s="289">
        <v>498.48</v>
      </c>
      <c r="J26" s="290">
        <v>502.91</v>
      </c>
      <c r="K26" s="291">
        <v>8.7949999999999999</v>
      </c>
      <c r="L26" s="292">
        <v>8.9469999999999992</v>
      </c>
      <c r="M26" s="293">
        <v>897.52499999999998</v>
      </c>
      <c r="N26" s="294">
        <v>927.322</v>
      </c>
      <c r="O26" s="289">
        <v>19.869</v>
      </c>
      <c r="P26" s="295">
        <v>20.285</v>
      </c>
      <c r="Q26" s="201"/>
      <c r="R26" s="313" t="s">
        <v>128</v>
      </c>
      <c r="S26" s="313"/>
      <c r="T26" s="313">
        <v>26</v>
      </c>
    </row>
    <row r="27" spans="2:20" x14ac:dyDescent="0.25">
      <c r="B27" s="277" t="str">
        <f t="shared" si="0"/>
        <v>GC - 281 - T3 - 71m²</v>
      </c>
      <c r="C27" s="277" t="s">
        <v>2</v>
      </c>
      <c r="D27" s="277">
        <v>281</v>
      </c>
      <c r="E27" s="277" t="s">
        <v>5</v>
      </c>
      <c r="F27" s="277">
        <v>71</v>
      </c>
      <c r="G27" s="277">
        <v>2</v>
      </c>
      <c r="H27" s="278">
        <v>0.9</v>
      </c>
      <c r="I27" s="289">
        <v>559.91999999999996</v>
      </c>
      <c r="J27" s="290">
        <v>565.53</v>
      </c>
      <c r="K27" s="291">
        <v>23.161000000000001</v>
      </c>
      <c r="L27" s="292">
        <v>24.751999999999999</v>
      </c>
      <c r="M27" s="293">
        <v>962.53899999999999</v>
      </c>
      <c r="N27" s="294">
        <v>1008.542</v>
      </c>
      <c r="O27" s="289">
        <v>38.837000000000003</v>
      </c>
      <c r="P27" s="295">
        <v>41.488</v>
      </c>
      <c r="Q27" s="201"/>
      <c r="R27" s="313" t="s">
        <v>129</v>
      </c>
      <c r="S27" s="313"/>
      <c r="T27" s="313">
        <v>27</v>
      </c>
    </row>
    <row r="28" spans="2:20" x14ac:dyDescent="0.25">
      <c r="B28" s="277" t="str">
        <f t="shared" si="0"/>
        <v>GC - 283 - T3 - 70m²</v>
      </c>
      <c r="C28" s="277" t="s">
        <v>2</v>
      </c>
      <c r="D28" s="277">
        <v>283</v>
      </c>
      <c r="E28" s="277" t="s">
        <v>5</v>
      </c>
      <c r="F28" s="277">
        <v>70</v>
      </c>
      <c r="G28" s="277">
        <v>2</v>
      </c>
      <c r="H28" s="278">
        <v>0.9</v>
      </c>
      <c r="I28" s="289">
        <v>642.16</v>
      </c>
      <c r="J28" s="290">
        <v>644.29999999999995</v>
      </c>
      <c r="K28" s="291">
        <v>6.6890000000000001</v>
      </c>
      <c r="L28" s="292">
        <v>7.0279999999999996</v>
      </c>
      <c r="M28" s="293">
        <v>686.06100000000004</v>
      </c>
      <c r="N28" s="294">
        <v>713.62300000000005</v>
      </c>
      <c r="O28" s="289">
        <v>18.888000000000002</v>
      </c>
      <c r="P28" s="295">
        <v>19.988</v>
      </c>
      <c r="Q28" s="201"/>
      <c r="R28" s="313" t="s">
        <v>130</v>
      </c>
      <c r="S28" s="313"/>
      <c r="T28" s="313">
        <v>28</v>
      </c>
    </row>
    <row r="29" spans="2:20" x14ac:dyDescent="0.25">
      <c r="B29" s="277" t="str">
        <f t="shared" si="0"/>
        <v>GC - 285 - T3 - 64m²</v>
      </c>
      <c r="C29" s="277" t="s">
        <v>2</v>
      </c>
      <c r="D29" s="277">
        <v>285</v>
      </c>
      <c r="E29" s="277" t="s">
        <v>5</v>
      </c>
      <c r="F29" s="277">
        <v>64</v>
      </c>
      <c r="G29" s="277">
        <v>3</v>
      </c>
      <c r="H29" s="278">
        <v>0.9</v>
      </c>
      <c r="I29" s="289">
        <v>229.39</v>
      </c>
      <c r="J29" s="290">
        <v>234.34</v>
      </c>
      <c r="K29" s="291">
        <v>999994.45499999996</v>
      </c>
      <c r="L29" s="292">
        <v>999994.12899999996</v>
      </c>
      <c r="M29" s="293">
        <v>737.43600000000004</v>
      </c>
      <c r="N29" s="294">
        <v>771.56299999999999</v>
      </c>
      <c r="O29" s="289">
        <v>19.632000000000001</v>
      </c>
      <c r="P29" s="295">
        <v>20.89</v>
      </c>
      <c r="Q29" s="201"/>
      <c r="R29" s="313" t="s">
        <v>131</v>
      </c>
      <c r="S29" s="313"/>
      <c r="T29" s="313">
        <v>29</v>
      </c>
    </row>
    <row r="30" spans="2:20" x14ac:dyDescent="0.25">
      <c r="B30" s="277" t="str">
        <f t="shared" si="0"/>
        <v>GC - 286 - T3 - 68m²</v>
      </c>
      <c r="C30" s="277" t="s">
        <v>2</v>
      </c>
      <c r="D30" s="277">
        <v>286</v>
      </c>
      <c r="E30" s="277" t="s">
        <v>5</v>
      </c>
      <c r="F30" s="277">
        <v>68</v>
      </c>
      <c r="G30" s="277">
        <v>3</v>
      </c>
      <c r="H30" s="278">
        <v>0.9</v>
      </c>
      <c r="I30" s="289">
        <v>494.84</v>
      </c>
      <c r="J30" s="290">
        <v>505.9</v>
      </c>
      <c r="K30" s="291">
        <v>24.437000000000001</v>
      </c>
      <c r="L30" s="292">
        <v>25.472999999999999</v>
      </c>
      <c r="M30" s="293">
        <v>846.53899999999999</v>
      </c>
      <c r="N30" s="294">
        <v>876.56200000000001</v>
      </c>
      <c r="O30" s="289">
        <v>57.795000000000002</v>
      </c>
      <c r="P30" s="295">
        <v>60.49</v>
      </c>
      <c r="Q30" s="201"/>
      <c r="R30" s="313" t="s">
        <v>132</v>
      </c>
      <c r="S30" s="313"/>
      <c r="T30" s="313">
        <v>30</v>
      </c>
    </row>
    <row r="31" spans="2:20" x14ac:dyDescent="0.25">
      <c r="B31" s="277" t="str">
        <f t="shared" si="0"/>
        <v>GC - 289 - T3 - 76m²</v>
      </c>
      <c r="C31" s="277" t="s">
        <v>2</v>
      </c>
      <c r="D31" s="277">
        <v>289</v>
      </c>
      <c r="E31" s="277" t="s">
        <v>5</v>
      </c>
      <c r="F31" s="277">
        <v>76</v>
      </c>
      <c r="G31" s="277">
        <v>1</v>
      </c>
      <c r="H31" s="278">
        <v>0.9</v>
      </c>
      <c r="I31" s="289">
        <v>255.47</v>
      </c>
      <c r="J31" s="290">
        <v>256.52</v>
      </c>
      <c r="K31" s="291">
        <v>4.5259999999999998</v>
      </c>
      <c r="L31" s="292">
        <v>4.7119999999999997</v>
      </c>
      <c r="M31" s="293">
        <v>581.399</v>
      </c>
      <c r="N31" s="294">
        <v>605.26700000000005</v>
      </c>
      <c r="O31" s="289">
        <v>10.949</v>
      </c>
      <c r="P31" s="295">
        <v>11.555999999999999</v>
      </c>
      <c r="Q31" s="201"/>
      <c r="R31" s="313" t="s">
        <v>133</v>
      </c>
      <c r="S31" s="313"/>
      <c r="T31" s="313">
        <v>31</v>
      </c>
    </row>
    <row r="32" spans="2:20" x14ac:dyDescent="0.25">
      <c r="B32" s="277" t="str">
        <f t="shared" si="0"/>
        <v>GC - 303 - T4 - 81m²</v>
      </c>
      <c r="C32" s="277" t="s">
        <v>2</v>
      </c>
      <c r="D32" s="277">
        <v>303</v>
      </c>
      <c r="E32" s="277" t="s">
        <v>6</v>
      </c>
      <c r="F32" s="277">
        <v>81</v>
      </c>
      <c r="G32" s="279">
        <v>1</v>
      </c>
      <c r="H32" s="278">
        <v>0.9</v>
      </c>
      <c r="I32" s="289">
        <v>136.53</v>
      </c>
      <c r="J32" s="290">
        <v>140.47999999999999</v>
      </c>
      <c r="K32" s="291">
        <v>9.798</v>
      </c>
      <c r="L32" s="292">
        <v>10.192</v>
      </c>
      <c r="M32" s="293">
        <v>1602.5250000000001</v>
      </c>
      <c r="N32" s="294">
        <v>1675.6690000000001</v>
      </c>
      <c r="O32" s="289">
        <v>33.344999999999999</v>
      </c>
      <c r="P32" s="295">
        <v>35.149000000000001</v>
      </c>
      <c r="Q32" s="201"/>
      <c r="R32" s="313" t="s">
        <v>134</v>
      </c>
      <c r="S32" s="313"/>
      <c r="T32" s="313">
        <v>32</v>
      </c>
    </row>
    <row r="33" spans="1:20" x14ac:dyDescent="0.25">
      <c r="B33" s="277" t="str">
        <f t="shared" si="0"/>
        <v>GC - 304 - T3 - 66m²</v>
      </c>
      <c r="C33" s="277" t="s">
        <v>2</v>
      </c>
      <c r="D33" s="277">
        <v>304</v>
      </c>
      <c r="E33" s="277" t="s">
        <v>5</v>
      </c>
      <c r="F33" s="277">
        <v>66</v>
      </c>
      <c r="G33" s="277">
        <v>1</v>
      </c>
      <c r="H33" s="278">
        <v>0.9</v>
      </c>
      <c r="I33" s="289">
        <v>593.85</v>
      </c>
      <c r="J33" s="290">
        <v>602.66</v>
      </c>
      <c r="K33" s="291">
        <v>30.3</v>
      </c>
      <c r="L33" s="292">
        <v>32.06</v>
      </c>
      <c r="M33" s="293">
        <v>773.221</v>
      </c>
      <c r="N33" s="294">
        <v>807.01099999999997</v>
      </c>
      <c r="O33" s="289">
        <v>56.017000000000003</v>
      </c>
      <c r="P33" s="295">
        <v>59.29</v>
      </c>
      <c r="Q33" s="201"/>
      <c r="R33" s="313" t="s">
        <v>135</v>
      </c>
      <c r="S33" s="313"/>
      <c r="T33" s="313">
        <v>33</v>
      </c>
    </row>
    <row r="34" spans="1:20" x14ac:dyDescent="0.25">
      <c r="B34" s="277" t="str">
        <f t="shared" si="0"/>
        <v>GC - 306 - T3 - 66m²</v>
      </c>
      <c r="C34" s="277" t="s">
        <v>2</v>
      </c>
      <c r="D34" s="277">
        <v>306</v>
      </c>
      <c r="E34" s="277" t="s">
        <v>5</v>
      </c>
      <c r="F34" s="277">
        <v>66</v>
      </c>
      <c r="G34" s="277">
        <v>2</v>
      </c>
      <c r="H34" s="278">
        <v>0.9</v>
      </c>
      <c r="I34" s="289">
        <v>571.69000000000005</v>
      </c>
      <c r="J34" s="290">
        <v>574.13</v>
      </c>
      <c r="K34" s="291">
        <v>7.9089999999999998</v>
      </c>
      <c r="L34" s="292">
        <v>8.26</v>
      </c>
      <c r="M34" s="293">
        <v>630.28899999999999</v>
      </c>
      <c r="N34" s="294">
        <v>646.78599999999994</v>
      </c>
      <c r="O34" s="289">
        <v>18.510000000000002</v>
      </c>
      <c r="P34" s="295">
        <v>19.440999999999999</v>
      </c>
      <c r="Q34" s="201"/>
      <c r="R34" s="313" t="s">
        <v>136</v>
      </c>
      <c r="S34" s="313"/>
      <c r="T34" s="313">
        <v>34</v>
      </c>
    </row>
    <row r="35" spans="1:20" s="21" customFormat="1" x14ac:dyDescent="0.25">
      <c r="A35" s="18"/>
      <c r="B35" s="277" t="str">
        <f t="shared" si="0"/>
        <v>GC - 307 - T3 - 66m²</v>
      </c>
      <c r="C35" s="277" t="s">
        <v>2</v>
      </c>
      <c r="D35" s="277">
        <v>307</v>
      </c>
      <c r="E35" s="277" t="s">
        <v>5</v>
      </c>
      <c r="F35" s="277">
        <v>66</v>
      </c>
      <c r="G35" s="277">
        <v>3</v>
      </c>
      <c r="H35" s="278">
        <v>0.9</v>
      </c>
      <c r="I35" s="289">
        <v>548.82000000000005</v>
      </c>
      <c r="J35" s="290">
        <v>554.38</v>
      </c>
      <c r="K35" s="291">
        <v>0</v>
      </c>
      <c r="L35" s="292">
        <v>0</v>
      </c>
      <c r="M35" s="293">
        <v>1381.261</v>
      </c>
      <c r="N35" s="294">
        <v>1430.2280000000001</v>
      </c>
      <c r="O35" s="289">
        <v>63.841999999999999</v>
      </c>
      <c r="P35" s="295">
        <v>66.608999999999995</v>
      </c>
      <c r="Q35" s="202"/>
      <c r="R35" s="313" t="s">
        <v>137</v>
      </c>
      <c r="S35" s="313"/>
      <c r="T35" s="313">
        <v>35</v>
      </c>
    </row>
    <row r="36" spans="1:20" x14ac:dyDescent="0.25">
      <c r="B36" s="277" t="str">
        <f t="shared" si="0"/>
        <v>GC - 308 - T3 - 66m²</v>
      </c>
      <c r="C36" s="277" t="s">
        <v>2</v>
      </c>
      <c r="D36" s="277">
        <v>308</v>
      </c>
      <c r="E36" s="277" t="s">
        <v>5</v>
      </c>
      <c r="F36" s="277">
        <v>66</v>
      </c>
      <c r="G36" s="277">
        <v>2</v>
      </c>
      <c r="H36" s="278">
        <v>0.9</v>
      </c>
      <c r="I36" s="289">
        <v>594.47</v>
      </c>
      <c r="J36" s="290">
        <v>597.07000000000005</v>
      </c>
      <c r="K36" s="291">
        <v>10.228</v>
      </c>
      <c r="L36" s="292">
        <v>10.78</v>
      </c>
      <c r="M36" s="293">
        <v>951.01199999999994</v>
      </c>
      <c r="N36" s="294">
        <v>971.34199999999998</v>
      </c>
      <c r="O36" s="289">
        <v>27.715</v>
      </c>
      <c r="P36" s="295">
        <v>29.155000000000001</v>
      </c>
      <c r="Q36" s="201"/>
      <c r="R36" s="313" t="s">
        <v>138</v>
      </c>
      <c r="S36" s="313"/>
      <c r="T36" s="313">
        <v>36</v>
      </c>
    </row>
    <row r="37" spans="1:20" x14ac:dyDescent="0.25">
      <c r="B37" s="277" t="str">
        <f t="shared" si="0"/>
        <v>GC - 314 - T4 - 75m²</v>
      </c>
      <c r="C37" s="277" t="s">
        <v>2</v>
      </c>
      <c r="D37" s="277">
        <v>314</v>
      </c>
      <c r="E37" s="277" t="s">
        <v>6</v>
      </c>
      <c r="F37" s="277">
        <v>75</v>
      </c>
      <c r="G37" s="277">
        <v>5</v>
      </c>
      <c r="H37" s="278">
        <v>0.9</v>
      </c>
      <c r="I37" s="289">
        <v>680.54</v>
      </c>
      <c r="J37" s="290">
        <v>692.9</v>
      </c>
      <c r="K37" s="291">
        <v>32.527000000000001</v>
      </c>
      <c r="L37" s="292">
        <v>35.018999999999998</v>
      </c>
      <c r="M37" s="293">
        <v>2840.16</v>
      </c>
      <c r="N37" s="294">
        <v>2953.9830000000002</v>
      </c>
      <c r="O37" s="289">
        <v>67.701999999999998</v>
      </c>
      <c r="P37" s="295">
        <v>72.352999999999994</v>
      </c>
      <c r="Q37" s="201"/>
      <c r="R37" s="313" t="s">
        <v>139</v>
      </c>
      <c r="S37" s="313"/>
      <c r="T37" s="313">
        <v>37</v>
      </c>
    </row>
    <row r="38" spans="1:20" ht="13.5" thickBot="1" x14ac:dyDescent="0.3">
      <c r="A38" s="21"/>
      <c r="B38" s="280" t="s">
        <v>197</v>
      </c>
      <c r="C38" s="280"/>
      <c r="D38" s="280"/>
      <c r="E38" s="280"/>
      <c r="F38" s="280"/>
      <c r="G38" s="280"/>
      <c r="H38" s="281"/>
      <c r="I38" s="75"/>
      <c r="J38" s="79"/>
      <c r="K38" s="52"/>
      <c r="L38" s="53"/>
      <c r="M38" s="77"/>
      <c r="N38" s="78"/>
      <c r="O38" s="75"/>
      <c r="P38" s="76"/>
      <c r="Q38" s="201"/>
      <c r="R38" s="313" t="s">
        <v>140</v>
      </c>
      <c r="S38" s="313"/>
      <c r="T38" s="313">
        <v>38</v>
      </c>
    </row>
    <row r="39" spans="1:20" x14ac:dyDescent="0.25">
      <c r="B39" s="277" t="str">
        <f t="shared" si="0"/>
        <v>GE2.1 - 275 - T3 - 74m²</v>
      </c>
      <c r="C39" s="277" t="s">
        <v>3</v>
      </c>
      <c r="D39" s="277">
        <v>275</v>
      </c>
      <c r="E39" s="277" t="s">
        <v>5</v>
      </c>
      <c r="F39" s="277">
        <v>74</v>
      </c>
      <c r="G39" s="277">
        <v>2</v>
      </c>
      <c r="H39" s="278">
        <v>0.9</v>
      </c>
      <c r="I39" s="296">
        <v>76.55</v>
      </c>
      <c r="J39" s="297">
        <v>80.349999999999994</v>
      </c>
      <c r="K39" s="298">
        <v>14.762</v>
      </c>
      <c r="L39" s="299">
        <v>15.656000000000001</v>
      </c>
      <c r="M39" s="300">
        <v>1382.309</v>
      </c>
      <c r="N39" s="301">
        <v>1434.8009999999999</v>
      </c>
      <c r="O39" s="296">
        <v>28.007999999999999</v>
      </c>
      <c r="P39" s="302">
        <v>29.686</v>
      </c>
      <c r="Q39" s="201"/>
      <c r="R39" s="313" t="s">
        <v>141</v>
      </c>
      <c r="S39" s="313"/>
      <c r="T39" s="313">
        <v>39</v>
      </c>
    </row>
    <row r="40" spans="1:20" x14ac:dyDescent="0.25">
      <c r="B40" s="277" t="str">
        <f t="shared" si="0"/>
        <v>GE2.1 - 278 - T2 - 57m²</v>
      </c>
      <c r="C40" s="277" t="s">
        <v>3</v>
      </c>
      <c r="D40" s="277">
        <v>278</v>
      </c>
      <c r="E40" s="277" t="s">
        <v>168</v>
      </c>
      <c r="F40" s="277">
        <v>57</v>
      </c>
      <c r="G40" s="277">
        <v>1</v>
      </c>
      <c r="H40" s="278">
        <v>0.9</v>
      </c>
      <c r="I40" s="289">
        <v>446.77</v>
      </c>
      <c r="J40" s="290">
        <v>448.81</v>
      </c>
      <c r="K40" s="291">
        <v>2.286</v>
      </c>
      <c r="L40" s="292">
        <v>2.355</v>
      </c>
      <c r="M40" s="293">
        <v>314.53500000000003</v>
      </c>
      <c r="N40" s="294">
        <v>318.47300000000001</v>
      </c>
      <c r="O40" s="289">
        <v>8.4160000000000004</v>
      </c>
      <c r="P40" s="295">
        <v>8.7070000000000007</v>
      </c>
      <c r="Q40" s="201"/>
      <c r="R40" s="313" t="s">
        <v>142</v>
      </c>
      <c r="S40" s="313"/>
      <c r="T40" s="313">
        <v>40</v>
      </c>
    </row>
    <row r="41" spans="1:20" x14ac:dyDescent="0.25">
      <c r="B41" s="277" t="str">
        <f t="shared" si="0"/>
        <v>GE2.1 - 280 - T3 - 66m²</v>
      </c>
      <c r="C41" s="277" t="s">
        <v>3</v>
      </c>
      <c r="D41" s="277">
        <v>280</v>
      </c>
      <c r="E41" s="277" t="s">
        <v>5</v>
      </c>
      <c r="F41" s="277">
        <v>66</v>
      </c>
      <c r="G41" s="277">
        <v>3</v>
      </c>
      <c r="H41" s="278">
        <v>0.9</v>
      </c>
      <c r="I41" s="289">
        <v>0.24</v>
      </c>
      <c r="J41" s="290">
        <v>0.24</v>
      </c>
      <c r="K41" s="291">
        <v>0.26100000000000001</v>
      </c>
      <c r="L41" s="292">
        <v>0.26100000000000001</v>
      </c>
      <c r="M41" s="293">
        <v>2.2959999999999998</v>
      </c>
      <c r="N41" s="294">
        <v>2.3180000000000001</v>
      </c>
      <c r="O41" s="289">
        <v>1.214</v>
      </c>
      <c r="P41" s="295">
        <v>1.214</v>
      </c>
      <c r="Q41" s="201"/>
      <c r="R41" s="313" t="s">
        <v>143</v>
      </c>
      <c r="S41" s="313"/>
      <c r="T41" s="313">
        <v>41</v>
      </c>
    </row>
    <row r="42" spans="1:20" x14ac:dyDescent="0.25">
      <c r="B42" s="277" t="str">
        <f t="shared" si="0"/>
        <v>GE2.1 - 282 - T4 - 78m²</v>
      </c>
      <c r="C42" s="277" t="s">
        <v>3</v>
      </c>
      <c r="D42" s="277">
        <v>282</v>
      </c>
      <c r="E42" s="277" t="s">
        <v>6</v>
      </c>
      <c r="F42" s="277">
        <v>78</v>
      </c>
      <c r="G42" s="277">
        <v>3</v>
      </c>
      <c r="H42" s="278">
        <v>0.9</v>
      </c>
      <c r="I42" s="289">
        <v>169.31</v>
      </c>
      <c r="J42" s="290">
        <v>172.27</v>
      </c>
      <c r="K42" s="291">
        <v>5.5609999999999999</v>
      </c>
      <c r="L42" s="292">
        <v>5.8280000000000003</v>
      </c>
      <c r="M42" s="293">
        <v>642.15599999999995</v>
      </c>
      <c r="N42" s="294">
        <v>668.18100000000004</v>
      </c>
      <c r="O42" s="289">
        <v>12.363</v>
      </c>
      <c r="P42" s="295">
        <v>13.055</v>
      </c>
      <c r="Q42" s="201"/>
      <c r="R42" s="313" t="s">
        <v>144</v>
      </c>
      <c r="S42" s="313"/>
      <c r="T42" s="313">
        <v>42</v>
      </c>
    </row>
    <row r="43" spans="1:20" x14ac:dyDescent="0.25">
      <c r="B43" s="277" t="str">
        <f t="shared" si="0"/>
        <v>GE2.1 - 292 - T3 - 63m²</v>
      </c>
      <c r="C43" s="277" t="s">
        <v>3</v>
      </c>
      <c r="D43" s="277">
        <v>292</v>
      </c>
      <c r="E43" s="277" t="s">
        <v>5</v>
      </c>
      <c r="F43" s="277">
        <v>63</v>
      </c>
      <c r="G43" s="277">
        <v>1</v>
      </c>
      <c r="H43" s="278">
        <v>0.9</v>
      </c>
      <c r="I43" s="289">
        <v>374.6</v>
      </c>
      <c r="J43" s="290">
        <v>380.13</v>
      </c>
      <c r="K43" s="291">
        <v>7.8680000000000003</v>
      </c>
      <c r="L43" s="292">
        <v>8.2870000000000008</v>
      </c>
      <c r="M43" s="293">
        <v>745.93799999999999</v>
      </c>
      <c r="N43" s="294">
        <v>778.31399999999996</v>
      </c>
      <c r="O43" s="289">
        <v>15.872</v>
      </c>
      <c r="P43" s="295">
        <v>16.739999999999998</v>
      </c>
      <c r="Q43" s="201"/>
      <c r="R43" s="313" t="s">
        <v>145</v>
      </c>
      <c r="S43" s="313"/>
      <c r="T43" s="313">
        <v>43</v>
      </c>
    </row>
    <row r="44" spans="1:20" x14ac:dyDescent="0.25">
      <c r="B44" s="277" t="str">
        <f t="shared" si="0"/>
        <v>GE2.1 - 293 - T3 - 63m²</v>
      </c>
      <c r="C44" s="277" t="s">
        <v>3</v>
      </c>
      <c r="D44" s="277">
        <v>293</v>
      </c>
      <c r="E44" s="277" t="s">
        <v>5</v>
      </c>
      <c r="F44" s="277">
        <v>63</v>
      </c>
      <c r="G44" s="277">
        <v>2</v>
      </c>
      <c r="H44" s="278">
        <v>0.9</v>
      </c>
      <c r="I44" s="289">
        <v>125.46</v>
      </c>
      <c r="J44" s="290">
        <v>131.26</v>
      </c>
      <c r="K44" s="291">
        <v>14.159000000000001</v>
      </c>
      <c r="L44" s="292">
        <v>15.329000000000001</v>
      </c>
      <c r="M44" s="293">
        <v>390.31400000000002</v>
      </c>
      <c r="N44" s="294">
        <v>414.928</v>
      </c>
      <c r="O44" s="289">
        <v>30.268000000000001</v>
      </c>
      <c r="P44" s="295">
        <v>33.673999999999999</v>
      </c>
      <c r="Q44" s="201"/>
      <c r="R44" s="313" t="s">
        <v>146</v>
      </c>
      <c r="S44" s="313"/>
      <c r="T44" s="313">
        <v>44</v>
      </c>
    </row>
    <row r="45" spans="1:20" x14ac:dyDescent="0.25">
      <c r="B45" s="277" t="str">
        <f t="shared" si="0"/>
        <v>GE2.1 - 295 - T3 - 63m²</v>
      </c>
      <c r="C45" s="277" t="s">
        <v>3</v>
      </c>
      <c r="D45" s="277">
        <v>295</v>
      </c>
      <c r="E45" s="277" t="s">
        <v>5</v>
      </c>
      <c r="F45" s="277">
        <v>63</v>
      </c>
      <c r="G45" s="277">
        <v>2</v>
      </c>
      <c r="H45" s="278">
        <v>0.9</v>
      </c>
      <c r="I45" s="289">
        <v>647.21</v>
      </c>
      <c r="J45" s="290">
        <v>657.86</v>
      </c>
      <c r="K45" s="291">
        <v>33.098999999999997</v>
      </c>
      <c r="L45" s="292">
        <v>34.759</v>
      </c>
      <c r="M45" s="293">
        <v>959.62099999999998</v>
      </c>
      <c r="N45" s="294">
        <v>997.44500000000005</v>
      </c>
      <c r="O45" s="289">
        <v>67.155000000000001</v>
      </c>
      <c r="P45" s="295">
        <v>70.638000000000005</v>
      </c>
      <c r="Q45" s="201"/>
      <c r="R45" s="313" t="s">
        <v>147</v>
      </c>
      <c r="S45" s="313"/>
      <c r="T45" s="313">
        <v>45</v>
      </c>
    </row>
    <row r="46" spans="1:20" x14ac:dyDescent="0.25">
      <c r="B46" s="277" t="str">
        <f t="shared" si="0"/>
        <v>GE2.1 - 296 - T4 - 78m²</v>
      </c>
      <c r="C46" s="277" t="s">
        <v>3</v>
      </c>
      <c r="D46" s="277">
        <v>296</v>
      </c>
      <c r="E46" s="277" t="s">
        <v>6</v>
      </c>
      <c r="F46" s="277">
        <v>78</v>
      </c>
      <c r="G46" s="277">
        <v>4</v>
      </c>
      <c r="H46" s="278">
        <v>0.9</v>
      </c>
      <c r="I46" s="289">
        <v>331.03</v>
      </c>
      <c r="J46" s="290">
        <v>333.54</v>
      </c>
      <c r="K46" s="291">
        <v>9.0549999999999997</v>
      </c>
      <c r="L46" s="292">
        <v>9.5719999999999992</v>
      </c>
      <c r="M46" s="293">
        <v>602.80600000000004</v>
      </c>
      <c r="N46" s="294">
        <v>623.947</v>
      </c>
      <c r="O46" s="289">
        <v>30.811</v>
      </c>
      <c r="P46" s="295">
        <v>33.020000000000003</v>
      </c>
      <c r="Q46" s="201"/>
      <c r="R46" s="313" t="s">
        <v>148</v>
      </c>
      <c r="S46" s="313"/>
      <c r="T46" s="313">
        <v>46</v>
      </c>
    </row>
    <row r="47" spans="1:20" x14ac:dyDescent="0.25">
      <c r="B47" s="277" t="str">
        <f t="shared" si="0"/>
        <v>GE2.1 - 297 - T4 - 79m²</v>
      </c>
      <c r="C47" s="277" t="s">
        <v>3</v>
      </c>
      <c r="D47" s="277">
        <v>297</v>
      </c>
      <c r="E47" s="277" t="s">
        <v>6</v>
      </c>
      <c r="F47" s="277">
        <v>79</v>
      </c>
      <c r="G47" s="279">
        <v>1</v>
      </c>
      <c r="H47" s="278">
        <v>0.9</v>
      </c>
      <c r="I47" s="289">
        <v>1004.29</v>
      </c>
      <c r="J47" s="290">
        <v>1039.24</v>
      </c>
      <c r="K47" s="291">
        <v>46.472000000000001</v>
      </c>
      <c r="L47" s="292">
        <v>48.579000000000001</v>
      </c>
      <c r="M47" s="293">
        <v>1520.8689999999999</v>
      </c>
      <c r="N47" s="294">
        <v>1583.0419999999999</v>
      </c>
      <c r="O47" s="289">
        <v>95.078999999999994</v>
      </c>
      <c r="P47" s="295">
        <v>99.861000000000004</v>
      </c>
      <c r="Q47" s="201"/>
      <c r="R47" s="313" t="s">
        <v>149</v>
      </c>
      <c r="S47" s="313"/>
      <c r="T47" s="313">
        <v>47</v>
      </c>
    </row>
    <row r="48" spans="1:20" x14ac:dyDescent="0.25">
      <c r="B48" s="277" t="str">
        <f t="shared" si="0"/>
        <v>GE2.1 - 299 - T4 - 79m²</v>
      </c>
      <c r="C48" s="277" t="s">
        <v>3</v>
      </c>
      <c r="D48" s="277">
        <v>299</v>
      </c>
      <c r="E48" s="277" t="s">
        <v>6</v>
      </c>
      <c r="F48" s="277">
        <v>79</v>
      </c>
      <c r="G48" s="277">
        <v>3</v>
      </c>
      <c r="H48" s="278">
        <v>0.9</v>
      </c>
      <c r="I48" s="289">
        <v>104.83</v>
      </c>
      <c r="J48" s="290">
        <v>108.47</v>
      </c>
      <c r="K48" s="291">
        <v>13.24</v>
      </c>
      <c r="L48" s="292">
        <v>13.816000000000001</v>
      </c>
      <c r="M48" s="293">
        <v>780.35699999999997</v>
      </c>
      <c r="N48" s="294">
        <v>809.05799999999999</v>
      </c>
      <c r="O48" s="289">
        <v>26.41</v>
      </c>
      <c r="P48" s="295">
        <v>27.762</v>
      </c>
      <c r="Q48" s="201"/>
      <c r="R48" s="313" t="s">
        <v>150</v>
      </c>
      <c r="S48" s="313"/>
      <c r="T48" s="313">
        <v>48</v>
      </c>
    </row>
    <row r="49" spans="1:20" s="21" customFormat="1" x14ac:dyDescent="0.25">
      <c r="A49" s="18"/>
      <c r="B49" s="277" t="str">
        <f t="shared" si="0"/>
        <v>GE2.1 - 300 - T5 - 93m²</v>
      </c>
      <c r="C49" s="277" t="s">
        <v>3</v>
      </c>
      <c r="D49" s="277">
        <v>300</v>
      </c>
      <c r="E49" s="277" t="s">
        <v>7</v>
      </c>
      <c r="F49" s="277">
        <v>93</v>
      </c>
      <c r="G49" s="277">
        <v>4</v>
      </c>
      <c r="H49" s="278">
        <v>0.9</v>
      </c>
      <c r="I49" s="289">
        <v>338.65</v>
      </c>
      <c r="J49" s="290">
        <v>344.11</v>
      </c>
      <c r="K49" s="291">
        <v>22.67</v>
      </c>
      <c r="L49" s="292">
        <v>23.843</v>
      </c>
      <c r="M49" s="293">
        <v>1345.7850000000001</v>
      </c>
      <c r="N49" s="294">
        <v>1412.771</v>
      </c>
      <c r="O49" s="289">
        <v>45.872999999999998</v>
      </c>
      <c r="P49" s="295">
        <v>48.393999999999998</v>
      </c>
      <c r="Q49" s="202"/>
      <c r="R49" s="313" t="s">
        <v>151</v>
      </c>
      <c r="S49" s="313"/>
      <c r="T49" s="313">
        <v>49</v>
      </c>
    </row>
    <row r="50" spans="1:20" x14ac:dyDescent="0.25">
      <c r="B50" s="277" t="str">
        <f t="shared" si="0"/>
        <v>GE2.1 - 302 - T5 - 93m²</v>
      </c>
      <c r="C50" s="277" t="s">
        <v>3</v>
      </c>
      <c r="D50" s="277">
        <v>302</v>
      </c>
      <c r="E50" s="277" t="s">
        <v>7</v>
      </c>
      <c r="F50" s="277">
        <v>93</v>
      </c>
      <c r="G50" s="277">
        <v>3</v>
      </c>
      <c r="H50" s="278">
        <v>0.9</v>
      </c>
      <c r="I50" s="289">
        <v>777.06</v>
      </c>
      <c r="J50" s="290">
        <v>781.6</v>
      </c>
      <c r="K50" s="291">
        <v>14.68</v>
      </c>
      <c r="L50" s="292">
        <v>15.412000000000001</v>
      </c>
      <c r="M50" s="293">
        <v>1180.5830000000001</v>
      </c>
      <c r="N50" s="294">
        <v>1224.261</v>
      </c>
      <c r="O50" s="289">
        <v>36.351999999999997</v>
      </c>
      <c r="P50" s="295">
        <v>38.280999999999999</v>
      </c>
      <c r="Q50" s="201"/>
      <c r="R50" s="313" t="s">
        <v>152</v>
      </c>
      <c r="S50" s="313"/>
      <c r="T50" s="313">
        <v>50</v>
      </c>
    </row>
    <row r="51" spans="1:20" x14ac:dyDescent="0.25">
      <c r="B51" s="277" t="str">
        <f t="shared" si="0"/>
        <v>GE2.1 - 312 - T4 - 75m²</v>
      </c>
      <c r="C51" s="277" t="s">
        <v>3</v>
      </c>
      <c r="D51" s="277">
        <v>312</v>
      </c>
      <c r="E51" s="277" t="s">
        <v>6</v>
      </c>
      <c r="F51" s="277">
        <v>75</v>
      </c>
      <c r="G51" s="277">
        <v>2</v>
      </c>
      <c r="H51" s="278">
        <v>0.9</v>
      </c>
      <c r="I51" s="289">
        <v>119.64</v>
      </c>
      <c r="J51" s="290">
        <v>124.46</v>
      </c>
      <c r="K51" s="291">
        <v>22.975999999999999</v>
      </c>
      <c r="L51" s="292">
        <v>24.128</v>
      </c>
      <c r="M51" s="293">
        <v>30505.868999999999</v>
      </c>
      <c r="N51" s="294">
        <v>30547.510999999999</v>
      </c>
      <c r="O51" s="289">
        <v>42.597999999999999</v>
      </c>
      <c r="P51" s="295">
        <v>44.756999999999998</v>
      </c>
      <c r="Q51" s="201"/>
      <c r="R51" s="313" t="s">
        <v>153</v>
      </c>
      <c r="S51" s="313"/>
      <c r="T51" s="313">
        <v>51</v>
      </c>
    </row>
    <row r="52" spans="1:20" ht="13.5" thickBot="1" x14ac:dyDescent="0.3">
      <c r="A52" s="21"/>
      <c r="B52" s="280" t="s">
        <v>198</v>
      </c>
      <c r="C52" s="280"/>
      <c r="D52" s="280"/>
      <c r="E52" s="280"/>
      <c r="F52" s="280"/>
      <c r="G52" s="280"/>
      <c r="H52" s="281"/>
      <c r="I52" s="75"/>
      <c r="J52" s="79"/>
      <c r="K52" s="52"/>
      <c r="L52" s="53"/>
      <c r="M52" s="77"/>
      <c r="N52" s="78"/>
      <c r="O52" s="75"/>
      <c r="P52" s="76"/>
      <c r="Q52" s="201"/>
      <c r="R52" s="313" t="s">
        <v>154</v>
      </c>
      <c r="S52" s="313"/>
      <c r="T52" s="313">
        <v>52</v>
      </c>
    </row>
    <row r="53" spans="1:20" x14ac:dyDescent="0.25">
      <c r="B53" s="277" t="str">
        <f t="shared" si="0"/>
        <v>GE2.2 - 271 - T3 - 74m²</v>
      </c>
      <c r="C53" s="277" t="s">
        <v>1</v>
      </c>
      <c r="D53" s="277">
        <v>271</v>
      </c>
      <c r="E53" s="277" t="s">
        <v>5</v>
      </c>
      <c r="F53" s="277">
        <v>74</v>
      </c>
      <c r="G53" s="277">
        <v>2</v>
      </c>
      <c r="H53" s="278">
        <v>0.9</v>
      </c>
      <c r="I53" s="296">
        <v>264.77999999999997</v>
      </c>
      <c r="J53" s="297">
        <v>270.13</v>
      </c>
      <c r="K53" s="303">
        <v>23.119</v>
      </c>
      <c r="L53" s="304">
        <v>24.306000000000001</v>
      </c>
      <c r="M53" s="296">
        <v>658.45100000000002</v>
      </c>
      <c r="N53" s="302">
        <v>685.12699999999995</v>
      </c>
      <c r="O53" s="305">
        <v>33.182000000000002</v>
      </c>
      <c r="P53" s="304">
        <v>35.027999999999999</v>
      </c>
      <c r="Q53" s="201"/>
      <c r="R53" s="313" t="s">
        <v>155</v>
      </c>
      <c r="S53" s="313"/>
      <c r="T53" s="313">
        <v>53</v>
      </c>
    </row>
    <row r="54" spans="1:20" x14ac:dyDescent="0.25">
      <c r="B54" s="277" t="str">
        <f t="shared" si="0"/>
        <v>GE2.2 - 272 - T3 - 74m²</v>
      </c>
      <c r="C54" s="277" t="s">
        <v>1</v>
      </c>
      <c r="D54" s="277">
        <v>272</v>
      </c>
      <c r="E54" s="277" t="s">
        <v>5</v>
      </c>
      <c r="F54" s="277">
        <v>74</v>
      </c>
      <c r="G54" s="277">
        <v>1</v>
      </c>
      <c r="H54" s="278">
        <v>0.9</v>
      </c>
      <c r="I54" s="289">
        <v>302.32</v>
      </c>
      <c r="J54" s="290">
        <v>303.05</v>
      </c>
      <c r="K54" s="306">
        <v>3.4510000000000001</v>
      </c>
      <c r="L54" s="307">
        <v>3.593</v>
      </c>
      <c r="M54" s="289">
        <v>2606.0630000000001</v>
      </c>
      <c r="N54" s="295">
        <v>2713.3330000000001</v>
      </c>
      <c r="O54" s="308">
        <v>36.183999999999997</v>
      </c>
      <c r="P54" s="307">
        <v>38.21</v>
      </c>
      <c r="Q54" s="201"/>
      <c r="R54" s="313" t="s">
        <v>156</v>
      </c>
      <c r="S54" s="313"/>
      <c r="T54" s="313">
        <v>54</v>
      </c>
    </row>
    <row r="55" spans="1:20" x14ac:dyDescent="0.25">
      <c r="B55" s="277" t="str">
        <f t="shared" si="0"/>
        <v>GE2.2 - 273 - T3 - 74m²</v>
      </c>
      <c r="C55" s="277" t="s">
        <v>1</v>
      </c>
      <c r="D55" s="277">
        <v>273</v>
      </c>
      <c r="E55" s="277" t="s">
        <v>5</v>
      </c>
      <c r="F55" s="277">
        <v>74</v>
      </c>
      <c r="G55" s="277">
        <v>2</v>
      </c>
      <c r="H55" s="278">
        <v>0.9</v>
      </c>
      <c r="I55" s="289">
        <v>679.33</v>
      </c>
      <c r="J55" s="290">
        <v>684.13</v>
      </c>
      <c r="K55" s="306">
        <v>15.936</v>
      </c>
      <c r="L55" s="307">
        <v>16.866</v>
      </c>
      <c r="M55" s="289">
        <v>1301.403</v>
      </c>
      <c r="N55" s="295">
        <v>1360.4079999999999</v>
      </c>
      <c r="O55" s="308">
        <v>31.414999999999999</v>
      </c>
      <c r="P55" s="307">
        <v>33.533999999999999</v>
      </c>
      <c r="Q55" s="201"/>
    </row>
    <row r="56" spans="1:20" x14ac:dyDescent="0.25">
      <c r="B56" s="277" t="str">
        <f t="shared" si="0"/>
        <v>GE2.2 - 276 - T4 - 83m²</v>
      </c>
      <c r="C56" s="277" t="s">
        <v>1</v>
      </c>
      <c r="D56" s="277">
        <v>276</v>
      </c>
      <c r="E56" s="277" t="s">
        <v>6</v>
      </c>
      <c r="F56" s="277">
        <v>83</v>
      </c>
      <c r="G56" s="277">
        <v>2</v>
      </c>
      <c r="H56" s="278">
        <v>0.9</v>
      </c>
      <c r="I56" s="289">
        <v>267.72000000000003</v>
      </c>
      <c r="J56" s="290">
        <v>271.49</v>
      </c>
      <c r="K56" s="291">
        <v>16.216999999999999</v>
      </c>
      <c r="L56" s="292">
        <v>17.027999999999999</v>
      </c>
      <c r="M56" s="293">
        <v>1806.1479999999999</v>
      </c>
      <c r="N56" s="294">
        <v>1886.6479999999999</v>
      </c>
      <c r="O56" s="289">
        <v>35.451999999999998</v>
      </c>
      <c r="P56" s="295">
        <v>37.383000000000003</v>
      </c>
      <c r="Q56" s="201"/>
    </row>
    <row r="57" spans="1:20" x14ac:dyDescent="0.25">
      <c r="B57" s="277" t="str">
        <f t="shared" si="0"/>
        <v>GE2.2 - 279 - T3 - 70m²</v>
      </c>
      <c r="C57" s="277" t="s">
        <v>1</v>
      </c>
      <c r="D57" s="277">
        <v>279</v>
      </c>
      <c r="E57" s="277" t="s">
        <v>5</v>
      </c>
      <c r="F57" s="277">
        <v>70</v>
      </c>
      <c r="G57" s="277">
        <v>2</v>
      </c>
      <c r="H57" s="278">
        <v>0.9</v>
      </c>
      <c r="I57" s="289">
        <v>447.88</v>
      </c>
      <c r="J57" s="290">
        <v>466.07</v>
      </c>
      <c r="K57" s="291">
        <v>12.909000000000001</v>
      </c>
      <c r="L57" s="292">
        <v>13.56</v>
      </c>
      <c r="M57" s="293">
        <v>946.49400000000003</v>
      </c>
      <c r="N57" s="294">
        <v>994.78399999999999</v>
      </c>
      <c r="O57" s="289">
        <v>23.134</v>
      </c>
      <c r="P57" s="295">
        <v>24.526</v>
      </c>
      <c r="Q57" s="201"/>
    </row>
    <row r="58" spans="1:20" x14ac:dyDescent="0.25">
      <c r="B58" s="277" t="str">
        <f t="shared" si="0"/>
        <v>GE2.2 - 288 - T3 - 68m²</v>
      </c>
      <c r="C58" s="277" t="s">
        <v>1</v>
      </c>
      <c r="D58" s="277">
        <v>288</v>
      </c>
      <c r="E58" s="277" t="s">
        <v>5</v>
      </c>
      <c r="F58" s="277">
        <v>68</v>
      </c>
      <c r="G58" s="277">
        <v>4</v>
      </c>
      <c r="H58" s="278">
        <v>0.9</v>
      </c>
      <c r="I58" s="289">
        <v>70.14</v>
      </c>
      <c r="J58" s="290">
        <v>72.77</v>
      </c>
      <c r="K58" s="291">
        <v>3.2930000000000001</v>
      </c>
      <c r="L58" s="292">
        <v>3.407</v>
      </c>
      <c r="M58" s="293">
        <v>632.327</v>
      </c>
      <c r="N58" s="294">
        <v>666.31700000000001</v>
      </c>
      <c r="O58" s="289">
        <v>15.882999999999999</v>
      </c>
      <c r="P58" s="295">
        <v>16.751999999999999</v>
      </c>
      <c r="Q58" s="201"/>
    </row>
    <row r="59" spans="1:20" x14ac:dyDescent="0.25">
      <c r="B59" s="277" t="str">
        <f t="shared" si="0"/>
        <v>GE2.2 - 291 - T3 - 62m²</v>
      </c>
      <c r="C59" s="277" t="s">
        <v>1</v>
      </c>
      <c r="D59" s="277">
        <v>291</v>
      </c>
      <c r="E59" s="277" t="s">
        <v>5</v>
      </c>
      <c r="F59" s="277">
        <v>62</v>
      </c>
      <c r="G59" s="277">
        <v>2</v>
      </c>
      <c r="H59" s="278">
        <v>0.9</v>
      </c>
      <c r="I59" s="289">
        <v>303.52</v>
      </c>
      <c r="J59" s="290">
        <v>303.52</v>
      </c>
      <c r="K59" s="291">
        <v>0</v>
      </c>
      <c r="L59" s="292">
        <v>0</v>
      </c>
      <c r="M59" s="293">
        <v>1219.8530000000001</v>
      </c>
      <c r="N59" s="294">
        <v>1232.614</v>
      </c>
      <c r="O59" s="289">
        <v>30.398</v>
      </c>
      <c r="P59" s="295">
        <v>30.516999999999999</v>
      </c>
      <c r="Q59" s="201"/>
    </row>
    <row r="60" spans="1:20" x14ac:dyDescent="0.25">
      <c r="B60" s="277" t="str">
        <f t="shared" si="0"/>
        <v>GE2.2 - 294 - T3 - 63m²</v>
      </c>
      <c r="C60" s="277" t="s">
        <v>1</v>
      </c>
      <c r="D60" s="277">
        <v>294</v>
      </c>
      <c r="E60" s="277" t="s">
        <v>5</v>
      </c>
      <c r="F60" s="277">
        <v>63</v>
      </c>
      <c r="G60" s="277">
        <v>1</v>
      </c>
      <c r="H60" s="278">
        <v>0.9</v>
      </c>
      <c r="I60" s="289">
        <v>699.64</v>
      </c>
      <c r="J60" s="290">
        <v>699.64</v>
      </c>
      <c r="K60" s="291">
        <v>7.88</v>
      </c>
      <c r="L60" s="292">
        <v>7.9169999999999998</v>
      </c>
      <c r="M60" s="293">
        <v>2942.777</v>
      </c>
      <c r="N60" s="294">
        <v>2989.7179999999998</v>
      </c>
      <c r="O60" s="289">
        <v>28.542000000000002</v>
      </c>
      <c r="P60" s="295">
        <v>29.247</v>
      </c>
      <c r="Q60" s="201"/>
    </row>
    <row r="61" spans="1:20" x14ac:dyDescent="0.25">
      <c r="B61" s="277" t="str">
        <f t="shared" si="0"/>
        <v>GE2.2 - 298 - T5 - 93m²</v>
      </c>
      <c r="C61" s="277" t="s">
        <v>1</v>
      </c>
      <c r="D61" s="277">
        <v>298</v>
      </c>
      <c r="E61" s="277" t="s">
        <v>7</v>
      </c>
      <c r="F61" s="277">
        <v>93</v>
      </c>
      <c r="G61" s="279">
        <v>1</v>
      </c>
      <c r="H61" s="278">
        <v>0.9</v>
      </c>
      <c r="I61" s="289">
        <v>540.95000000000005</v>
      </c>
      <c r="J61" s="290">
        <v>557.13</v>
      </c>
      <c r="K61" s="291">
        <v>32.628</v>
      </c>
      <c r="L61" s="292">
        <v>34.406999999999996</v>
      </c>
      <c r="M61" s="293">
        <v>1665.51</v>
      </c>
      <c r="N61" s="294">
        <v>1736.7059999999999</v>
      </c>
      <c r="O61" s="289">
        <v>72.774000000000001</v>
      </c>
      <c r="P61" s="295">
        <v>77.691999999999993</v>
      </c>
      <c r="Q61" s="201"/>
    </row>
    <row r="62" spans="1:20" x14ac:dyDescent="0.25">
      <c r="B62" s="277" t="str">
        <f t="shared" si="0"/>
        <v>GE2.2 - 301 - T4 - 79m²</v>
      </c>
      <c r="C62" s="277" t="s">
        <v>1</v>
      </c>
      <c r="D62" s="277">
        <v>301</v>
      </c>
      <c r="E62" s="277" t="s">
        <v>6</v>
      </c>
      <c r="F62" s="277">
        <v>79</v>
      </c>
      <c r="G62" s="277">
        <v>3</v>
      </c>
      <c r="H62" s="278">
        <v>0.9</v>
      </c>
      <c r="I62" s="289">
        <v>596.53</v>
      </c>
      <c r="J62" s="290">
        <v>598.96</v>
      </c>
      <c r="K62" s="291">
        <v>14.103</v>
      </c>
      <c r="L62" s="292">
        <v>14.744</v>
      </c>
      <c r="M62" s="293">
        <v>1680.4680000000001</v>
      </c>
      <c r="N62" s="294">
        <v>1751.4549999999999</v>
      </c>
      <c r="O62" s="289">
        <v>36.417000000000002</v>
      </c>
      <c r="P62" s="295">
        <v>38.567</v>
      </c>
      <c r="Q62" s="201"/>
    </row>
    <row r="63" spans="1:20" s="21" customFormat="1" x14ac:dyDescent="0.25">
      <c r="A63" s="18"/>
      <c r="B63" s="277" t="str">
        <f t="shared" si="0"/>
        <v>GE2.2 - 311 - T4 - 74m²</v>
      </c>
      <c r="C63" s="277" t="s">
        <v>1</v>
      </c>
      <c r="D63" s="277">
        <v>311</v>
      </c>
      <c r="E63" s="277" t="s">
        <v>6</v>
      </c>
      <c r="F63" s="277">
        <v>74</v>
      </c>
      <c r="G63" s="277">
        <v>2</v>
      </c>
      <c r="H63" s="278">
        <v>0.9</v>
      </c>
      <c r="I63" s="289">
        <v>383.11</v>
      </c>
      <c r="J63" s="290">
        <v>390.74</v>
      </c>
      <c r="K63" s="291">
        <v>17.95</v>
      </c>
      <c r="L63" s="292">
        <v>18.882000000000001</v>
      </c>
      <c r="M63" s="293">
        <v>846.30799999999999</v>
      </c>
      <c r="N63" s="294">
        <v>881.33399999999995</v>
      </c>
      <c r="O63" s="289">
        <v>43.334000000000003</v>
      </c>
      <c r="P63" s="295">
        <v>45.432000000000002</v>
      </c>
      <c r="Q63" s="202"/>
    </row>
    <row r="64" spans="1:20" x14ac:dyDescent="0.25">
      <c r="B64" s="277" t="str">
        <f t="shared" si="0"/>
        <v>GE2.2 - 313 - T4 - 75m²</v>
      </c>
      <c r="C64" s="277" t="s">
        <v>1</v>
      </c>
      <c r="D64" s="277">
        <v>313</v>
      </c>
      <c r="E64" s="277" t="s">
        <v>6</v>
      </c>
      <c r="F64" s="277">
        <v>75</v>
      </c>
      <c r="G64" s="277">
        <v>2</v>
      </c>
      <c r="H64" s="278">
        <v>0.9</v>
      </c>
      <c r="I64" s="289">
        <v>288.39</v>
      </c>
      <c r="J64" s="290">
        <v>291.08999999999997</v>
      </c>
      <c r="K64" s="291">
        <v>8.5269999999999992</v>
      </c>
      <c r="L64" s="292">
        <v>9.16</v>
      </c>
      <c r="M64" s="293">
        <v>699.27499999999998</v>
      </c>
      <c r="N64" s="294">
        <v>726.92</v>
      </c>
      <c r="O64" s="289">
        <v>17.817</v>
      </c>
      <c r="P64" s="295">
        <v>19.047000000000001</v>
      </c>
      <c r="Q64" s="201"/>
    </row>
    <row r="65" spans="1:17" x14ac:dyDescent="0.25">
      <c r="B65" s="277" t="str">
        <f t="shared" si="0"/>
        <v>GE2.2 - 315 - T4 - 75m²</v>
      </c>
      <c r="C65" s="277" t="s">
        <v>1</v>
      </c>
      <c r="D65" s="277">
        <v>315</v>
      </c>
      <c r="E65" s="277" t="s">
        <v>6</v>
      </c>
      <c r="F65" s="277">
        <v>75</v>
      </c>
      <c r="G65" s="279">
        <v>1</v>
      </c>
      <c r="H65" s="278">
        <v>0.9</v>
      </c>
      <c r="I65" s="289">
        <v>443.84</v>
      </c>
      <c r="J65" s="290">
        <v>450.54</v>
      </c>
      <c r="K65" s="291">
        <v>18.253</v>
      </c>
      <c r="L65" s="292">
        <v>19.175000000000001</v>
      </c>
      <c r="M65" s="293">
        <v>1093.8579999999999</v>
      </c>
      <c r="N65" s="294">
        <v>1142.7460000000001</v>
      </c>
      <c r="O65" s="289">
        <v>39.707000000000001</v>
      </c>
      <c r="P65" s="295">
        <v>41.783000000000001</v>
      </c>
      <c r="Q65" s="201"/>
    </row>
    <row r="66" spans="1:17" ht="13.5" thickBot="1" x14ac:dyDescent="0.3">
      <c r="A66" s="21"/>
      <c r="B66" s="280" t="s">
        <v>199</v>
      </c>
      <c r="C66" s="280"/>
      <c r="D66" s="280"/>
      <c r="E66" s="280"/>
      <c r="F66" s="280"/>
      <c r="G66" s="280"/>
      <c r="H66" s="281"/>
      <c r="I66" s="75"/>
      <c r="J66" s="79"/>
      <c r="K66" s="52"/>
      <c r="L66" s="53"/>
      <c r="M66" s="77"/>
      <c r="N66" s="78"/>
      <c r="O66" s="75"/>
      <c r="P66" s="76"/>
      <c r="Q66" s="201"/>
    </row>
    <row r="67" spans="1:17" x14ac:dyDescent="0.25">
      <c r="B67" s="277" t="str">
        <f t="shared" si="0"/>
        <v>SO - 284 - T - 64m²</v>
      </c>
      <c r="C67" s="277" t="s">
        <v>44</v>
      </c>
      <c r="D67" s="277">
        <v>284</v>
      </c>
      <c r="E67" s="277" t="s">
        <v>72</v>
      </c>
      <c r="F67" s="277">
        <v>64</v>
      </c>
      <c r="G67" s="279">
        <v>1</v>
      </c>
      <c r="H67" s="278">
        <v>0.9</v>
      </c>
      <c r="I67" s="296">
        <v>24.61</v>
      </c>
      <c r="J67" s="297">
        <v>26.55</v>
      </c>
      <c r="K67" s="298">
        <v>1.032</v>
      </c>
      <c r="L67" s="299">
        <v>1.0449999999999999</v>
      </c>
      <c r="M67" s="300">
        <v>2051.136</v>
      </c>
      <c r="N67" s="301">
        <v>2115.8310000000001</v>
      </c>
      <c r="O67" s="296">
        <v>5.5090000000000003</v>
      </c>
      <c r="P67" s="302">
        <v>5.6859999999999999</v>
      </c>
      <c r="Q67" s="201"/>
    </row>
    <row r="68" spans="1:17" x14ac:dyDescent="0.25">
      <c r="B68" s="277" t="str">
        <f t="shared" si="0"/>
        <v>SO - 287 - T - 81m²</v>
      </c>
      <c r="C68" s="277" t="s">
        <v>44</v>
      </c>
      <c r="D68" s="277">
        <v>287</v>
      </c>
      <c r="E68" s="277" t="s">
        <v>72</v>
      </c>
      <c r="F68" s="277">
        <v>81</v>
      </c>
      <c r="G68" s="279">
        <v>1</v>
      </c>
      <c r="H68" s="278">
        <v>0.9</v>
      </c>
      <c r="I68" s="289">
        <v>395.88</v>
      </c>
      <c r="J68" s="290">
        <v>398.5</v>
      </c>
      <c r="K68" s="291">
        <v>12.298999999999999</v>
      </c>
      <c r="L68" s="292">
        <v>12.602</v>
      </c>
      <c r="M68" s="293">
        <v>973.36300000000006</v>
      </c>
      <c r="N68" s="294">
        <v>1007.85</v>
      </c>
      <c r="O68" s="289">
        <v>28.814</v>
      </c>
      <c r="P68" s="295">
        <v>29.78</v>
      </c>
      <c r="Q68" s="201"/>
    </row>
    <row r="69" spans="1:17" x14ac:dyDescent="0.25">
      <c r="B69" s="277" t="str">
        <f t="shared" si="0"/>
        <v>SO - 290 - T - 40m²</v>
      </c>
      <c r="C69" s="277" t="s">
        <v>44</v>
      </c>
      <c r="D69" s="277">
        <v>290</v>
      </c>
      <c r="E69" s="277" t="s">
        <v>72</v>
      </c>
      <c r="F69" s="277">
        <v>40</v>
      </c>
      <c r="G69" s="279">
        <v>1</v>
      </c>
      <c r="H69" s="278">
        <v>0.9</v>
      </c>
      <c r="I69" s="289">
        <v>70.7</v>
      </c>
      <c r="J69" s="290">
        <v>73.73</v>
      </c>
      <c r="K69" s="291">
        <v>0</v>
      </c>
      <c r="L69" s="292">
        <v>0</v>
      </c>
      <c r="M69" s="293">
        <v>458.08499999999998</v>
      </c>
      <c r="N69" s="294">
        <v>481.572</v>
      </c>
      <c r="O69" s="289">
        <v>16.216000000000001</v>
      </c>
      <c r="P69" s="295">
        <v>17.332000000000001</v>
      </c>
      <c r="Q69" s="201"/>
    </row>
    <row r="70" spans="1:17" s="21" customFormat="1" x14ac:dyDescent="0.25">
      <c r="A70" s="18"/>
      <c r="B70" s="277" t="str">
        <f t="shared" si="0"/>
        <v>SO - 305 - T - 66m²</v>
      </c>
      <c r="C70" s="277" t="s">
        <v>44</v>
      </c>
      <c r="D70" s="277">
        <v>305</v>
      </c>
      <c r="E70" s="277" t="s">
        <v>72</v>
      </c>
      <c r="F70" s="277">
        <v>66</v>
      </c>
      <c r="G70" s="277">
        <v>3</v>
      </c>
      <c r="H70" s="278">
        <v>0.9</v>
      </c>
      <c r="I70" s="289">
        <v>423.69</v>
      </c>
      <c r="J70" s="290">
        <v>427.07</v>
      </c>
      <c r="K70" s="291">
        <v>0</v>
      </c>
      <c r="L70" s="292">
        <v>0</v>
      </c>
      <c r="M70" s="293">
        <v>913.30100000000004</v>
      </c>
      <c r="N70" s="294">
        <v>950.87300000000005</v>
      </c>
      <c r="O70" s="289">
        <v>18.491</v>
      </c>
      <c r="P70" s="295">
        <v>19.59</v>
      </c>
      <c r="Q70" s="202"/>
    </row>
    <row r="71" spans="1:17" x14ac:dyDescent="0.25">
      <c r="B71" s="277" t="str">
        <f t="shared" si="0"/>
        <v>SO - 309 - T - 66m²</v>
      </c>
      <c r="C71" s="277" t="s">
        <v>44</v>
      </c>
      <c r="D71" s="277">
        <v>309</v>
      </c>
      <c r="E71" s="277" t="s">
        <v>72</v>
      </c>
      <c r="F71" s="277">
        <v>66</v>
      </c>
      <c r="G71" s="279">
        <v>1</v>
      </c>
      <c r="H71" s="278">
        <v>0.9</v>
      </c>
      <c r="I71" s="289">
        <v>788.6</v>
      </c>
      <c r="J71" s="290">
        <v>812.66</v>
      </c>
      <c r="K71" s="291">
        <v>11.161</v>
      </c>
      <c r="L71" s="292">
        <v>11.692</v>
      </c>
      <c r="M71" s="293">
        <v>541.23599999999999</v>
      </c>
      <c r="N71" s="294">
        <v>563.28200000000004</v>
      </c>
      <c r="O71" s="289">
        <v>20.353999999999999</v>
      </c>
      <c r="P71" s="295">
        <v>21.495000000000001</v>
      </c>
    </row>
    <row r="72" spans="1:17" x14ac:dyDescent="0.25">
      <c r="B72" s="277" t="str">
        <f t="shared" si="0"/>
        <v>SO - 310 - T - 54m²</v>
      </c>
      <c r="C72" s="277" t="s">
        <v>44</v>
      </c>
      <c r="D72" s="277">
        <v>310</v>
      </c>
      <c r="E72" s="277" t="s">
        <v>72</v>
      </c>
      <c r="F72" s="277">
        <v>54</v>
      </c>
      <c r="G72" s="279">
        <v>1</v>
      </c>
      <c r="H72" s="278">
        <v>0.9</v>
      </c>
      <c r="I72" s="289">
        <v>692.32</v>
      </c>
      <c r="J72" s="290">
        <v>694.68</v>
      </c>
      <c r="K72" s="291">
        <v>5.8620000000000001</v>
      </c>
      <c r="L72" s="292">
        <v>6.1159999999999997</v>
      </c>
      <c r="M72" s="293">
        <v>1309.354</v>
      </c>
      <c r="N72" s="294">
        <v>1368.2950000000001</v>
      </c>
      <c r="O72" s="289">
        <v>27.68</v>
      </c>
      <c r="P72" s="295">
        <v>29.434000000000001</v>
      </c>
    </row>
    <row r="73" spans="1:17" x14ac:dyDescent="0.25">
      <c r="A73" s="21"/>
      <c r="B73" s="280" t="s">
        <v>200</v>
      </c>
      <c r="C73" s="280"/>
      <c r="D73" s="280"/>
      <c r="E73" s="280"/>
      <c r="F73" s="280"/>
      <c r="G73" s="280"/>
      <c r="H73" s="281"/>
      <c r="I73" s="175"/>
      <c r="J73" s="176"/>
      <c r="K73" s="49"/>
      <c r="L73" s="50"/>
      <c r="M73" s="177"/>
      <c r="N73" s="178"/>
      <c r="O73" s="175"/>
      <c r="P73" s="179"/>
    </row>
    <row r="74" spans="1:17" x14ac:dyDescent="0.25">
      <c r="I74" s="269" t="s">
        <v>176</v>
      </c>
      <c r="J74" s="269" t="s">
        <v>176</v>
      </c>
      <c r="K74" s="269" t="s">
        <v>177</v>
      </c>
      <c r="L74" s="269" t="s">
        <v>177</v>
      </c>
      <c r="M74" s="316" t="s">
        <v>178</v>
      </c>
      <c r="N74" s="316" t="s">
        <v>178</v>
      </c>
      <c r="O74" s="317" t="s">
        <v>179</v>
      </c>
      <c r="P74" s="317" t="s">
        <v>179</v>
      </c>
    </row>
    <row r="75" spans="1:17" x14ac:dyDescent="0.25">
      <c r="B75" s="206"/>
    </row>
  </sheetData>
  <sortState ref="J3:L14">
    <sortCondition ref="J74"/>
  </sortState>
  <mergeCells count="4">
    <mergeCell ref="A1:D1"/>
    <mergeCell ref="D3:F3"/>
    <mergeCell ref="G3:H3"/>
    <mergeCell ref="R1:T1"/>
  </mergeCells>
  <dataValidations count="2">
    <dataValidation type="list" allowBlank="1" showInputMessage="1" showErrorMessage="1" sqref="B6">
      <formula1>Mois</formula1>
    </dataValidation>
    <dataValidation type="list" allowBlank="1" showInputMessage="1" showErrorMessage="1" sqref="B7">
      <formula1>$R$2:$R$54</formula1>
    </dataValidation>
  </dataValidations>
  <hyperlinks>
    <hyperlink ref="E14" r:id="rId1"/>
  </hyperlinks>
  <pageMargins left="0.70866141732283472" right="0.70866141732283472" top="0.74803149606299213" bottom="0.74803149606299213" header="0.31496062992125984" footer="0.31496062992125984"/>
  <pageSetup paperSize="8" scale="68" orientation="landscape" r:id="rId2"/>
  <headerFooter>
    <oddFooter>&amp;L&amp;F&amp;CSOLAIR&amp;R&amp;A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94"/>
  <sheetViews>
    <sheetView zoomScaleNormal="100" workbookViewId="0">
      <selection activeCell="B21" sqref="B21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54" width="20.7109375" style="18" customWidth="1"/>
    <col min="55" max="16384" width="15.7109375" style="18"/>
  </cols>
  <sheetData>
    <row r="1" spans="1:15" ht="26.25" thickBot="1" x14ac:dyDescent="0.3">
      <c r="A1" s="466" t="str">
        <f>CONCATENATE("ENCERTICUS - ",B4," - ",B5," - ",B7)</f>
        <v>ENCERTICUS - Valeur de référence - 2014 - S20</v>
      </c>
      <c r="B1" s="467"/>
      <c r="C1" s="467"/>
      <c r="D1" s="468"/>
      <c r="E1" s="28"/>
      <c r="F1" s="312" t="s">
        <v>94</v>
      </c>
      <c r="G1" s="339" t="s">
        <v>95</v>
      </c>
      <c r="H1" s="28"/>
      <c r="I1" s="28"/>
      <c r="L1" s="18" t="s">
        <v>172</v>
      </c>
      <c r="O1" s="18" t="s">
        <v>175</v>
      </c>
    </row>
    <row r="2" spans="1:15" ht="13.5" thickBot="1" x14ac:dyDescent="0.3">
      <c r="E2" s="23"/>
      <c r="F2" s="13"/>
      <c r="G2" s="161"/>
      <c r="H2" s="13"/>
      <c r="I2" s="28"/>
      <c r="J2" s="265" t="s">
        <v>188</v>
      </c>
      <c r="K2" s="205" t="s">
        <v>191</v>
      </c>
      <c r="L2" s="205" t="s">
        <v>192</v>
      </c>
      <c r="M2" s="205" t="s">
        <v>193</v>
      </c>
      <c r="N2" s="205" t="s">
        <v>194</v>
      </c>
      <c r="O2" s="205" t="s">
        <v>158</v>
      </c>
    </row>
    <row r="3" spans="1:15" x14ac:dyDescent="0.25">
      <c r="A3" s="142" t="s">
        <v>9</v>
      </c>
      <c r="B3" s="138" t="s">
        <v>10</v>
      </c>
      <c r="D3" s="473" t="s">
        <v>68</v>
      </c>
      <c r="E3" s="474"/>
      <c r="F3" s="475"/>
      <c r="G3" s="469" t="str">
        <f>CONCATENATE("Correction DJU - ",B6)</f>
        <v>Correction DJU - Mai</v>
      </c>
      <c r="H3" s="471"/>
      <c r="I3" s="28"/>
      <c r="J3" s="207" t="s">
        <v>46</v>
      </c>
      <c r="K3" s="309"/>
      <c r="L3" s="309">
        <f>VLOOKUP($L$1,'1_Valeur_Référence'!$B$186:$N$189,2,0)/'1_Valeur_Référence'!C$192</f>
        <v>82.261290322580649</v>
      </c>
      <c r="M3" s="309"/>
      <c r="N3" s="309"/>
      <c r="O3" s="238">
        <f>HLOOKUP('0_ENTREE LOGICIEL'!J3,'1_Valeur_Référence'!$B$186:$N$193,8,0)</f>
        <v>75.727956989247303</v>
      </c>
    </row>
    <row r="4" spans="1:15" x14ac:dyDescent="0.25">
      <c r="A4" s="143" t="s">
        <v>11</v>
      </c>
      <c r="B4" s="140" t="s">
        <v>101</v>
      </c>
      <c r="C4" s="209" t="s">
        <v>160</v>
      </c>
      <c r="D4" s="145" t="s">
        <v>23</v>
      </c>
      <c r="E4" s="146">
        <f>'0_ENTREE LOGICIEL'!E4</f>
        <v>4.3452380952380958</v>
      </c>
      <c r="F4" s="147"/>
      <c r="G4" s="145" t="str">
        <f>'0_ENTREE LOGICIEL'!G4</f>
        <v>DJU REEL - 2014 - Mai</v>
      </c>
      <c r="H4" s="237">
        <f>'0_ENTREE LOGICIEL'!H4</f>
        <v>20</v>
      </c>
      <c r="I4" s="28"/>
      <c r="J4" s="207" t="s">
        <v>47</v>
      </c>
      <c r="K4" s="309"/>
      <c r="L4" s="309">
        <f>VLOOKUP($L$1,'1_Valeur_Référence'!$B$186:$N$189,3,0)/'1_Valeur_Référence'!C$192</f>
        <v>79.280645161290323</v>
      </c>
      <c r="M4" s="309"/>
      <c r="N4" s="309"/>
      <c r="O4" s="238">
        <f>HLOOKUP('0_ENTREE LOGICIEL'!J4,'1_Valeur_Référence'!$B$186:$N$193,8,0)</f>
        <v>86.941666666666677</v>
      </c>
    </row>
    <row r="5" spans="1:15" ht="14.25" x14ac:dyDescent="0.25">
      <c r="A5" s="143" t="s">
        <v>40</v>
      </c>
      <c r="B5" s="164">
        <f>'0_ENTREE LOGICIEL'!B5</f>
        <v>2014</v>
      </c>
      <c r="C5" s="209"/>
      <c r="D5" s="145" t="s">
        <v>69</v>
      </c>
      <c r="E5" s="148">
        <f>'0_ENTREE LOGICIEL'!E5</f>
        <v>11.628</v>
      </c>
      <c r="F5" s="149" t="s">
        <v>33</v>
      </c>
      <c r="G5" s="145" t="str">
        <f>'0_ENTREE LOGICIEL'!G5</f>
        <v>DJU MODELE - Mai</v>
      </c>
      <c r="H5" s="237">
        <f>VLOOKUP(B6,'1_Valeur_Référence'!J2:O14,6,FALSE)</f>
        <v>7.2182795698924735</v>
      </c>
      <c r="I5" s="28"/>
      <c r="J5" s="207" t="s">
        <v>48</v>
      </c>
      <c r="K5" s="309"/>
      <c r="L5" s="309">
        <f>VLOOKUP($L$1,'1_Valeur_Référence'!$B$186:$N$189,4,0)/'1_Valeur_Référence'!C$192</f>
        <v>51.822580645161288</v>
      </c>
      <c r="M5" s="309"/>
      <c r="N5" s="309"/>
      <c r="O5" s="238">
        <f>HLOOKUP('0_ENTREE LOGICIEL'!J5,'1_Valeur_Référence'!$B$186:$N$193,8,0)</f>
        <v>47.456989247311824</v>
      </c>
    </row>
    <row r="6" spans="1:15" x14ac:dyDescent="0.25">
      <c r="A6" s="143" t="s">
        <v>41</v>
      </c>
      <c r="B6" s="164" t="str">
        <f>'0_ENTREE LOGICIEL'!B6</f>
        <v>Mai</v>
      </c>
      <c r="C6" s="239">
        <f>'0_ENTREE LOGICIEL'!C6</f>
        <v>7</v>
      </c>
      <c r="D6" s="145" t="s">
        <v>69</v>
      </c>
      <c r="E6" s="148">
        <f>'0_ENTREE LOGICIEL'!E6</f>
        <v>0.9009009009009008</v>
      </c>
      <c r="F6" s="149" t="s">
        <v>15</v>
      </c>
      <c r="G6" s="145" t="str">
        <f>CONCATENATE(L2," - ",B6)</f>
        <v>DJU REF - 2013 - Mai</v>
      </c>
      <c r="H6" s="237">
        <f>VLOOKUP(B6,'1_Valeur_Référence'!J2:O14,3,FALSE)</f>
        <v>15.987096774193548</v>
      </c>
      <c r="I6" s="28"/>
      <c r="J6" s="207" t="s">
        <v>43</v>
      </c>
      <c r="K6" s="309"/>
      <c r="L6" s="309">
        <f>VLOOKUP($L$1,'1_Valeur_Référence'!$B$186:$N$189,5,0)/'1_Valeur_Référence'!C$192</f>
        <v>29.58064516129032</v>
      </c>
      <c r="M6" s="309"/>
      <c r="N6" s="309"/>
      <c r="O6" s="238">
        <f>HLOOKUP('0_ENTREE LOGICIEL'!J6,'1_Valeur_Référence'!$B$186:$N$193,8,0)</f>
        <v>24.958888888888886</v>
      </c>
    </row>
    <row r="7" spans="1:15" x14ac:dyDescent="0.25">
      <c r="A7" s="143" t="s">
        <v>67</v>
      </c>
      <c r="B7" s="164" t="str">
        <f>'0_ENTREE LOGICIEL'!B7</f>
        <v>S20</v>
      </c>
      <c r="C7" s="239">
        <f>'0_ENTREE LOGICIEL'!C7</f>
        <v>22</v>
      </c>
      <c r="D7" s="150"/>
      <c r="E7" s="151"/>
      <c r="F7" s="152"/>
      <c r="G7" s="145"/>
      <c r="H7" s="149"/>
      <c r="I7" s="28"/>
      <c r="J7" s="207" t="s">
        <v>49</v>
      </c>
      <c r="K7" s="309"/>
      <c r="L7" s="309">
        <f>VLOOKUP($L$1,'1_Valeur_Référence'!$B$186:$N$189,6,0)/'1_Valeur_Référence'!C$192</f>
        <v>15.987096774193548</v>
      </c>
      <c r="M7" s="309"/>
      <c r="N7" s="309"/>
      <c r="O7" s="238">
        <f>HLOOKUP('0_ENTREE LOGICIEL'!J7,'1_Valeur_Référence'!$B$186:$N$193,8,0)</f>
        <v>7.2182795698924735</v>
      </c>
    </row>
    <row r="8" spans="1:15" ht="13.5" thickBot="1" x14ac:dyDescent="0.3">
      <c r="A8" s="144" t="s">
        <v>36</v>
      </c>
      <c r="B8" s="165" t="str">
        <f>'0_ENTREE LOGICIEL'!B8</f>
        <v>Semaine</v>
      </c>
      <c r="D8" s="203" t="s">
        <v>157</v>
      </c>
      <c r="E8" s="204">
        <f>'0_ENTREE LOGICIEL'!E8</f>
        <v>1</v>
      </c>
      <c r="F8" s="154"/>
      <c r="G8" s="153"/>
      <c r="H8" s="158"/>
      <c r="I8" s="28"/>
      <c r="J8" s="207" t="s">
        <v>50</v>
      </c>
      <c r="K8" s="309"/>
      <c r="L8" s="309">
        <f>VLOOKUP($L$1,'1_Valeur_Référence'!$B$186:$N$189,7,0)/'1_Valeur_Référence'!C$192</f>
        <v>0</v>
      </c>
      <c r="M8" s="309"/>
      <c r="N8" s="309"/>
      <c r="O8" s="238">
        <f>HLOOKUP('0_ENTREE LOGICIEL'!J8,'1_Valeur_Référence'!$B$186:$N$193,8,0)</f>
        <v>0</v>
      </c>
    </row>
    <row r="9" spans="1:15" ht="13.5" thickBot="1" x14ac:dyDescent="0.3">
      <c r="A9" s="4"/>
      <c r="B9" s="24"/>
      <c r="C9" s="29"/>
      <c r="D9" s="29"/>
      <c r="E9" s="29"/>
      <c r="F9" s="29"/>
      <c r="G9" s="29"/>
      <c r="H9" s="4"/>
      <c r="I9" s="30"/>
      <c r="J9" s="207" t="s">
        <v>51</v>
      </c>
      <c r="K9" s="309"/>
      <c r="L9" s="309">
        <f>VLOOKUP($L$1,'1_Valeur_Référence'!$B$186:$N$189,8,0)/'1_Valeur_Référence'!C$192</f>
        <v>0</v>
      </c>
      <c r="M9" s="309"/>
      <c r="N9" s="309"/>
      <c r="O9" s="238">
        <f>HLOOKUP('0_ENTREE LOGICIEL'!J9,'1_Valeur_Référence'!$B$186:$N$193,8,0)</f>
        <v>0</v>
      </c>
    </row>
    <row r="10" spans="1:15" s="20" customFormat="1" x14ac:dyDescent="0.25">
      <c r="B10" s="126"/>
      <c r="C10" s="127" t="s">
        <v>206</v>
      </c>
      <c r="D10" s="127" t="s">
        <v>66</v>
      </c>
      <c r="E10" s="128" t="s">
        <v>70</v>
      </c>
      <c r="H10" s="25"/>
      <c r="I10" s="27"/>
      <c r="J10" s="207" t="s">
        <v>52</v>
      </c>
      <c r="K10" s="309"/>
      <c r="L10" s="309">
        <f>VLOOKUP($L$1,'1_Valeur_Référence'!$B$186:$N$189,9,0)/'1_Valeur_Référence'!C$192</f>
        <v>0</v>
      </c>
      <c r="M10" s="309"/>
      <c r="N10" s="309"/>
      <c r="O10" s="238">
        <f>HLOOKUP('0_ENTREE LOGICIEL'!J10,'1_Valeur_Référence'!$B$186:$N$193,8,0)</f>
        <v>0</v>
      </c>
    </row>
    <row r="11" spans="1:15" x14ac:dyDescent="0.25">
      <c r="B11" s="136" t="s">
        <v>58</v>
      </c>
      <c r="C11" s="130">
        <f>'0_ENTREE LOGICIEL'!C11</f>
        <v>20</v>
      </c>
      <c r="D11" s="131" t="s">
        <v>39</v>
      </c>
      <c r="E11" s="132"/>
      <c r="G11" s="13"/>
      <c r="H11" s="28"/>
      <c r="I11" s="28"/>
      <c r="J11" s="207" t="s">
        <v>53</v>
      </c>
      <c r="K11" s="309"/>
      <c r="L11" s="309">
        <f>VLOOKUP($L$1,'1_Valeur_Référence'!$B$186:$N$189,10,0)/'1_Valeur_Référence'!C$192</f>
        <v>0</v>
      </c>
      <c r="M11" s="309"/>
      <c r="N11" s="309"/>
      <c r="O11" s="238">
        <f>HLOOKUP('0_ENTREE LOGICIEL'!J11,'1_Valeur_Référence'!$B$186:$N$193,8,0)</f>
        <v>0</v>
      </c>
    </row>
    <row r="12" spans="1:15" x14ac:dyDescent="0.25">
      <c r="B12" s="129" t="s">
        <v>57</v>
      </c>
      <c r="C12" s="134">
        <f>'0_ENTREE LOGICIEL'!C12</f>
        <v>7</v>
      </c>
      <c r="D12" s="133" t="s">
        <v>64</v>
      </c>
      <c r="E12" s="135"/>
      <c r="G12" s="13"/>
      <c r="H12" s="28"/>
      <c r="I12" s="28"/>
      <c r="J12" s="207" t="s">
        <v>54</v>
      </c>
      <c r="K12" s="309"/>
      <c r="L12" s="309">
        <f>VLOOKUP($L$1,'1_Valeur_Référence'!$B$186:$N$189,11,0)/'1_Valeur_Référence'!C$192</f>
        <v>1.332258064516129</v>
      </c>
      <c r="M12" s="309"/>
      <c r="N12" s="309"/>
      <c r="O12" s="238">
        <f>HLOOKUP('0_ENTREE LOGICIEL'!J12,'1_Valeur_Référence'!$B$186:$N$193,8,0)</f>
        <v>4.5161290322580641</v>
      </c>
    </row>
    <row r="13" spans="1:15" x14ac:dyDescent="0.25">
      <c r="B13" s="136" t="s">
        <v>60</v>
      </c>
      <c r="C13" s="162">
        <f>'0_ENTREE LOGICIEL'!C13</f>
        <v>52.42307692307692</v>
      </c>
      <c r="D13" s="131" t="s">
        <v>62</v>
      </c>
      <c r="E13" s="132" t="s">
        <v>24</v>
      </c>
      <c r="G13" s="13"/>
      <c r="H13" s="28"/>
      <c r="I13" s="28"/>
      <c r="J13" s="207" t="s">
        <v>55</v>
      </c>
      <c r="K13" s="309"/>
      <c r="L13" s="309">
        <f>VLOOKUP($L$1,'1_Valeur_Référence'!$B$186:$N$189,12,0)/'1_Valeur_Référence'!C$192</f>
        <v>49.79032258064516</v>
      </c>
      <c r="M13" s="309"/>
      <c r="N13" s="309"/>
      <c r="O13" s="238">
        <f>HLOOKUP('0_ENTREE LOGICIEL'!J13,'1_Valeur_Référence'!$B$186:$N$193,8,0)</f>
        <v>42.56</v>
      </c>
    </row>
    <row r="14" spans="1:15" x14ac:dyDescent="0.25">
      <c r="B14" s="129" t="s">
        <v>61</v>
      </c>
      <c r="C14" s="134">
        <f>'0_ENTREE LOGICIEL'!C14</f>
        <v>1050</v>
      </c>
      <c r="D14" s="133" t="s">
        <v>65</v>
      </c>
      <c r="E14" s="160" t="s">
        <v>29</v>
      </c>
      <c r="G14" s="28"/>
      <c r="H14" s="28"/>
      <c r="I14" s="28"/>
      <c r="J14" s="207" t="s">
        <v>56</v>
      </c>
      <c r="K14" s="309"/>
      <c r="L14" s="309">
        <f>VLOOKUP($L$1,'1_Valeur_Référence'!$B$186:$N$189,13,0)/'1_Valeur_Référence'!C$192</f>
        <v>64.309677419354841</v>
      </c>
      <c r="M14" s="309"/>
      <c r="N14" s="309"/>
      <c r="O14" s="238">
        <f>HLOOKUP('0_ENTREE LOGICIEL'!J14,'1_Valeur_Référence'!$B$186:$N$193,8,0)</f>
        <v>64.407526881720429</v>
      </c>
    </row>
    <row r="15" spans="1:15" ht="14.25" x14ac:dyDescent="0.25">
      <c r="B15" s="136" t="s">
        <v>59</v>
      </c>
      <c r="C15" s="162">
        <f>'0_ENTREE LOGICIEL'!C15</f>
        <v>45.111111111111107</v>
      </c>
      <c r="D15" s="131" t="s">
        <v>34</v>
      </c>
      <c r="E15" s="132" t="s">
        <v>37</v>
      </c>
      <c r="G15" s="28"/>
      <c r="H15" s="28"/>
      <c r="I15" s="28"/>
    </row>
    <row r="16" spans="1:15" ht="14.25" x14ac:dyDescent="0.25">
      <c r="B16" s="129" t="s">
        <v>91</v>
      </c>
      <c r="C16" s="163">
        <f>'0_ENTREE LOGICIEL'!C16</f>
        <v>0.52500000000000002</v>
      </c>
      <c r="D16" s="133" t="s">
        <v>73</v>
      </c>
      <c r="E16" s="135"/>
    </row>
    <row r="17" spans="1:27" x14ac:dyDescent="0.25">
      <c r="A17" s="314"/>
    </row>
    <row r="18" spans="1:27" x14ac:dyDescent="0.25">
      <c r="A18" s="314"/>
    </row>
    <row r="19" spans="1:27" x14ac:dyDescent="0.25">
      <c r="A19" s="314"/>
    </row>
    <row r="20" spans="1:27" x14ac:dyDescent="0.25">
      <c r="A20" s="314"/>
      <c r="B20" s="270" t="s">
        <v>201</v>
      </c>
      <c r="C20" s="271"/>
      <c r="D20" s="271"/>
      <c r="E20" s="271"/>
      <c r="F20" s="271"/>
      <c r="G20" s="271"/>
      <c r="H20" s="271"/>
      <c r="I20" s="271"/>
      <c r="J20" s="271"/>
      <c r="K20" s="271"/>
      <c r="L20" s="271"/>
      <c r="M20" s="271"/>
      <c r="N20" s="271"/>
    </row>
    <row r="21" spans="1:27" x14ac:dyDescent="0.25">
      <c r="A21" s="314"/>
      <c r="B21" s="321" t="s">
        <v>202</v>
      </c>
      <c r="C21" s="322"/>
      <c r="D21" s="232" t="s">
        <v>207</v>
      </c>
      <c r="P21" s="267" t="s">
        <v>195</v>
      </c>
      <c r="Q21" s="338"/>
      <c r="R21" s="338"/>
    </row>
    <row r="22" spans="1:27" x14ac:dyDescent="0.25">
      <c r="A22" s="314"/>
      <c r="B22" s="268" t="s">
        <v>159</v>
      </c>
      <c r="C22" s="313">
        <v>3</v>
      </c>
      <c r="D22" s="313">
        <v>4</v>
      </c>
      <c r="E22" s="313">
        <v>5</v>
      </c>
      <c r="F22" s="313">
        <v>6</v>
      </c>
      <c r="G22" s="313">
        <v>7</v>
      </c>
      <c r="H22" s="313">
        <v>8</v>
      </c>
      <c r="I22" s="313">
        <v>9</v>
      </c>
      <c r="J22" s="313">
        <v>10</v>
      </c>
      <c r="K22" s="313">
        <v>11</v>
      </c>
      <c r="L22" s="313">
        <v>12</v>
      </c>
      <c r="M22" s="313">
        <v>13</v>
      </c>
      <c r="N22" s="313">
        <v>14</v>
      </c>
      <c r="P22" s="251"/>
    </row>
    <row r="23" spans="1:27" s="19" customFormat="1" x14ac:dyDescent="0.25">
      <c r="A23" s="318"/>
      <c r="B23" s="320"/>
      <c r="C23" s="83" t="s">
        <v>46</v>
      </c>
      <c r="D23" s="81" t="s">
        <v>47</v>
      </c>
      <c r="E23" s="81" t="s">
        <v>48</v>
      </c>
      <c r="F23" s="81" t="s">
        <v>43</v>
      </c>
      <c r="G23" s="81" t="s">
        <v>49</v>
      </c>
      <c r="H23" s="81" t="s">
        <v>50</v>
      </c>
      <c r="I23" s="81" t="s">
        <v>51</v>
      </c>
      <c r="J23" s="81" t="s">
        <v>52</v>
      </c>
      <c r="K23" s="81" t="s">
        <v>53</v>
      </c>
      <c r="L23" s="81" t="s">
        <v>54</v>
      </c>
      <c r="M23" s="81" t="s">
        <v>55</v>
      </c>
      <c r="N23" s="82" t="s">
        <v>56</v>
      </c>
      <c r="P23" s="248" t="s">
        <v>46</v>
      </c>
      <c r="Q23" s="249" t="s">
        <v>47</v>
      </c>
      <c r="R23" s="249" t="s">
        <v>48</v>
      </c>
      <c r="S23" s="249" t="s">
        <v>43</v>
      </c>
      <c r="T23" s="249" t="s">
        <v>49</v>
      </c>
      <c r="U23" s="249" t="s">
        <v>50</v>
      </c>
      <c r="V23" s="249" t="s">
        <v>51</v>
      </c>
      <c r="W23" s="249" t="s">
        <v>52</v>
      </c>
      <c r="X23" s="249" t="s">
        <v>53</v>
      </c>
      <c r="Y23" s="249" t="s">
        <v>54</v>
      </c>
      <c r="Z23" s="249" t="s">
        <v>55</v>
      </c>
      <c r="AA23" s="250" t="s">
        <v>56</v>
      </c>
    </row>
    <row r="24" spans="1:27" x14ac:dyDescent="0.25">
      <c r="A24" s="313">
        <v>1</v>
      </c>
      <c r="B24" s="181" t="str">
        <f>'0_ENTREE LOGICIEL'!B25</f>
        <v>GC - 274 - T4 - 83m²</v>
      </c>
      <c r="C24" s="252">
        <f>((P24)-$C$12)/'0_ENTREE LOGICIEL'!$F25</f>
        <v>25.891566265060241</v>
      </c>
      <c r="D24" s="253">
        <f>((Q24)-$C$12)/'0_ENTREE LOGICIEL'!$F25</f>
        <v>33.168674698795179</v>
      </c>
      <c r="E24" s="253">
        <f>((R24)-$C$12)/'0_ENTREE LOGICIEL'!$F25</f>
        <v>14.265060240963855</v>
      </c>
      <c r="F24" s="253">
        <f>((S24)-$C$12)/'0_ENTREE LOGICIEL'!$F25</f>
        <v>12.301204819277109</v>
      </c>
      <c r="G24" s="253">
        <f>((T24)-$C$12)/'0_ENTREE LOGICIEL'!$F25</f>
        <v>4.4578313253012052</v>
      </c>
      <c r="H24" s="253">
        <f>((U24)-$C$12)/'0_ENTREE LOGICIEL'!$F25</f>
        <v>3.3373493975903616</v>
      </c>
      <c r="I24" s="253">
        <f>((V24)-$C$12)/'0_ENTREE LOGICIEL'!$F25</f>
        <v>2.9879518072289155</v>
      </c>
      <c r="J24" s="253">
        <f>((W24)-$C$12)/'0_ENTREE LOGICIEL'!$F25</f>
        <v>2.3734939759036147</v>
      </c>
      <c r="K24" s="253">
        <f>((X24)-$C$12)/'0_ENTREE LOGICIEL'!$F25</f>
        <v>3.4819277108433737</v>
      </c>
      <c r="L24" s="253">
        <f>((Y24)-$C$12)/'0_ENTREE LOGICIEL'!$F25</f>
        <v>9.8915662650602414</v>
      </c>
      <c r="M24" s="253">
        <f>((Z24)-$C$12)/'0_ENTREE LOGICIEL'!$F25</f>
        <v>20.3855421686747</v>
      </c>
      <c r="N24" s="254">
        <f>((AA24)-$C$12)/'0_ENTREE LOGICIEL'!$F25</f>
        <v>35.277108433734938</v>
      </c>
      <c r="P24" s="332">
        <v>2156</v>
      </c>
      <c r="Q24" s="333">
        <v>2760</v>
      </c>
      <c r="R24" s="333">
        <v>1191</v>
      </c>
      <c r="S24" s="333">
        <v>1028</v>
      </c>
      <c r="T24" s="333">
        <v>377</v>
      </c>
      <c r="U24" s="333">
        <v>284</v>
      </c>
      <c r="V24" s="333">
        <v>255</v>
      </c>
      <c r="W24" s="333">
        <v>204</v>
      </c>
      <c r="X24" s="333">
        <v>296</v>
      </c>
      <c r="Y24" s="333">
        <v>828</v>
      </c>
      <c r="Z24" s="333">
        <v>1699</v>
      </c>
      <c r="AA24" s="334">
        <v>2935</v>
      </c>
    </row>
    <row r="25" spans="1:27" x14ac:dyDescent="0.25">
      <c r="A25" s="313">
        <v>2</v>
      </c>
      <c r="B25" s="181" t="str">
        <f>'0_ENTREE LOGICIEL'!B26</f>
        <v>GC - 277 - T2 - 53m²</v>
      </c>
      <c r="C25" s="252">
        <f>((P25)-$C$12)/'0_ENTREE LOGICIEL'!$F26</f>
        <v>43.132075471698116</v>
      </c>
      <c r="D25" s="253">
        <f>((Q25)-$C$12)/'0_ENTREE LOGICIEL'!$F26</f>
        <v>55.264150943396224</v>
      </c>
      <c r="E25" s="253">
        <f>((R25)-$C$12)/'0_ENTREE LOGICIEL'!$F26</f>
        <v>23.754716981132077</v>
      </c>
      <c r="F25" s="253">
        <f>((S25)-$C$12)/'0_ENTREE LOGICIEL'!$F26</f>
        <v>14.566037735849056</v>
      </c>
      <c r="G25" s="253">
        <f>((T25)-$C$12)/'0_ENTREE LOGICIEL'!$F26</f>
        <v>5.2452830188679247</v>
      </c>
      <c r="H25" s="253">
        <f>((U25)-$C$12)/'0_ENTREE LOGICIEL'!$F26</f>
        <v>3.9245283018867925</v>
      </c>
      <c r="I25" s="253">
        <f>((V25)-$C$12)/'0_ENTREE LOGICIEL'!$F26</f>
        <v>3.5094339622641511</v>
      </c>
      <c r="J25" s="253">
        <f>((W25)-$C$12)/'0_ENTREE LOGICIEL'!$F26</f>
        <v>2.7924528301886791</v>
      </c>
      <c r="K25" s="253">
        <f>((X25)-$C$12)/'0_ENTREE LOGICIEL'!$F26</f>
        <v>4.0943396226415096</v>
      </c>
      <c r="L25" s="253">
        <f>((Y25)-$C$12)/'0_ENTREE LOGICIEL'!$F26</f>
        <v>11.69811320754717</v>
      </c>
      <c r="M25" s="253">
        <f>((Z25)-$C$12)/'0_ENTREE LOGICIEL'!$F26</f>
        <v>24.150943396226417</v>
      </c>
      <c r="N25" s="254">
        <f>((AA25)-$C$12)/'0_ENTREE LOGICIEL'!$F26</f>
        <v>41.811320754716981</v>
      </c>
      <c r="P25" s="335">
        <v>2293</v>
      </c>
      <c r="Q25" s="336">
        <v>2936</v>
      </c>
      <c r="R25" s="336">
        <v>1266</v>
      </c>
      <c r="S25" s="336">
        <v>779</v>
      </c>
      <c r="T25" s="336">
        <v>285</v>
      </c>
      <c r="U25" s="336">
        <v>215</v>
      </c>
      <c r="V25" s="336">
        <v>193</v>
      </c>
      <c r="W25" s="336">
        <v>155</v>
      </c>
      <c r="X25" s="336">
        <v>224</v>
      </c>
      <c r="Y25" s="336">
        <v>627</v>
      </c>
      <c r="Z25" s="336">
        <v>1287</v>
      </c>
      <c r="AA25" s="337">
        <v>2223</v>
      </c>
    </row>
    <row r="26" spans="1:27" x14ac:dyDescent="0.25">
      <c r="A26" s="313">
        <v>3</v>
      </c>
      <c r="B26" s="181" t="str">
        <f>'0_ENTREE LOGICIEL'!B27</f>
        <v>GC - 281 - T3 - 71m²</v>
      </c>
      <c r="C26" s="252">
        <f>((P26)-$C$12)/'0_ENTREE LOGICIEL'!$F27</f>
        <v>31.788732394366196</v>
      </c>
      <c r="D26" s="253">
        <f>((Q26)-$C$12)/'0_ENTREE LOGICIEL'!$F27</f>
        <v>40.718309859154928</v>
      </c>
      <c r="E26" s="253">
        <f>((R26)-$C$12)/'0_ENTREE LOGICIEL'!$F27</f>
        <v>17.507042253521128</v>
      </c>
      <c r="F26" s="253">
        <f>((S26)-$C$12)/'0_ENTREE LOGICIEL'!$F27</f>
        <v>12.23943661971831</v>
      </c>
      <c r="G26" s="253">
        <f>((T26)-$C$12)/'0_ENTREE LOGICIEL'!$F27</f>
        <v>4.422535211267606</v>
      </c>
      <c r="H26" s="253">
        <f>((U26)-$C$12)/'0_ENTREE LOGICIEL'!$F27</f>
        <v>3.3098591549295775</v>
      </c>
      <c r="I26" s="253">
        <f>((V26)-$C$12)/'0_ENTREE LOGICIEL'!$F27</f>
        <v>2.9577464788732395</v>
      </c>
      <c r="J26" s="253">
        <f>((W26)-$C$12)/'0_ENTREE LOGICIEL'!$F27</f>
        <v>2.352112676056338</v>
      </c>
      <c r="K26" s="253">
        <f>((X26)-$C$12)/'0_ENTREE LOGICIEL'!$F27</f>
        <v>3.4507042253521125</v>
      </c>
      <c r="L26" s="253">
        <f>((Y26)-$C$12)/'0_ENTREE LOGICIEL'!$F27</f>
        <v>9.830985915492958</v>
      </c>
      <c r="M26" s="253">
        <f>((Z26)-$C$12)/'0_ENTREE LOGICIEL'!$F27</f>
        <v>20.295774647887324</v>
      </c>
      <c r="N26" s="254">
        <f>((AA26)-$C$12)/'0_ENTREE LOGICIEL'!$F27</f>
        <v>35.12676056338028</v>
      </c>
      <c r="P26" s="335">
        <v>2264</v>
      </c>
      <c r="Q26" s="336">
        <v>2898</v>
      </c>
      <c r="R26" s="336">
        <v>1250</v>
      </c>
      <c r="S26" s="336">
        <v>876</v>
      </c>
      <c r="T26" s="336">
        <v>321</v>
      </c>
      <c r="U26" s="336">
        <v>242</v>
      </c>
      <c r="V26" s="336">
        <v>217</v>
      </c>
      <c r="W26" s="336">
        <v>174</v>
      </c>
      <c r="X26" s="336">
        <v>252</v>
      </c>
      <c r="Y26" s="336">
        <v>705</v>
      </c>
      <c r="Z26" s="336">
        <v>1448</v>
      </c>
      <c r="AA26" s="337">
        <v>2501</v>
      </c>
    </row>
    <row r="27" spans="1:27" x14ac:dyDescent="0.25">
      <c r="A27" s="313">
        <v>4</v>
      </c>
      <c r="B27" s="181" t="str">
        <f>'0_ENTREE LOGICIEL'!B28</f>
        <v>GC - 283 - T3 - 70m²</v>
      </c>
      <c r="C27" s="252">
        <f>((P27)-$C$12)/'0_ENTREE LOGICIEL'!$F28</f>
        <v>18.971428571428572</v>
      </c>
      <c r="D27" s="253">
        <f>((Q27)-$C$12)/'0_ENTREE LOGICIEL'!$F28</f>
        <v>24.314285714285713</v>
      </c>
      <c r="E27" s="253">
        <f>((R27)-$C$12)/'0_ENTREE LOGICIEL'!$F28</f>
        <v>10.428571428571429</v>
      </c>
      <c r="F27" s="253">
        <f>((S27)-$C$12)/'0_ENTREE LOGICIEL'!$F28</f>
        <v>6.3857142857142861</v>
      </c>
      <c r="G27" s="253">
        <f>((T27)-$C$12)/'0_ENTREE LOGICIEL'!$F28</f>
        <v>2.2714285714285714</v>
      </c>
      <c r="H27" s="253">
        <f>((U27)-$C$12)/'0_ENTREE LOGICIEL'!$F28</f>
        <v>1.7</v>
      </c>
      <c r="I27" s="253">
        <f>((V27)-$C$12)/'0_ENTREE LOGICIEL'!$F28</f>
        <v>1.5142857142857142</v>
      </c>
      <c r="J27" s="253">
        <f>((W27)-$C$12)/'0_ENTREE LOGICIEL'!$F28</f>
        <v>1.1857142857142857</v>
      </c>
      <c r="K27" s="253">
        <f>((X27)-$C$12)/'0_ENTREE LOGICIEL'!$F28</f>
        <v>1.7714285714285714</v>
      </c>
      <c r="L27" s="253">
        <f>((Y27)-$C$12)/'0_ENTREE LOGICIEL'!$F28</f>
        <v>5.128571428571429</v>
      </c>
      <c r="M27" s="253">
        <f>((Z27)-$C$12)/'0_ENTREE LOGICIEL'!$F28</f>
        <v>10.614285714285714</v>
      </c>
      <c r="N27" s="254">
        <f>((AA27)-$C$12)/'0_ENTREE LOGICIEL'!$F28</f>
        <v>18.414285714285715</v>
      </c>
      <c r="P27" s="335">
        <v>1335</v>
      </c>
      <c r="Q27" s="336">
        <v>1709</v>
      </c>
      <c r="R27" s="336">
        <v>737</v>
      </c>
      <c r="S27" s="336">
        <v>454</v>
      </c>
      <c r="T27" s="336">
        <v>166</v>
      </c>
      <c r="U27" s="336">
        <v>126</v>
      </c>
      <c r="V27" s="336">
        <v>113</v>
      </c>
      <c r="W27" s="336">
        <v>90</v>
      </c>
      <c r="X27" s="336">
        <v>131</v>
      </c>
      <c r="Y27" s="336">
        <v>366</v>
      </c>
      <c r="Z27" s="336">
        <v>750</v>
      </c>
      <c r="AA27" s="337">
        <v>1296</v>
      </c>
    </row>
    <row r="28" spans="1:27" x14ac:dyDescent="0.25">
      <c r="A28" s="313">
        <v>5</v>
      </c>
      <c r="B28" s="181" t="str">
        <f>'0_ENTREE LOGICIEL'!B29</f>
        <v>GC - 285 - T3 - 64m²</v>
      </c>
      <c r="C28" s="252">
        <f>((P28)-$C$12)/'0_ENTREE LOGICIEL'!$F29</f>
        <v>35.828125</v>
      </c>
      <c r="D28" s="253">
        <f>((Q28)-$C$12)/'0_ENTREE LOGICIEL'!$F29</f>
        <v>45.890625</v>
      </c>
      <c r="E28" s="253">
        <f>((R28)-$C$12)/'0_ENTREE LOGICIEL'!$F29</f>
        <v>19.734375</v>
      </c>
      <c r="F28" s="253">
        <f>((S28)-$C$12)/'0_ENTREE LOGICIEL'!$F29</f>
        <v>10.265625</v>
      </c>
      <c r="G28" s="253">
        <f>((T28)-$C$12)/'0_ENTREE LOGICIEL'!$F29</f>
        <v>3.6875</v>
      </c>
      <c r="H28" s="253">
        <f>((U28)-$C$12)/'0_ENTREE LOGICIEL'!$F29</f>
        <v>2.765625</v>
      </c>
      <c r="I28" s="253">
        <f>((V28)-$C$12)/'0_ENTREE LOGICIEL'!$F29</f>
        <v>2.46875</v>
      </c>
      <c r="J28" s="253">
        <f>((W28)-$C$12)/'0_ENTREE LOGICIEL'!$F29</f>
        <v>1.953125</v>
      </c>
      <c r="K28" s="253">
        <f>((X28)-$C$12)/'0_ENTREE LOGICIEL'!$F29</f>
        <v>2.875</v>
      </c>
      <c r="L28" s="253">
        <f>((Y28)-$C$12)/'0_ENTREE LOGICIEL'!$F29</f>
        <v>8.25</v>
      </c>
      <c r="M28" s="253">
        <f>((Z28)-$C$12)/'0_ENTREE LOGICIEL'!$F29</f>
        <v>17.046875</v>
      </c>
      <c r="N28" s="254">
        <f>((AA28)-$C$12)/'0_ENTREE LOGICIEL'!$F29</f>
        <v>29.515625</v>
      </c>
      <c r="P28" s="335">
        <v>2300</v>
      </c>
      <c r="Q28" s="336">
        <v>2944</v>
      </c>
      <c r="R28" s="336">
        <v>1270</v>
      </c>
      <c r="S28" s="336">
        <v>664</v>
      </c>
      <c r="T28" s="336">
        <v>243</v>
      </c>
      <c r="U28" s="336">
        <v>184</v>
      </c>
      <c r="V28" s="336">
        <v>165</v>
      </c>
      <c r="W28" s="336">
        <v>132</v>
      </c>
      <c r="X28" s="336">
        <v>191</v>
      </c>
      <c r="Y28" s="336">
        <v>535</v>
      </c>
      <c r="Z28" s="336">
        <v>1098</v>
      </c>
      <c r="AA28" s="337">
        <v>1896</v>
      </c>
    </row>
    <row r="29" spans="1:27" x14ac:dyDescent="0.25">
      <c r="A29" s="313">
        <v>6</v>
      </c>
      <c r="B29" s="181" t="str">
        <f>'0_ENTREE LOGICIEL'!B30</f>
        <v>GC - 286 - T3 - 68m²</v>
      </c>
      <c r="C29" s="252">
        <f>((P29)-$C$12)/'0_ENTREE LOGICIEL'!$F30</f>
        <v>33.235294117647058</v>
      </c>
      <c r="D29" s="253">
        <f>((Q29)-$C$12)/'0_ENTREE LOGICIEL'!$F30</f>
        <v>42.573529411764703</v>
      </c>
      <c r="E29" s="253">
        <f>((R29)-$C$12)/'0_ENTREE LOGICIEL'!$F30</f>
        <v>18.308823529411764</v>
      </c>
      <c r="F29" s="253">
        <f>((S29)-$C$12)/'0_ENTREE LOGICIEL'!$F30</f>
        <v>10.882352941176471</v>
      </c>
      <c r="G29" s="253">
        <f>((T29)-$C$12)/'0_ENTREE LOGICIEL'!$F30</f>
        <v>3.9264705882352939</v>
      </c>
      <c r="H29" s="253">
        <f>((U29)-$C$12)/'0_ENTREE LOGICIEL'!$F30</f>
        <v>2.9411764705882355</v>
      </c>
      <c r="I29" s="253">
        <f>((V29)-$C$12)/'0_ENTREE LOGICIEL'!$F30</f>
        <v>2.6176470588235294</v>
      </c>
      <c r="J29" s="253">
        <f>((W29)-$C$12)/'0_ENTREE LOGICIEL'!$F30</f>
        <v>2.0735294117647061</v>
      </c>
      <c r="K29" s="253">
        <f>((X29)-$C$12)/'0_ENTREE LOGICIEL'!$F30</f>
        <v>3.0588235294117645</v>
      </c>
      <c r="L29" s="253">
        <f>((Y29)-$C$12)/'0_ENTREE LOGICIEL'!$F30</f>
        <v>8.75</v>
      </c>
      <c r="M29" s="253">
        <f>((Z29)-$C$12)/'0_ENTREE LOGICIEL'!$F30</f>
        <v>18.058823529411764</v>
      </c>
      <c r="N29" s="254">
        <f>((AA29)-$C$12)/'0_ENTREE LOGICIEL'!$F30</f>
        <v>31.264705882352942</v>
      </c>
      <c r="P29" s="335">
        <v>2267</v>
      </c>
      <c r="Q29" s="336">
        <v>2902</v>
      </c>
      <c r="R29" s="336">
        <v>1252</v>
      </c>
      <c r="S29" s="336">
        <v>747</v>
      </c>
      <c r="T29" s="336">
        <v>274</v>
      </c>
      <c r="U29" s="336">
        <v>207</v>
      </c>
      <c r="V29" s="336">
        <v>185</v>
      </c>
      <c r="W29" s="336">
        <v>148</v>
      </c>
      <c r="X29" s="336">
        <v>215</v>
      </c>
      <c r="Y29" s="336">
        <v>602</v>
      </c>
      <c r="Z29" s="336">
        <v>1235</v>
      </c>
      <c r="AA29" s="337">
        <v>2133</v>
      </c>
    </row>
    <row r="30" spans="1:27" x14ac:dyDescent="0.25">
      <c r="A30" s="313">
        <v>7</v>
      </c>
      <c r="B30" s="181" t="str">
        <f>'0_ENTREE LOGICIEL'!B31</f>
        <v>GC - 289 - T3 - 76m²</v>
      </c>
      <c r="C30" s="252">
        <f>((P30)-$C$12)/'0_ENTREE LOGICIEL'!$F31</f>
        <v>34.44736842105263</v>
      </c>
      <c r="D30" s="253">
        <f>((Q30)-$C$12)/'0_ENTREE LOGICIEL'!$F31</f>
        <v>44.131578947368418</v>
      </c>
      <c r="E30" s="253">
        <f>((R30)-$C$12)/'0_ENTREE LOGICIEL'!$F31</f>
        <v>18.973684210526315</v>
      </c>
      <c r="F30" s="253">
        <f>((S30)-$C$12)/'0_ENTREE LOGICIEL'!$F31</f>
        <v>12.815789473684211</v>
      </c>
      <c r="G30" s="253">
        <f>((T30)-$C$12)/'0_ENTREE LOGICIEL'!$F31</f>
        <v>4.6315789473684212</v>
      </c>
      <c r="H30" s="253">
        <f>((U30)-$C$12)/'0_ENTREE LOGICIEL'!$F31</f>
        <v>3.4736842105263159</v>
      </c>
      <c r="I30" s="253">
        <f>((V30)-$C$12)/'0_ENTREE LOGICIEL'!$F31</f>
        <v>3.1052631578947367</v>
      </c>
      <c r="J30" s="253">
        <f>((W30)-$C$12)/'0_ENTREE LOGICIEL'!$F31</f>
        <v>2.4736842105263159</v>
      </c>
      <c r="K30" s="253">
        <f>((X30)-$C$12)/'0_ENTREE LOGICIEL'!$F31</f>
        <v>3.6184210526315788</v>
      </c>
      <c r="L30" s="253">
        <f>((Y30)-$C$12)/'0_ENTREE LOGICIEL'!$F31</f>
        <v>10.289473684210526</v>
      </c>
      <c r="M30" s="253">
        <f>((Z30)-$C$12)/'0_ENTREE LOGICIEL'!$F31</f>
        <v>21.223684210526315</v>
      </c>
      <c r="N30" s="254">
        <f>((AA30)-$C$12)/'0_ENTREE LOGICIEL'!$F31</f>
        <v>36.736842105263158</v>
      </c>
      <c r="P30" s="335">
        <v>2625</v>
      </c>
      <c r="Q30" s="336">
        <v>3361</v>
      </c>
      <c r="R30" s="336">
        <v>1449</v>
      </c>
      <c r="S30" s="336">
        <v>981</v>
      </c>
      <c r="T30" s="336">
        <v>359</v>
      </c>
      <c r="U30" s="336">
        <v>271</v>
      </c>
      <c r="V30" s="336">
        <v>243</v>
      </c>
      <c r="W30" s="336">
        <v>195</v>
      </c>
      <c r="X30" s="336">
        <v>282</v>
      </c>
      <c r="Y30" s="336">
        <v>789</v>
      </c>
      <c r="Z30" s="336">
        <v>1620</v>
      </c>
      <c r="AA30" s="337">
        <v>2799</v>
      </c>
    </row>
    <row r="31" spans="1:27" x14ac:dyDescent="0.25">
      <c r="A31" s="313">
        <v>8</v>
      </c>
      <c r="B31" s="181" t="str">
        <f>'0_ENTREE LOGICIEL'!B32</f>
        <v>GC - 303 - T4 - 81m²</v>
      </c>
      <c r="C31" s="252">
        <f>((P31)-$C$12)/'0_ENTREE LOGICIEL'!$F32</f>
        <v>32.135802469135804</v>
      </c>
      <c r="D31" s="253">
        <f>((Q31)-$C$12)/'0_ENTREE LOGICIEL'!$F32</f>
        <v>41.160493827160494</v>
      </c>
      <c r="E31" s="253">
        <f>((R31)-$C$12)/'0_ENTREE LOGICIEL'!$F32</f>
        <v>17.703703703703702</v>
      </c>
      <c r="F31" s="253">
        <f>((S31)-$C$12)/'0_ENTREE LOGICIEL'!$F32</f>
        <v>10.345679012345679</v>
      </c>
      <c r="G31" s="253">
        <f>((T31)-$C$12)/'0_ENTREE LOGICIEL'!$F32</f>
        <v>3.7407407407407409</v>
      </c>
      <c r="H31" s="253">
        <f>((U31)-$C$12)/'0_ENTREE LOGICIEL'!$F32</f>
        <v>2.8024691358024691</v>
      </c>
      <c r="I31" s="253">
        <f>((V31)-$C$12)/'0_ENTREE LOGICIEL'!$F32</f>
        <v>2.5061728395061729</v>
      </c>
      <c r="J31" s="253">
        <f>((W31)-$C$12)/'0_ENTREE LOGICIEL'!$F32</f>
        <v>1.9876543209876543</v>
      </c>
      <c r="K31" s="253">
        <f>((X31)-$C$12)/'0_ENTREE LOGICIEL'!$F32</f>
        <v>2.925925925925926</v>
      </c>
      <c r="L31" s="253">
        <f>((Y31)-$C$12)/'0_ENTREE LOGICIEL'!$F32</f>
        <v>8.3209876543209873</v>
      </c>
      <c r="M31" s="253">
        <f>((Z31)-$C$12)/'0_ENTREE LOGICIEL'!$F32</f>
        <v>17.160493827160494</v>
      </c>
      <c r="N31" s="254">
        <f>((AA31)-$C$12)/'0_ENTREE LOGICIEL'!$F32</f>
        <v>29.703703703703702</v>
      </c>
      <c r="P31" s="335">
        <v>2610</v>
      </c>
      <c r="Q31" s="336">
        <v>3341</v>
      </c>
      <c r="R31" s="336">
        <v>1441</v>
      </c>
      <c r="S31" s="336">
        <v>845</v>
      </c>
      <c r="T31" s="336">
        <v>310</v>
      </c>
      <c r="U31" s="336">
        <v>234</v>
      </c>
      <c r="V31" s="336">
        <v>210</v>
      </c>
      <c r="W31" s="336">
        <v>168</v>
      </c>
      <c r="X31" s="336">
        <v>244</v>
      </c>
      <c r="Y31" s="336">
        <v>681</v>
      </c>
      <c r="Z31" s="336">
        <v>1397</v>
      </c>
      <c r="AA31" s="337">
        <v>2413</v>
      </c>
    </row>
    <row r="32" spans="1:27" x14ac:dyDescent="0.25">
      <c r="A32" s="313">
        <v>9</v>
      </c>
      <c r="B32" s="181" t="str">
        <f>'0_ENTREE LOGICIEL'!B33</f>
        <v>GC - 304 - T3 - 66m²</v>
      </c>
      <c r="C32" s="252">
        <f>((P32)-$C$12)/'0_ENTREE LOGICIEL'!$F33</f>
        <v>44.833333333333336</v>
      </c>
      <c r="D32" s="253">
        <f>((Q32)-$C$12)/'0_ENTREE LOGICIEL'!$F33</f>
        <v>57.439393939393938</v>
      </c>
      <c r="E32" s="253">
        <f>((R32)-$C$12)/'0_ENTREE LOGICIEL'!$F33</f>
        <v>24.712121212121211</v>
      </c>
      <c r="F32" s="253">
        <f>((S32)-$C$12)/'0_ENTREE LOGICIEL'!$F33</f>
        <v>14.257575757575758</v>
      </c>
      <c r="G32" s="253">
        <f>((T32)-$C$12)/'0_ENTREE LOGICIEL'!$F33</f>
        <v>5.1515151515151514</v>
      </c>
      <c r="H32" s="253">
        <f>((U32)-$C$12)/'0_ENTREE LOGICIEL'!$F33</f>
        <v>3.8636363636363638</v>
      </c>
      <c r="I32" s="253">
        <f>((V32)-$C$12)/'0_ENTREE LOGICIEL'!$F33</f>
        <v>3.4545454545454546</v>
      </c>
      <c r="J32" s="253">
        <f>((W32)-$C$12)/'0_ENTREE LOGICIEL'!$F33</f>
        <v>2.7424242424242422</v>
      </c>
      <c r="K32" s="253">
        <f>((X32)-$C$12)/'0_ENTREE LOGICIEL'!$F33</f>
        <v>4.0303030303030303</v>
      </c>
      <c r="L32" s="253">
        <f>((Y32)-$C$12)/'0_ENTREE LOGICIEL'!$F33</f>
        <v>11.454545454545455</v>
      </c>
      <c r="M32" s="253">
        <f>((Z32)-$C$12)/'0_ENTREE LOGICIEL'!$F33</f>
        <v>23.621212121212121</v>
      </c>
      <c r="N32" s="254">
        <f>((AA32)-$C$12)/'0_ENTREE LOGICIEL'!$F33</f>
        <v>40.878787878787875</v>
      </c>
      <c r="P32" s="335">
        <v>2966</v>
      </c>
      <c r="Q32" s="336">
        <v>3798</v>
      </c>
      <c r="R32" s="336">
        <v>1638</v>
      </c>
      <c r="S32" s="336">
        <v>948</v>
      </c>
      <c r="T32" s="336">
        <v>347</v>
      </c>
      <c r="U32" s="336">
        <v>262</v>
      </c>
      <c r="V32" s="336">
        <v>235</v>
      </c>
      <c r="W32" s="336">
        <v>188</v>
      </c>
      <c r="X32" s="336">
        <v>273</v>
      </c>
      <c r="Y32" s="336">
        <v>763</v>
      </c>
      <c r="Z32" s="336">
        <v>1566</v>
      </c>
      <c r="AA32" s="337">
        <v>2705</v>
      </c>
    </row>
    <row r="33" spans="1:27" x14ac:dyDescent="0.25">
      <c r="A33" s="313">
        <v>10</v>
      </c>
      <c r="B33" s="181" t="str">
        <f>'0_ENTREE LOGICIEL'!B34</f>
        <v>GC - 306 - T3 - 66m²</v>
      </c>
      <c r="C33" s="252">
        <f>((P33)-$C$12)/'0_ENTREE LOGICIEL'!$F34</f>
        <v>17.5</v>
      </c>
      <c r="D33" s="253">
        <f>((Q33)-$C$12)/'0_ENTREE LOGICIEL'!$F34</f>
        <v>22.439393939393938</v>
      </c>
      <c r="E33" s="253">
        <f>((R33)-$C$12)/'0_ENTREE LOGICIEL'!$F34</f>
        <v>9.6212121212121211</v>
      </c>
      <c r="F33" s="253">
        <f>((S33)-$C$12)/'0_ENTREE LOGICIEL'!$F34</f>
        <v>-0.10606060606060606</v>
      </c>
      <c r="G33" s="253">
        <f>((T33)-$C$12)/'0_ENTREE LOGICIEL'!$F34</f>
        <v>-0.10606060606060606</v>
      </c>
      <c r="H33" s="253">
        <f>((U33)-$C$12)/'0_ENTREE LOGICIEL'!$F34</f>
        <v>-0.10606060606060606</v>
      </c>
      <c r="I33" s="253">
        <f>((V33)-$C$12)/'0_ENTREE LOGICIEL'!$F34</f>
        <v>-0.10606060606060606</v>
      </c>
      <c r="J33" s="253">
        <f>((W33)-$C$12)/'0_ENTREE LOGICIEL'!$F34</f>
        <v>-0.10606060606060606</v>
      </c>
      <c r="K33" s="253">
        <f>((X33)-$C$12)/'0_ENTREE LOGICIEL'!$F34</f>
        <v>-0.10606060606060606</v>
      </c>
      <c r="L33" s="253">
        <f>((Y33)-$C$12)/'0_ENTREE LOGICIEL'!$F34</f>
        <v>-0.10606060606060606</v>
      </c>
      <c r="M33" s="253">
        <f>((Z33)-$C$12)/'0_ENTREE LOGICIEL'!$F34</f>
        <v>-0.10606060606060606</v>
      </c>
      <c r="N33" s="254">
        <f>((AA33)-$C$12)/'0_ENTREE LOGICIEL'!$F34</f>
        <v>-0.10606060606060606</v>
      </c>
      <c r="P33" s="335">
        <v>1162</v>
      </c>
      <c r="Q33" s="336">
        <v>1488</v>
      </c>
      <c r="R33" s="336">
        <v>642</v>
      </c>
      <c r="S33" s="336"/>
      <c r="T33" s="336"/>
      <c r="U33" s="336"/>
      <c r="V33" s="336"/>
      <c r="W33" s="336"/>
      <c r="X33" s="336"/>
      <c r="Y33" s="336"/>
      <c r="Z33" s="336"/>
      <c r="AA33" s="337"/>
    </row>
    <row r="34" spans="1:27" x14ac:dyDescent="0.25">
      <c r="A34" s="313">
        <v>11</v>
      </c>
      <c r="B34" s="181" t="str">
        <f>'0_ENTREE LOGICIEL'!B35</f>
        <v>GC - 307 - T3 - 66m²</v>
      </c>
      <c r="C34" s="252">
        <f>((P34)-$C$12)/'0_ENTREE LOGICIEL'!$F35</f>
        <v>23.136363636363637</v>
      </c>
      <c r="D34" s="253">
        <f>((Q34)-$C$12)/'0_ENTREE LOGICIEL'!$F35</f>
        <v>29.651515151515152</v>
      </c>
      <c r="E34" s="253">
        <f>((R34)-$C$12)/'0_ENTREE LOGICIEL'!$F35</f>
        <v>12.727272727272727</v>
      </c>
      <c r="F34" s="253">
        <f>((S34)-$C$12)/'0_ENTREE LOGICIEL'!$F35</f>
        <v>8.3484848484848477</v>
      </c>
      <c r="G34" s="253">
        <f>((T34)-$C$12)/'0_ENTREE LOGICIEL'!$F35</f>
        <v>2.9848484848484849</v>
      </c>
      <c r="H34" s="253">
        <f>((U34)-$C$12)/'0_ENTREE LOGICIEL'!$F35</f>
        <v>2.2272727272727271</v>
      </c>
      <c r="I34" s="253">
        <f>((V34)-$C$12)/'0_ENTREE LOGICIEL'!$F35</f>
        <v>1.9848484848484849</v>
      </c>
      <c r="J34" s="253">
        <f>((W34)-$C$12)/'0_ENTREE LOGICIEL'!$F35</f>
        <v>1.5757575757575757</v>
      </c>
      <c r="K34" s="253">
        <f>((X34)-$C$12)/'0_ENTREE LOGICIEL'!$F35</f>
        <v>2.3333333333333335</v>
      </c>
      <c r="L34" s="253">
        <f>((Y34)-$C$12)/'0_ENTREE LOGICIEL'!$F35</f>
        <v>6.6969696969696972</v>
      </c>
      <c r="M34" s="253">
        <f>((Z34)-$C$12)/'0_ENTREE LOGICIEL'!$F35</f>
        <v>13.863636363636363</v>
      </c>
      <c r="N34" s="254">
        <f>((AA34)-$C$12)/'0_ENTREE LOGICIEL'!$F35</f>
        <v>24.015151515151516</v>
      </c>
      <c r="P34" s="335">
        <v>1534</v>
      </c>
      <c r="Q34" s="336">
        <v>1964</v>
      </c>
      <c r="R34" s="336">
        <v>847</v>
      </c>
      <c r="S34" s="336">
        <v>558</v>
      </c>
      <c r="T34" s="336">
        <v>204</v>
      </c>
      <c r="U34" s="336">
        <v>154</v>
      </c>
      <c r="V34" s="336">
        <v>138</v>
      </c>
      <c r="W34" s="336">
        <v>111</v>
      </c>
      <c r="X34" s="336">
        <v>161</v>
      </c>
      <c r="Y34" s="336">
        <v>449</v>
      </c>
      <c r="Z34" s="336">
        <v>922</v>
      </c>
      <c r="AA34" s="337">
        <v>1592</v>
      </c>
    </row>
    <row r="35" spans="1:27" x14ac:dyDescent="0.25">
      <c r="A35" s="313">
        <v>12</v>
      </c>
      <c r="B35" s="181" t="str">
        <f>'0_ENTREE LOGICIEL'!B36</f>
        <v>GC - 308 - T3 - 66m²</v>
      </c>
      <c r="C35" s="252">
        <f>((P35)-$C$12)/'0_ENTREE LOGICIEL'!$F36</f>
        <v>91.333333333333329</v>
      </c>
      <c r="D35" s="253">
        <f>((Q35)-$C$12)/'0_ENTREE LOGICIEL'!$F36</f>
        <v>116.96969696969697</v>
      </c>
      <c r="E35" s="253">
        <f>((R35)-$C$12)/'0_ENTREE LOGICIEL'!$F36</f>
        <v>50.393939393939391</v>
      </c>
      <c r="F35" s="253">
        <f>((S35)-$C$12)/'0_ENTREE LOGICIEL'!$F36</f>
        <v>25.696969696969695</v>
      </c>
      <c r="G35" s="253">
        <f>((T35)-$C$12)/'0_ENTREE LOGICIEL'!$F36</f>
        <v>9.3484848484848477</v>
      </c>
      <c r="H35" s="253">
        <f>((U35)-$C$12)/'0_ENTREE LOGICIEL'!$F36</f>
        <v>7.0303030303030303</v>
      </c>
      <c r="I35" s="253">
        <f>((V35)-$C$12)/'0_ENTREE LOGICIEL'!$F36</f>
        <v>6.2878787878787881</v>
      </c>
      <c r="J35" s="253">
        <f>((W35)-$C$12)/'0_ENTREE LOGICIEL'!$F36</f>
        <v>5.0151515151515156</v>
      </c>
      <c r="K35" s="253">
        <f>((X35)-$C$12)/'0_ENTREE LOGICIEL'!$F36</f>
        <v>7.3181818181818183</v>
      </c>
      <c r="L35" s="253">
        <f>((Y35)-$C$12)/'0_ENTREE LOGICIEL'!$F36</f>
        <v>20.666666666666668</v>
      </c>
      <c r="M35" s="253">
        <f>((Z35)-$C$12)/'0_ENTREE LOGICIEL'!$F36</f>
        <v>42.530303030303031</v>
      </c>
      <c r="N35" s="254">
        <f>((AA35)-$C$12)/'0_ENTREE LOGICIEL'!$F36</f>
        <v>73.530303030303031</v>
      </c>
      <c r="P35" s="335">
        <v>6035</v>
      </c>
      <c r="Q35" s="336">
        <v>7727</v>
      </c>
      <c r="R35" s="336">
        <v>3333</v>
      </c>
      <c r="S35" s="336">
        <v>1703</v>
      </c>
      <c r="T35" s="336">
        <v>624</v>
      </c>
      <c r="U35" s="336">
        <v>471</v>
      </c>
      <c r="V35" s="336">
        <v>422</v>
      </c>
      <c r="W35" s="336">
        <v>338</v>
      </c>
      <c r="X35" s="336">
        <v>490</v>
      </c>
      <c r="Y35" s="336">
        <v>1371</v>
      </c>
      <c r="Z35" s="336">
        <v>2814</v>
      </c>
      <c r="AA35" s="337">
        <v>4860</v>
      </c>
    </row>
    <row r="36" spans="1:27" x14ac:dyDescent="0.25">
      <c r="A36" s="313">
        <v>13</v>
      </c>
      <c r="B36" s="181" t="str">
        <f>'0_ENTREE LOGICIEL'!B37</f>
        <v>GC - 314 - T4 - 75m²</v>
      </c>
      <c r="C36" s="252">
        <f>((P36)-$C$12)/'0_ENTREE LOGICIEL'!$F37</f>
        <v>-9.3333333333333338E-2</v>
      </c>
      <c r="D36" s="253">
        <f>((Q36)-$C$12)/'0_ENTREE LOGICIEL'!$F37</f>
        <v>-9.3333333333333338E-2</v>
      </c>
      <c r="E36" s="253">
        <f>((R36)-$C$12)/'0_ENTREE LOGICIEL'!$F37</f>
        <v>-9.3333333333333338E-2</v>
      </c>
      <c r="F36" s="253">
        <f>((S36)-$C$12)/'0_ENTREE LOGICIEL'!$F37</f>
        <v>-9.3333333333333338E-2</v>
      </c>
      <c r="G36" s="253">
        <f>((T36)-$C$12)/'0_ENTREE LOGICIEL'!$F37</f>
        <v>-9.3333333333333338E-2</v>
      </c>
      <c r="H36" s="253">
        <f>((U36)-$C$12)/'0_ENTREE LOGICIEL'!$F37</f>
        <v>-9.3333333333333338E-2</v>
      </c>
      <c r="I36" s="253">
        <f>((V36)-$C$12)/'0_ENTREE LOGICIEL'!$F37</f>
        <v>-9.3333333333333338E-2</v>
      </c>
      <c r="J36" s="253">
        <f>((W36)-$C$12)/'0_ENTREE LOGICIEL'!$F37</f>
        <v>-9.3333333333333338E-2</v>
      </c>
      <c r="K36" s="253">
        <f>((X36)-$C$12)/'0_ENTREE LOGICIEL'!$F37</f>
        <v>-9.3333333333333338E-2</v>
      </c>
      <c r="L36" s="253">
        <f>((Y36)-$C$12)/'0_ENTREE LOGICIEL'!$F37</f>
        <v>-9.3333333333333338E-2</v>
      </c>
      <c r="M36" s="253">
        <f>((Z36)-$C$12)/'0_ENTREE LOGICIEL'!$F37</f>
        <v>-9.3333333333333338E-2</v>
      </c>
      <c r="N36" s="254">
        <f>((AA36)-$C$12)/'0_ENTREE LOGICIEL'!$F37</f>
        <v>-9.3333333333333338E-2</v>
      </c>
      <c r="P36" s="335"/>
      <c r="Q36" s="336"/>
      <c r="R36" s="336"/>
      <c r="S36" s="336"/>
      <c r="T36" s="336"/>
      <c r="U36" s="336"/>
      <c r="V36" s="336"/>
      <c r="W36" s="336"/>
      <c r="X36" s="336"/>
      <c r="Y36" s="336"/>
      <c r="Z36" s="336"/>
      <c r="AA36" s="337"/>
    </row>
    <row r="37" spans="1:27" x14ac:dyDescent="0.25">
      <c r="A37" s="313">
        <v>14</v>
      </c>
      <c r="B37" s="180"/>
      <c r="C37" s="255"/>
      <c r="D37" s="256"/>
      <c r="E37" s="256"/>
      <c r="F37" s="256"/>
      <c r="G37" s="256"/>
      <c r="H37" s="256"/>
      <c r="I37" s="256"/>
      <c r="J37" s="256"/>
      <c r="K37" s="256"/>
      <c r="L37" s="256"/>
      <c r="M37" s="256"/>
      <c r="N37" s="256"/>
      <c r="P37" s="182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</row>
    <row r="38" spans="1:27" x14ac:dyDescent="0.25">
      <c r="A38" s="313">
        <v>15</v>
      </c>
      <c r="B38" s="181" t="str">
        <f>'0_ENTREE LOGICIEL'!B39</f>
        <v>GE2.1 - 275 - T3 - 74m²</v>
      </c>
      <c r="C38" s="252">
        <f>((P38)-$C$12)/'0_ENTREE LOGICIEL'!$F39</f>
        <v>44.54054054054054</v>
      </c>
      <c r="D38" s="253">
        <f>((Q38)-$C$12)/'0_ENTREE LOGICIEL'!$F39</f>
        <v>57.054054054054056</v>
      </c>
      <c r="E38" s="253">
        <f>((R38)-$C$12)/'0_ENTREE LOGICIEL'!$F39</f>
        <v>24.554054054054053</v>
      </c>
      <c r="F38" s="253">
        <f>((S38)-$C$12)/'0_ENTREE LOGICIEL'!$F39</f>
        <v>13.148648648648649</v>
      </c>
      <c r="G38" s="253">
        <f>((T38)-$C$12)/'0_ENTREE LOGICIEL'!$F39</f>
        <v>4.756756756756757</v>
      </c>
      <c r="H38" s="253">
        <f>((U38)-$C$12)/'0_ENTREE LOGICIEL'!$F39</f>
        <v>3.5675675675675675</v>
      </c>
      <c r="I38" s="253">
        <f>((V38)-$C$12)/'0_ENTREE LOGICIEL'!$F39</f>
        <v>3.189189189189189</v>
      </c>
      <c r="J38" s="253">
        <f>((W38)-$C$12)/'0_ENTREE LOGICIEL'!$F39</f>
        <v>2.5405405405405403</v>
      </c>
      <c r="K38" s="253">
        <f>((X38)-$C$12)/'0_ENTREE LOGICIEL'!$F39</f>
        <v>-9.45945945945946E-2</v>
      </c>
      <c r="L38" s="253">
        <f>((Y38)-$C$12)/'0_ENTREE LOGICIEL'!$F39</f>
        <v>-9.45945945945946E-2</v>
      </c>
      <c r="M38" s="253">
        <f>((Z38)-$C$12)/'0_ENTREE LOGICIEL'!$F39</f>
        <v>-9.45945945945946E-2</v>
      </c>
      <c r="N38" s="254">
        <f>((AA38)-$C$12)/'0_ENTREE LOGICIEL'!$F39</f>
        <v>-9.45945945945946E-2</v>
      </c>
      <c r="P38" s="332">
        <v>3303</v>
      </c>
      <c r="Q38" s="333">
        <v>4229</v>
      </c>
      <c r="R38" s="333">
        <v>1824</v>
      </c>
      <c r="S38" s="333">
        <v>980</v>
      </c>
      <c r="T38" s="333">
        <v>359</v>
      </c>
      <c r="U38" s="333">
        <v>271</v>
      </c>
      <c r="V38" s="333">
        <v>243</v>
      </c>
      <c r="W38" s="333">
        <v>195</v>
      </c>
      <c r="X38" s="333"/>
      <c r="Y38" s="333"/>
      <c r="Z38" s="333"/>
      <c r="AA38" s="334"/>
    </row>
    <row r="39" spans="1:27" x14ac:dyDescent="0.25">
      <c r="A39" s="313">
        <v>16</v>
      </c>
      <c r="B39" s="181" t="str">
        <f>'0_ENTREE LOGICIEL'!B40</f>
        <v>GE2.1 - 278 - T2 - 57m²</v>
      </c>
      <c r="C39" s="252">
        <f>((P39)-$C$12)/'0_ENTREE LOGICIEL'!$F40</f>
        <v>15.491228070175438</v>
      </c>
      <c r="D39" s="253">
        <f>((Q39)-$C$12)/'0_ENTREE LOGICIEL'!$F40</f>
        <v>19.859649122807017</v>
      </c>
      <c r="E39" s="253">
        <f>((R39)-$C$12)/'0_ENTREE LOGICIEL'!$F40</f>
        <v>8.4912280701754383</v>
      </c>
      <c r="F39" s="253">
        <f>((S39)-$C$12)/'0_ENTREE LOGICIEL'!$F40</f>
        <v>-0.12280701754385964</v>
      </c>
      <c r="G39" s="253">
        <f>((T39)-$C$12)/'0_ENTREE LOGICIEL'!$F40</f>
        <v>-0.12280701754385964</v>
      </c>
      <c r="H39" s="253">
        <f>((U39)-$C$12)/'0_ENTREE LOGICIEL'!$F40</f>
        <v>-0.12280701754385964</v>
      </c>
      <c r="I39" s="253">
        <f>((V39)-$C$12)/'0_ENTREE LOGICIEL'!$F40</f>
        <v>-0.12280701754385964</v>
      </c>
      <c r="J39" s="253">
        <f>((W39)-$C$12)/'0_ENTREE LOGICIEL'!$F40</f>
        <v>-0.12280701754385964</v>
      </c>
      <c r="K39" s="253">
        <f>((X39)-$C$12)/'0_ENTREE LOGICIEL'!$F40</f>
        <v>-0.12280701754385964</v>
      </c>
      <c r="L39" s="253">
        <f>((Y39)-$C$12)/'0_ENTREE LOGICIEL'!$F40</f>
        <v>-0.12280701754385964</v>
      </c>
      <c r="M39" s="253">
        <f>((Z39)-$C$12)/'0_ENTREE LOGICIEL'!$F40</f>
        <v>-0.12280701754385964</v>
      </c>
      <c r="N39" s="254">
        <f>((AA39)-$C$12)/'0_ENTREE LOGICIEL'!$F40</f>
        <v>-0.12280701754385964</v>
      </c>
      <c r="P39" s="335">
        <v>890</v>
      </c>
      <c r="Q39" s="336">
        <v>1139</v>
      </c>
      <c r="R39" s="336">
        <v>491</v>
      </c>
      <c r="S39" s="336"/>
      <c r="T39" s="336"/>
      <c r="U39" s="336"/>
      <c r="V39" s="336"/>
      <c r="W39" s="336"/>
      <c r="X39" s="336"/>
      <c r="Y39" s="336"/>
      <c r="Z39" s="336"/>
      <c r="AA39" s="337"/>
    </row>
    <row r="40" spans="1:27" x14ac:dyDescent="0.25">
      <c r="A40" s="313">
        <v>17</v>
      </c>
      <c r="B40" s="181" t="str">
        <f>'0_ENTREE LOGICIEL'!B41</f>
        <v>GE2.1 - 280 - T3 - 66m²</v>
      </c>
      <c r="C40" s="252">
        <f>((P40)-$C$12)/'0_ENTREE LOGICIEL'!$F41</f>
        <v>28.424242424242426</v>
      </c>
      <c r="D40" s="253">
        <f>((Q40)-$C$12)/'0_ENTREE LOGICIEL'!$F41</f>
        <v>36.424242424242422</v>
      </c>
      <c r="E40" s="253">
        <f>((R40)-$C$12)/'0_ENTREE LOGICIEL'!$F41</f>
        <v>15.651515151515152</v>
      </c>
      <c r="F40" s="253">
        <f>((S40)-$C$12)/'0_ENTREE LOGICIEL'!$F41</f>
        <v>10.833333333333334</v>
      </c>
      <c r="G40" s="253">
        <f>((T40)-$C$12)/'0_ENTREE LOGICIEL'!$F41</f>
        <v>3.9090909090909092</v>
      </c>
      <c r="H40" s="253">
        <f>((U40)-$C$12)/'0_ENTREE LOGICIEL'!$F41</f>
        <v>2.9242424242424243</v>
      </c>
      <c r="I40" s="253">
        <f>((V40)-$C$12)/'0_ENTREE LOGICIEL'!$F41</f>
        <v>2.606060606060606</v>
      </c>
      <c r="J40" s="253">
        <f>((W40)-$C$12)/'0_ENTREE LOGICIEL'!$F41</f>
        <v>2.0606060606060606</v>
      </c>
      <c r="K40" s="253">
        <f>((X40)-$C$12)/'0_ENTREE LOGICIEL'!$F41</f>
        <v>3.0454545454545454</v>
      </c>
      <c r="L40" s="253">
        <f>((Y40)-$C$12)/'0_ENTREE LOGICIEL'!$F41</f>
        <v>8.6969696969696972</v>
      </c>
      <c r="M40" s="253">
        <f>((Z40)-$C$12)/'0_ENTREE LOGICIEL'!$F41</f>
        <v>17.969696969696969</v>
      </c>
      <c r="N40" s="254">
        <f>((AA40)-$C$12)/'0_ENTREE LOGICIEL'!$F41</f>
        <v>31.121212121212121</v>
      </c>
      <c r="P40" s="335">
        <v>1883</v>
      </c>
      <c r="Q40" s="336">
        <v>2411</v>
      </c>
      <c r="R40" s="336">
        <v>1040</v>
      </c>
      <c r="S40" s="336">
        <v>722</v>
      </c>
      <c r="T40" s="336">
        <v>265</v>
      </c>
      <c r="U40" s="336">
        <v>200</v>
      </c>
      <c r="V40" s="336">
        <v>179</v>
      </c>
      <c r="W40" s="336">
        <v>143</v>
      </c>
      <c r="X40" s="336">
        <v>208</v>
      </c>
      <c r="Y40" s="336">
        <v>581</v>
      </c>
      <c r="Z40" s="336">
        <v>1193</v>
      </c>
      <c r="AA40" s="337">
        <v>2061</v>
      </c>
    </row>
    <row r="41" spans="1:27" x14ac:dyDescent="0.25">
      <c r="A41" s="313">
        <v>18</v>
      </c>
      <c r="B41" s="181" t="str">
        <f>'0_ENTREE LOGICIEL'!B42</f>
        <v>GE2.1 - 282 - T4 - 78m²</v>
      </c>
      <c r="C41" s="252">
        <f>((P41)-$C$12)/'0_ENTREE LOGICIEL'!$F42</f>
        <v>14.051282051282051</v>
      </c>
      <c r="D41" s="253">
        <f>((Q41)-$C$12)/'0_ENTREE LOGICIEL'!$F42</f>
        <v>18.025641025641026</v>
      </c>
      <c r="E41" s="253">
        <f>((R41)-$C$12)/'0_ENTREE LOGICIEL'!$F42</f>
        <v>7.7179487179487181</v>
      </c>
      <c r="F41" s="253">
        <f>((S41)-$C$12)/'0_ENTREE LOGICIEL'!$F42</f>
        <v>3.7692307692307692</v>
      </c>
      <c r="G41" s="253">
        <f>((T41)-$C$12)/'0_ENTREE LOGICIEL'!$F42</f>
        <v>1.3205128205128205</v>
      </c>
      <c r="H41" s="253">
        <f>((U41)-$C$12)/'0_ENTREE LOGICIEL'!$F42</f>
        <v>0.97435897435897434</v>
      </c>
      <c r="I41" s="253">
        <f>((V41)-$C$12)/'0_ENTREE LOGICIEL'!$F42</f>
        <v>0.87179487179487181</v>
      </c>
      <c r="J41" s="253">
        <f>((W41)-$C$12)/'0_ENTREE LOGICIEL'!$F42</f>
        <v>0.67948717948717952</v>
      </c>
      <c r="K41" s="253">
        <f>((X41)-$C$12)/'0_ENTREE LOGICIEL'!$F42</f>
        <v>1.0256410256410255</v>
      </c>
      <c r="L41" s="253">
        <f>((Y41)-$C$12)/'0_ENTREE LOGICIEL'!$F42</f>
        <v>3.0128205128205128</v>
      </c>
      <c r="M41" s="253">
        <f>((Z41)-$C$12)/'0_ENTREE LOGICIEL'!$F42</f>
        <v>6.2820512820512819</v>
      </c>
      <c r="N41" s="254">
        <f>((AA41)-$C$12)/'0_ENTREE LOGICIEL'!$F42</f>
        <v>10.923076923076923</v>
      </c>
      <c r="P41" s="335">
        <v>1103</v>
      </c>
      <c r="Q41" s="336">
        <v>1413</v>
      </c>
      <c r="R41" s="336">
        <v>609</v>
      </c>
      <c r="S41" s="336">
        <v>301</v>
      </c>
      <c r="T41" s="336">
        <v>110</v>
      </c>
      <c r="U41" s="336">
        <v>83</v>
      </c>
      <c r="V41" s="336">
        <v>75</v>
      </c>
      <c r="W41" s="336">
        <v>60</v>
      </c>
      <c r="X41" s="336">
        <v>87</v>
      </c>
      <c r="Y41" s="336">
        <v>242</v>
      </c>
      <c r="Z41" s="336">
        <v>497</v>
      </c>
      <c r="AA41" s="337">
        <v>859</v>
      </c>
    </row>
    <row r="42" spans="1:27" x14ac:dyDescent="0.25">
      <c r="A42" s="313">
        <v>19</v>
      </c>
      <c r="B42" s="181" t="str">
        <f>'0_ENTREE LOGICIEL'!B43</f>
        <v>GE2.1 - 292 - T3 - 63m²</v>
      </c>
      <c r="C42" s="252">
        <f>((P42)-$C$12)/'0_ENTREE LOGICIEL'!$F43</f>
        <v>29.825396825396826</v>
      </c>
      <c r="D42" s="253">
        <f>((Q42)-$C$12)/'0_ENTREE LOGICIEL'!$F43</f>
        <v>38.222222222222221</v>
      </c>
      <c r="E42" s="253">
        <f>((R42)-$C$12)/'0_ENTREE LOGICIEL'!$F43</f>
        <v>16.428571428571427</v>
      </c>
      <c r="F42" s="253">
        <f>((S42)-$C$12)/'0_ENTREE LOGICIEL'!$F43</f>
        <v>8.3809523809523814</v>
      </c>
      <c r="G42" s="253">
        <f>((T42)-$C$12)/'0_ENTREE LOGICIEL'!$F43</f>
        <v>3</v>
      </c>
      <c r="H42" s="253">
        <f>((U42)-$C$12)/'0_ENTREE LOGICIEL'!$F43</f>
        <v>2.2380952380952381</v>
      </c>
      <c r="I42" s="253">
        <f>((V42)-$C$12)/'0_ENTREE LOGICIEL'!$F43</f>
        <v>2</v>
      </c>
      <c r="J42" s="253">
        <f>((W42)-$C$12)/'0_ENTREE LOGICIEL'!$F43</f>
        <v>1.5714285714285714</v>
      </c>
      <c r="K42" s="253">
        <f>((X42)-$C$12)/'0_ENTREE LOGICIEL'!$F43</f>
        <v>2.3333333333333335</v>
      </c>
      <c r="L42" s="253">
        <f>((Y42)-$C$12)/'0_ENTREE LOGICIEL'!$F43</f>
        <v>6.7301587301587302</v>
      </c>
      <c r="M42" s="253">
        <f>((Z42)-$C$12)/'0_ENTREE LOGICIEL'!$F43</f>
        <v>13.920634920634921</v>
      </c>
      <c r="N42" s="254">
        <f>((AA42)-$C$12)/'0_ENTREE LOGICIEL'!$F43</f>
        <v>24.126984126984127</v>
      </c>
      <c r="P42" s="335">
        <v>1886</v>
      </c>
      <c r="Q42" s="336">
        <v>2415</v>
      </c>
      <c r="R42" s="336">
        <v>1042</v>
      </c>
      <c r="S42" s="336">
        <v>535</v>
      </c>
      <c r="T42" s="336">
        <v>196</v>
      </c>
      <c r="U42" s="336">
        <v>148</v>
      </c>
      <c r="V42" s="336">
        <v>133</v>
      </c>
      <c r="W42" s="336">
        <v>106</v>
      </c>
      <c r="X42" s="336">
        <v>154</v>
      </c>
      <c r="Y42" s="336">
        <v>431</v>
      </c>
      <c r="Z42" s="336">
        <v>884</v>
      </c>
      <c r="AA42" s="337">
        <v>1527</v>
      </c>
    </row>
    <row r="43" spans="1:27" x14ac:dyDescent="0.25">
      <c r="A43" s="313">
        <v>20</v>
      </c>
      <c r="B43" s="181" t="str">
        <f>'0_ENTREE LOGICIEL'!B44</f>
        <v>GE2.1 - 293 - T3 - 63m²</v>
      </c>
      <c r="C43" s="252">
        <f>((P43)-$C$12)/'0_ENTREE LOGICIEL'!$F44</f>
        <v>6.9365079365079367</v>
      </c>
      <c r="D43" s="253">
        <f>((Q43)-$C$12)/'0_ENTREE LOGICIEL'!$F44</f>
        <v>10.857142857142858</v>
      </c>
      <c r="E43" s="253">
        <f>((R43)-$C$12)/'0_ENTREE LOGICIEL'!$F44</f>
        <v>5.4444444444444446</v>
      </c>
      <c r="F43" s="253">
        <f>((S43)-$C$12)/'0_ENTREE LOGICIEL'!$F44</f>
        <v>4.0476190476190474</v>
      </c>
      <c r="G43" s="253">
        <f>((T43)-$C$12)/'0_ENTREE LOGICIEL'!$F44</f>
        <v>6.5555555555555554</v>
      </c>
      <c r="H43" s="253">
        <f>((U43)-$C$12)/'0_ENTREE LOGICIEL'!$F44</f>
        <v>2.1746031746031744</v>
      </c>
      <c r="I43" s="253">
        <f>((V43)-$C$12)/'0_ENTREE LOGICIEL'!$F44</f>
        <v>2.1587301587301586</v>
      </c>
      <c r="J43" s="253">
        <f>((W43)-$C$12)/'0_ENTREE LOGICIEL'!$F44</f>
        <v>1.6825396825396826</v>
      </c>
      <c r="K43" s="253">
        <f>((X43)-$C$12)/'0_ENTREE LOGICIEL'!$F44</f>
        <v>3.0476190476190474</v>
      </c>
      <c r="L43" s="253">
        <f>((Y43)-$C$12)/'0_ENTREE LOGICIEL'!$F44</f>
        <v>4</v>
      </c>
      <c r="M43" s="253">
        <f>((Z43)-$C$12)/'0_ENTREE LOGICIEL'!$F44</f>
        <v>4.6031746031746028</v>
      </c>
      <c r="N43" s="254">
        <f>((AA43)-$C$12)/'0_ENTREE LOGICIEL'!$F44</f>
        <v>6.0634920634920633</v>
      </c>
      <c r="P43" s="335">
        <v>444</v>
      </c>
      <c r="Q43" s="336">
        <v>691</v>
      </c>
      <c r="R43" s="336">
        <v>350</v>
      </c>
      <c r="S43" s="336">
        <v>262</v>
      </c>
      <c r="T43" s="336">
        <v>420</v>
      </c>
      <c r="U43" s="336">
        <v>144</v>
      </c>
      <c r="V43" s="336">
        <v>143</v>
      </c>
      <c r="W43" s="336">
        <v>113</v>
      </c>
      <c r="X43" s="336">
        <v>199</v>
      </c>
      <c r="Y43" s="336">
        <v>259</v>
      </c>
      <c r="Z43" s="336">
        <v>297</v>
      </c>
      <c r="AA43" s="337">
        <v>389</v>
      </c>
    </row>
    <row r="44" spans="1:27" x14ac:dyDescent="0.25">
      <c r="A44" s="313">
        <v>21</v>
      </c>
      <c r="B44" s="181" t="str">
        <f>'0_ENTREE LOGICIEL'!B45</f>
        <v>GE2.1 - 295 - T3 - 63m²</v>
      </c>
      <c r="C44" s="252">
        <f>((P44)-$C$12)/'0_ENTREE LOGICIEL'!$F45</f>
        <v>-0.1111111111111111</v>
      </c>
      <c r="D44" s="253">
        <f>((Q44)-$C$12)/'0_ENTREE LOGICIEL'!$F45</f>
        <v>-0.1111111111111111</v>
      </c>
      <c r="E44" s="253">
        <f>((R44)-$C$12)/'0_ENTREE LOGICIEL'!$F45</f>
        <v>-0.1111111111111111</v>
      </c>
      <c r="F44" s="253">
        <f>((S44)-$C$12)/'0_ENTREE LOGICIEL'!$F45</f>
        <v>-0.1111111111111111</v>
      </c>
      <c r="G44" s="253">
        <f>((T44)-$C$12)/'0_ENTREE LOGICIEL'!$F45</f>
        <v>-0.1111111111111111</v>
      </c>
      <c r="H44" s="253">
        <f>((U44)-$C$12)/'0_ENTREE LOGICIEL'!$F45</f>
        <v>-0.1111111111111111</v>
      </c>
      <c r="I44" s="253">
        <f>((V44)-$C$12)/'0_ENTREE LOGICIEL'!$F45</f>
        <v>-0.1111111111111111</v>
      </c>
      <c r="J44" s="253">
        <f>((W44)-$C$12)/'0_ENTREE LOGICIEL'!$F45</f>
        <v>-0.1111111111111111</v>
      </c>
      <c r="K44" s="253">
        <f>((X44)-$C$12)/'0_ENTREE LOGICIEL'!$F45</f>
        <v>-0.1111111111111111</v>
      </c>
      <c r="L44" s="253">
        <f>((Y44)-$C$12)/'0_ENTREE LOGICIEL'!$F45</f>
        <v>-0.1111111111111111</v>
      </c>
      <c r="M44" s="253">
        <f>((Z44)-$C$12)/'0_ENTREE LOGICIEL'!$F45</f>
        <v>-0.1111111111111111</v>
      </c>
      <c r="N44" s="254">
        <f>((AA44)-$C$12)/'0_ENTREE LOGICIEL'!$F45</f>
        <v>-0.1111111111111111</v>
      </c>
      <c r="P44" s="335"/>
      <c r="Q44" s="336"/>
      <c r="R44" s="336"/>
      <c r="S44" s="336"/>
      <c r="T44" s="336"/>
      <c r="U44" s="336"/>
      <c r="V44" s="336"/>
      <c r="W44" s="336"/>
      <c r="X44" s="336"/>
      <c r="Y44" s="336"/>
      <c r="Z44" s="336"/>
      <c r="AA44" s="337"/>
    </row>
    <row r="45" spans="1:27" x14ac:dyDescent="0.25">
      <c r="A45" s="313">
        <v>22</v>
      </c>
      <c r="B45" s="181" t="str">
        <f>'0_ENTREE LOGICIEL'!B46</f>
        <v>GE2.1 - 296 - T4 - 78m²</v>
      </c>
      <c r="C45" s="252">
        <f>((P45)-$C$12)/'0_ENTREE LOGICIEL'!$F46</f>
        <v>34.564102564102562</v>
      </c>
      <c r="D45" s="253">
        <f>((Q45)-$C$12)/'0_ENTREE LOGICIEL'!$F46</f>
        <v>44.282051282051285</v>
      </c>
      <c r="E45" s="253">
        <f>((R45)-$C$12)/'0_ENTREE LOGICIEL'!$F46</f>
        <v>19.051282051282051</v>
      </c>
      <c r="F45" s="253">
        <f>((S45)-$C$12)/'0_ENTREE LOGICIEL'!$F46</f>
        <v>11.833333333333334</v>
      </c>
      <c r="G45" s="253">
        <f>((T45)-$C$12)/'0_ENTREE LOGICIEL'!$F46</f>
        <v>4.2820512820512819</v>
      </c>
      <c r="H45" s="253">
        <f>((U45)-$C$12)/'0_ENTREE LOGICIEL'!$F46</f>
        <v>3.2051282051282053</v>
      </c>
      <c r="I45" s="253">
        <f>((V45)-$C$12)/'0_ENTREE LOGICIEL'!$F46</f>
        <v>2.8717948717948718</v>
      </c>
      <c r="J45" s="253">
        <f>((W45)-$C$12)/'0_ENTREE LOGICIEL'!$F46</f>
        <v>2.2820512820512819</v>
      </c>
      <c r="K45" s="253">
        <f>((X45)-$C$12)/'0_ENTREE LOGICIEL'!$F46</f>
        <v>3.3461538461538463</v>
      </c>
      <c r="L45" s="253">
        <f>((Y45)-$C$12)/'0_ENTREE LOGICIEL'!$F46</f>
        <v>9.5128205128205128</v>
      </c>
      <c r="M45" s="253">
        <f>((Z45)-$C$12)/'0_ENTREE LOGICIEL'!$F46</f>
        <v>19.615384615384617</v>
      </c>
      <c r="N45" s="254">
        <f>((AA45)-$C$12)/'0_ENTREE LOGICIEL'!$F46</f>
        <v>33.948717948717949</v>
      </c>
      <c r="P45" s="335">
        <v>2703</v>
      </c>
      <c r="Q45" s="336">
        <v>3461</v>
      </c>
      <c r="R45" s="336">
        <v>1493</v>
      </c>
      <c r="S45" s="336">
        <v>930</v>
      </c>
      <c r="T45" s="336">
        <v>341</v>
      </c>
      <c r="U45" s="336">
        <v>257</v>
      </c>
      <c r="V45" s="336">
        <v>231</v>
      </c>
      <c r="W45" s="336">
        <v>185</v>
      </c>
      <c r="X45" s="336">
        <v>268</v>
      </c>
      <c r="Y45" s="336">
        <v>749</v>
      </c>
      <c r="Z45" s="336">
        <v>1537</v>
      </c>
      <c r="AA45" s="337">
        <v>2655</v>
      </c>
    </row>
    <row r="46" spans="1:27" x14ac:dyDescent="0.25">
      <c r="A46" s="313">
        <v>23</v>
      </c>
      <c r="B46" s="181" t="str">
        <f>'0_ENTREE LOGICIEL'!B47</f>
        <v>GE2.1 - 297 - T4 - 79m²</v>
      </c>
      <c r="C46" s="252">
        <f>((P46)-$C$12)/'0_ENTREE LOGICIEL'!$F47</f>
        <v>-8.8607594936708861E-2</v>
      </c>
      <c r="D46" s="253">
        <f>((Q46)-$C$12)/'0_ENTREE LOGICIEL'!$F47</f>
        <v>-8.8607594936708861E-2</v>
      </c>
      <c r="E46" s="253">
        <f>((R46)-$C$12)/'0_ENTREE LOGICIEL'!$F47</f>
        <v>10.063291139240507</v>
      </c>
      <c r="F46" s="253">
        <f>((S46)-$C$12)/'0_ENTREE LOGICIEL'!$F47</f>
        <v>6.5822784810126587</v>
      </c>
      <c r="G46" s="253">
        <f>((T46)-$C$12)/'0_ENTREE LOGICIEL'!$F47</f>
        <v>2.3544303797468356</v>
      </c>
      <c r="H46" s="253">
        <f>((U46)-$C$12)/'0_ENTREE LOGICIEL'!$F47</f>
        <v>1.759493670886076</v>
      </c>
      <c r="I46" s="253">
        <f>((V46)-$C$12)/'0_ENTREE LOGICIEL'!$F47</f>
        <v>1.5696202531645569</v>
      </c>
      <c r="J46" s="253">
        <f>((W46)-$C$12)/'0_ENTREE LOGICIEL'!$F47</f>
        <v>1.240506329113924</v>
      </c>
      <c r="K46" s="253">
        <f>((X46)-$C$12)/'0_ENTREE LOGICIEL'!$F47</f>
        <v>1.8354430379746836</v>
      </c>
      <c r="L46" s="253">
        <f>((Y46)-$C$12)/'0_ENTREE LOGICIEL'!$F47</f>
        <v>5.2784810126582276</v>
      </c>
      <c r="M46" s="253">
        <f>((Z46)-$C$12)/'0_ENTREE LOGICIEL'!$F47</f>
        <v>10.924050632911392</v>
      </c>
      <c r="N46" s="254">
        <f>((AA46)-$C$12)/'0_ENTREE LOGICIEL'!$F47</f>
        <v>18.949367088607595</v>
      </c>
      <c r="P46" s="335"/>
      <c r="Q46" s="336"/>
      <c r="R46" s="336">
        <v>802</v>
      </c>
      <c r="S46" s="336">
        <v>527</v>
      </c>
      <c r="T46" s="336">
        <v>193</v>
      </c>
      <c r="U46" s="336">
        <v>146</v>
      </c>
      <c r="V46" s="336">
        <v>131</v>
      </c>
      <c r="W46" s="336">
        <v>105</v>
      </c>
      <c r="X46" s="336">
        <v>152</v>
      </c>
      <c r="Y46" s="336">
        <v>424</v>
      </c>
      <c r="Z46" s="336">
        <v>870</v>
      </c>
      <c r="AA46" s="337">
        <v>1504</v>
      </c>
    </row>
    <row r="47" spans="1:27" x14ac:dyDescent="0.25">
      <c r="A47" s="313">
        <v>24</v>
      </c>
      <c r="B47" s="181" t="str">
        <f>'0_ENTREE LOGICIEL'!B48</f>
        <v>GE2.1 - 299 - T4 - 79m²</v>
      </c>
      <c r="C47" s="252">
        <f>((P47)-$C$12)/'0_ENTREE LOGICIEL'!$F48</f>
        <v>22.443037974683545</v>
      </c>
      <c r="D47" s="253">
        <f>((Q47)-$C$12)/'0_ENTREE LOGICIEL'!$F48</f>
        <v>28.759493670886076</v>
      </c>
      <c r="E47" s="253">
        <f>((R47)-$C$12)/'0_ENTREE LOGICIEL'!$F48</f>
        <v>12.354430379746836</v>
      </c>
      <c r="F47" s="253">
        <f>((S47)-$C$12)/'0_ENTREE LOGICIEL'!$F48</f>
        <v>7.0886075949367084</v>
      </c>
      <c r="G47" s="253">
        <f>((T47)-$C$12)/'0_ENTREE LOGICIEL'!$F48</f>
        <v>2.5443037974683542</v>
      </c>
      <c r="H47" s="253">
        <f>((U47)-$C$12)/'0_ENTREE LOGICIEL'!$F48</f>
        <v>1.8987341772151898</v>
      </c>
      <c r="I47" s="253">
        <f>((V47)-$C$12)/'0_ENTREE LOGICIEL'!$F48</f>
        <v>1.6835443037974684</v>
      </c>
      <c r="J47" s="253">
        <f>((W47)-$C$12)/'0_ENTREE LOGICIEL'!$F48</f>
        <v>1.3417721518987342</v>
      </c>
      <c r="K47" s="253">
        <f>((X47)-$C$12)/'0_ENTREE LOGICIEL'!$F48</f>
        <v>1.9746835443037976</v>
      </c>
      <c r="L47" s="253">
        <f>((Y47)-$C$12)/'0_ENTREE LOGICIEL'!$F48</f>
        <v>5.6835443037974684</v>
      </c>
      <c r="M47" s="253">
        <f>((Z47)-$C$12)/'0_ENTREE LOGICIEL'!$F48</f>
        <v>11.759493670886076</v>
      </c>
      <c r="N47" s="254">
        <f>((AA47)-$C$12)/'0_ENTREE LOGICIEL'!$F48</f>
        <v>20.379746835443036</v>
      </c>
      <c r="P47" s="335">
        <v>1780</v>
      </c>
      <c r="Q47" s="336">
        <v>2279</v>
      </c>
      <c r="R47" s="336">
        <v>983</v>
      </c>
      <c r="S47" s="336">
        <v>567</v>
      </c>
      <c r="T47" s="336">
        <v>208</v>
      </c>
      <c r="U47" s="336">
        <v>157</v>
      </c>
      <c r="V47" s="336">
        <v>140</v>
      </c>
      <c r="W47" s="336">
        <v>113</v>
      </c>
      <c r="X47" s="336">
        <v>163</v>
      </c>
      <c r="Y47" s="336">
        <v>456</v>
      </c>
      <c r="Z47" s="336">
        <v>936</v>
      </c>
      <c r="AA47" s="337">
        <v>1617</v>
      </c>
    </row>
    <row r="48" spans="1:27" x14ac:dyDescent="0.25">
      <c r="A48" s="313">
        <v>25</v>
      </c>
      <c r="B48" s="181" t="str">
        <f>'0_ENTREE LOGICIEL'!B49</f>
        <v>GE2.1 - 300 - T5 - 93m²</v>
      </c>
      <c r="C48" s="252">
        <f>((P48)-$C$12)/'0_ENTREE LOGICIEL'!$F49</f>
        <v>22.440860215053764</v>
      </c>
      <c r="D48" s="253">
        <f>((Q48)-$C$12)/'0_ENTREE LOGICIEL'!$F49</f>
        <v>28.752688172043012</v>
      </c>
      <c r="E48" s="253">
        <f>((R48)-$C$12)/'0_ENTREE LOGICIEL'!$F49</f>
        <v>12.35483870967742</v>
      </c>
      <c r="F48" s="253">
        <f>((S48)-$C$12)/'0_ENTREE LOGICIEL'!$F49</f>
        <v>8.4946236559139781</v>
      </c>
      <c r="G48" s="253">
        <f>((T48)-$C$12)/'0_ENTREE LOGICIEL'!$F49</f>
        <v>3.064516129032258</v>
      </c>
      <c r="H48" s="253">
        <f>((U48)-$C$12)/'0_ENTREE LOGICIEL'!$F49</f>
        <v>2.2903225806451615</v>
      </c>
      <c r="I48" s="253">
        <f>((V48)-$C$12)/'0_ENTREE LOGICIEL'!$F49</f>
        <v>2.043010752688172</v>
      </c>
      <c r="J48" s="253">
        <f>((W48)-$C$12)/'0_ENTREE LOGICIEL'!$F49</f>
        <v>1.6236559139784945</v>
      </c>
      <c r="K48" s="253">
        <f>((X48)-$C$12)/'0_ENTREE LOGICIEL'!$F49</f>
        <v>2.3870967741935485</v>
      </c>
      <c r="L48" s="253">
        <f>((Y48)-$C$12)/'0_ENTREE LOGICIEL'!$F49</f>
        <v>6.817204301075269</v>
      </c>
      <c r="M48" s="253">
        <f>((Z48)-$C$12)/'0_ENTREE LOGICIEL'!$F49</f>
        <v>14.075268817204302</v>
      </c>
      <c r="N48" s="254">
        <f>((AA48)-$C$12)/'0_ENTREE LOGICIEL'!$F49</f>
        <v>24.376344086021504</v>
      </c>
      <c r="P48" s="335">
        <v>2094</v>
      </c>
      <c r="Q48" s="336">
        <v>2681</v>
      </c>
      <c r="R48" s="336">
        <v>1156</v>
      </c>
      <c r="S48" s="336">
        <v>797</v>
      </c>
      <c r="T48" s="336">
        <v>292</v>
      </c>
      <c r="U48" s="336">
        <v>220</v>
      </c>
      <c r="V48" s="336">
        <v>197</v>
      </c>
      <c r="W48" s="336">
        <v>158</v>
      </c>
      <c r="X48" s="336">
        <v>229</v>
      </c>
      <c r="Y48" s="336">
        <v>641</v>
      </c>
      <c r="Z48" s="336">
        <v>1316</v>
      </c>
      <c r="AA48" s="337">
        <v>2274</v>
      </c>
    </row>
    <row r="49" spans="1:27" x14ac:dyDescent="0.25">
      <c r="A49" s="313">
        <v>26</v>
      </c>
      <c r="B49" s="181" t="str">
        <f>'0_ENTREE LOGICIEL'!B50</f>
        <v>GE2.1 - 302 - T5 - 93m²</v>
      </c>
      <c r="C49" s="252">
        <f>((P49)-$C$12)/'0_ENTREE LOGICIEL'!$F50</f>
        <v>11.956989247311828</v>
      </c>
      <c r="D49" s="253">
        <f>((Q49)-$C$12)/'0_ENTREE LOGICIEL'!$F50</f>
        <v>15.333333333333334</v>
      </c>
      <c r="E49" s="253">
        <f>((R49)-$C$12)/'0_ENTREE LOGICIEL'!$F50</f>
        <v>6.56989247311828</v>
      </c>
      <c r="F49" s="253">
        <f>((S49)-$C$12)/'0_ENTREE LOGICIEL'!$F50</f>
        <v>4.290322580645161</v>
      </c>
      <c r="G49" s="253">
        <f>((T49)-$C$12)/'0_ENTREE LOGICIEL'!$F50</f>
        <v>1.5268817204301075</v>
      </c>
      <c r="H49" s="253">
        <f>((U49)-$C$12)/'0_ENTREE LOGICIEL'!$F50</f>
        <v>1.1290322580645162</v>
      </c>
      <c r="I49" s="253">
        <f>((V49)-$C$12)/'0_ENTREE LOGICIEL'!$F50</f>
        <v>1.010752688172043</v>
      </c>
      <c r="J49" s="253">
        <f>((W49)-$C$12)/'0_ENTREE LOGICIEL'!$F50</f>
        <v>0.79569892473118276</v>
      </c>
      <c r="K49" s="253">
        <f>((X49)-$C$12)/'0_ENTREE LOGICIEL'!$F50</f>
        <v>1.1827956989247312</v>
      </c>
      <c r="L49" s="253">
        <f>((Y49)-$C$12)/'0_ENTREE LOGICIEL'!$F50</f>
        <v>3.4408602150537635</v>
      </c>
      <c r="M49" s="253">
        <f>((Z49)-$C$12)/'0_ENTREE LOGICIEL'!$F50</f>
        <v>7.139784946236559</v>
      </c>
      <c r="N49" s="254">
        <f>((AA49)-$C$12)/'0_ENTREE LOGICIEL'!$F50</f>
        <v>12.387096774193548</v>
      </c>
      <c r="P49" s="335">
        <v>1119</v>
      </c>
      <c r="Q49" s="336">
        <v>1433</v>
      </c>
      <c r="R49" s="336">
        <v>618</v>
      </c>
      <c r="S49" s="336">
        <v>406</v>
      </c>
      <c r="T49" s="336">
        <v>149</v>
      </c>
      <c r="U49" s="336">
        <v>112</v>
      </c>
      <c r="V49" s="336">
        <v>101</v>
      </c>
      <c r="W49" s="336">
        <v>81</v>
      </c>
      <c r="X49" s="336">
        <v>117</v>
      </c>
      <c r="Y49" s="336">
        <v>327</v>
      </c>
      <c r="Z49" s="336">
        <v>671</v>
      </c>
      <c r="AA49" s="337">
        <v>1159</v>
      </c>
    </row>
    <row r="50" spans="1:27" x14ac:dyDescent="0.25">
      <c r="A50" s="313">
        <v>27</v>
      </c>
      <c r="B50" s="181" t="str">
        <f>'0_ENTREE LOGICIEL'!B51</f>
        <v>GE2.1 - 312 - T4 - 75m²</v>
      </c>
      <c r="C50" s="252">
        <f>((P50)-$C$12)/'0_ENTREE LOGICIEL'!$F51</f>
        <v>-9.3333333333333338E-2</v>
      </c>
      <c r="D50" s="253">
        <f>((Q50)-$C$12)/'0_ENTREE LOGICIEL'!$F51</f>
        <v>-9.3333333333333338E-2</v>
      </c>
      <c r="E50" s="253">
        <f>((R50)-$C$12)/'0_ENTREE LOGICIEL'!$F51</f>
        <v>-9.3333333333333338E-2</v>
      </c>
      <c r="F50" s="253">
        <f>((S50)-$C$12)/'0_ENTREE LOGICIEL'!$F51</f>
        <v>-9.3333333333333338E-2</v>
      </c>
      <c r="G50" s="253">
        <f>((T50)-$C$12)/'0_ENTREE LOGICIEL'!$F51</f>
        <v>-9.3333333333333338E-2</v>
      </c>
      <c r="H50" s="253">
        <f>((U50)-$C$12)/'0_ENTREE LOGICIEL'!$F51</f>
        <v>-9.3333333333333338E-2</v>
      </c>
      <c r="I50" s="253">
        <f>((V50)-$C$12)/'0_ENTREE LOGICIEL'!$F51</f>
        <v>-9.3333333333333338E-2</v>
      </c>
      <c r="J50" s="253">
        <f>((W50)-$C$12)/'0_ENTREE LOGICIEL'!$F51</f>
        <v>-9.3333333333333338E-2</v>
      </c>
      <c r="K50" s="253">
        <f>((X50)-$C$12)/'0_ENTREE LOGICIEL'!$F51</f>
        <v>-9.3333333333333338E-2</v>
      </c>
      <c r="L50" s="253">
        <f>((Y50)-$C$12)/'0_ENTREE LOGICIEL'!$F51</f>
        <v>-9.3333333333333338E-2</v>
      </c>
      <c r="M50" s="253">
        <f>((Z50)-$C$12)/'0_ENTREE LOGICIEL'!$F51</f>
        <v>-9.3333333333333338E-2</v>
      </c>
      <c r="N50" s="254">
        <f>((AA50)-$C$12)/'0_ENTREE LOGICIEL'!$F51</f>
        <v>-9.3333333333333338E-2</v>
      </c>
      <c r="P50" s="335"/>
      <c r="Q50" s="336"/>
      <c r="R50" s="336"/>
      <c r="S50" s="336"/>
      <c r="T50" s="336"/>
      <c r="U50" s="336"/>
      <c r="V50" s="336"/>
      <c r="W50" s="336"/>
      <c r="X50" s="336"/>
      <c r="Y50" s="336"/>
      <c r="Z50" s="336"/>
      <c r="AA50" s="337"/>
    </row>
    <row r="51" spans="1:27" x14ac:dyDescent="0.25">
      <c r="A51" s="313">
        <v>28</v>
      </c>
      <c r="B51" s="180"/>
      <c r="C51" s="255"/>
      <c r="D51" s="256"/>
      <c r="E51" s="256"/>
      <c r="F51" s="256"/>
      <c r="G51" s="256"/>
      <c r="H51" s="256"/>
      <c r="I51" s="256"/>
      <c r="J51" s="256"/>
      <c r="K51" s="256"/>
      <c r="L51" s="256"/>
      <c r="M51" s="256"/>
      <c r="N51" s="257"/>
      <c r="P51" s="182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</row>
    <row r="52" spans="1:27" x14ac:dyDescent="0.25">
      <c r="A52" s="313">
        <v>29</v>
      </c>
      <c r="B52" s="181" t="str">
        <f>'0_ENTREE LOGICIEL'!B53</f>
        <v>GE2.2 - 271 - T3 - 74m²</v>
      </c>
      <c r="C52" s="252">
        <f>((P52)-$C$12)/'0_ENTREE LOGICIEL'!$F53</f>
        <v>21.45945945945946</v>
      </c>
      <c r="D52" s="253">
        <f>((Q52)-$C$12)/'0_ENTREE LOGICIEL'!$F53</f>
        <v>27.5</v>
      </c>
      <c r="E52" s="253">
        <f>((R52)-$C$12)/'0_ENTREE LOGICIEL'!$F53</f>
        <v>11.810810810810811</v>
      </c>
      <c r="F52" s="253">
        <f>((S52)-$C$12)/'0_ENTREE LOGICIEL'!$F53</f>
        <v>6.9594594594594597</v>
      </c>
      <c r="G52" s="253">
        <f>((T52)-$C$12)/'0_ENTREE LOGICIEL'!$F53</f>
        <v>2.4864864864864864</v>
      </c>
      <c r="H52" s="253">
        <f>((U52)-$C$12)/'0_ENTREE LOGICIEL'!$F53</f>
        <v>1.8513513513513513</v>
      </c>
      <c r="I52" s="253">
        <f>((V52)-$C$12)/'0_ENTREE LOGICIEL'!$F53</f>
        <v>1.6486486486486487</v>
      </c>
      <c r="J52" s="253">
        <f>((W52)-$C$12)/'0_ENTREE LOGICIEL'!$F53</f>
        <v>1.3108108108108107</v>
      </c>
      <c r="K52" s="253">
        <f>((X52)-$C$12)/'0_ENTREE LOGICIEL'!$F53</f>
        <v>1.9324324324324325</v>
      </c>
      <c r="L52" s="253">
        <f>((Y52)-$C$12)/'0_ENTREE LOGICIEL'!$F53</f>
        <v>5.5810810810810807</v>
      </c>
      <c r="M52" s="253">
        <f>((Z52)-$C$12)/'0_ENTREE LOGICIEL'!$F53</f>
        <v>11.554054054054054</v>
      </c>
      <c r="N52" s="254">
        <f>((AA52)-$C$12)/'0_ENTREE LOGICIEL'!$F53</f>
        <v>20.027027027027028</v>
      </c>
      <c r="P52" s="332">
        <v>1595</v>
      </c>
      <c r="Q52" s="333">
        <v>2042</v>
      </c>
      <c r="R52" s="333">
        <v>881</v>
      </c>
      <c r="S52" s="333">
        <v>522</v>
      </c>
      <c r="T52" s="333">
        <v>191</v>
      </c>
      <c r="U52" s="333">
        <v>144</v>
      </c>
      <c r="V52" s="333">
        <v>129</v>
      </c>
      <c r="W52" s="333">
        <v>104</v>
      </c>
      <c r="X52" s="333">
        <v>150</v>
      </c>
      <c r="Y52" s="333">
        <v>420</v>
      </c>
      <c r="Z52" s="333">
        <v>862</v>
      </c>
      <c r="AA52" s="334">
        <v>1489</v>
      </c>
    </row>
    <row r="53" spans="1:27" x14ac:dyDescent="0.25">
      <c r="A53" s="313">
        <v>30</v>
      </c>
      <c r="B53" s="181" t="str">
        <f>'0_ENTREE LOGICIEL'!B54</f>
        <v>GE2.2 - 272 - T3 - 74m²</v>
      </c>
      <c r="C53" s="252">
        <f>((P53)-$C$12)/'0_ENTREE LOGICIEL'!$F54</f>
        <v>32.175675675675677</v>
      </c>
      <c r="D53" s="253">
        <f>((Q53)-$C$12)/'0_ENTREE LOGICIEL'!$F54</f>
        <v>41.216216216216218</v>
      </c>
      <c r="E53" s="253">
        <f>((R53)-$C$12)/'0_ENTREE LOGICIEL'!$F54</f>
        <v>17.72972972972973</v>
      </c>
      <c r="F53" s="253">
        <f>((S53)-$C$12)/'0_ENTREE LOGICIEL'!$F54</f>
        <v>10.77027027027027</v>
      </c>
      <c r="G53" s="253">
        <f>((T53)-$C$12)/'0_ENTREE LOGICIEL'!$F54</f>
        <v>3.8783783783783785</v>
      </c>
      <c r="H53" s="253">
        <f>((U53)-$C$12)/'0_ENTREE LOGICIEL'!$F54</f>
        <v>2.9054054054054053</v>
      </c>
      <c r="I53" s="253">
        <f>((V53)-$C$12)/'0_ENTREE LOGICIEL'!$F54</f>
        <v>2.5945945945945947</v>
      </c>
      <c r="J53" s="253">
        <f>((W53)-$C$12)/'0_ENTREE LOGICIEL'!$F54</f>
        <v>2.0675675675675675</v>
      </c>
      <c r="K53" s="253">
        <f>((X53)-$C$12)/'0_ENTREE LOGICIEL'!$F54</f>
        <v>-9.45945945945946E-2</v>
      </c>
      <c r="L53" s="253">
        <f>((Y53)-$C$12)/'0_ENTREE LOGICIEL'!$F54</f>
        <v>-9.45945945945946E-2</v>
      </c>
      <c r="M53" s="253">
        <f>((Z53)-$C$12)/'0_ENTREE LOGICIEL'!$F54</f>
        <v>-9.45945945945946E-2</v>
      </c>
      <c r="N53" s="254">
        <f>((AA53)-$C$12)/'0_ENTREE LOGICIEL'!$F54</f>
        <v>13.621621621621621</v>
      </c>
      <c r="P53" s="335">
        <v>2388</v>
      </c>
      <c r="Q53" s="336">
        <v>3057</v>
      </c>
      <c r="R53" s="336">
        <v>1319</v>
      </c>
      <c r="S53" s="336">
        <v>804</v>
      </c>
      <c r="T53" s="336">
        <v>294</v>
      </c>
      <c r="U53" s="336">
        <v>222</v>
      </c>
      <c r="V53" s="336">
        <v>199</v>
      </c>
      <c r="W53" s="336">
        <v>160</v>
      </c>
      <c r="X53" s="336"/>
      <c r="Y53" s="336"/>
      <c r="Z53" s="336"/>
      <c r="AA53" s="337">
        <v>1015</v>
      </c>
    </row>
    <row r="54" spans="1:27" x14ac:dyDescent="0.25">
      <c r="A54" s="313">
        <v>31</v>
      </c>
      <c r="B54" s="181" t="str">
        <f>'0_ENTREE LOGICIEL'!B55</f>
        <v>GE2.2 - 273 - T3 - 74m²</v>
      </c>
      <c r="C54" s="252">
        <f>((P54)-$C$12)/'0_ENTREE LOGICIEL'!$F55</f>
        <v>20.662162162162161</v>
      </c>
      <c r="D54" s="253">
        <f>((Q54)-$C$12)/'0_ENTREE LOGICIEL'!$F55</f>
        <v>26.472972972972972</v>
      </c>
      <c r="E54" s="253">
        <f>((R54)-$C$12)/'0_ENTREE LOGICIEL'!$F55</f>
        <v>11.364864864864865</v>
      </c>
      <c r="F54" s="253">
        <f>((S54)-$C$12)/'0_ENTREE LOGICIEL'!$F55</f>
        <v>6.4864864864864868</v>
      </c>
      <c r="G54" s="253">
        <f>((T54)-$C$12)/'0_ENTREE LOGICIEL'!$F55</f>
        <v>2.310810810810811</v>
      </c>
      <c r="H54" s="253">
        <f>((U54)-$C$12)/'0_ENTREE LOGICIEL'!$F55</f>
        <v>1.7297297297297298</v>
      </c>
      <c r="I54" s="253">
        <f>((V54)-$C$12)/'0_ENTREE LOGICIEL'!$F55</f>
        <v>1.5405405405405406</v>
      </c>
      <c r="J54" s="253">
        <f>((W54)-$C$12)/'0_ENTREE LOGICIEL'!$F55</f>
        <v>1.2162162162162162</v>
      </c>
      <c r="K54" s="253">
        <f>((X54)-$C$12)/'0_ENTREE LOGICIEL'!$F55</f>
        <v>1.7972972972972974</v>
      </c>
      <c r="L54" s="253">
        <f>((Y54)-$C$12)/'0_ENTREE LOGICIEL'!$F55</f>
        <v>5.2027027027027026</v>
      </c>
      <c r="M54" s="253">
        <f>((Z54)-$C$12)/'0_ENTREE LOGICIEL'!$F55</f>
        <v>10.783783783783784</v>
      </c>
      <c r="N54" s="254">
        <f>((AA54)-$C$12)/'0_ENTREE LOGICIEL'!$F55</f>
        <v>18.689189189189189</v>
      </c>
      <c r="P54" s="335">
        <v>1536</v>
      </c>
      <c r="Q54" s="336">
        <v>1966</v>
      </c>
      <c r="R54" s="336">
        <v>848</v>
      </c>
      <c r="S54" s="336">
        <v>487</v>
      </c>
      <c r="T54" s="336">
        <v>178</v>
      </c>
      <c r="U54" s="336">
        <v>135</v>
      </c>
      <c r="V54" s="336">
        <v>121</v>
      </c>
      <c r="W54" s="336">
        <v>97</v>
      </c>
      <c r="X54" s="336">
        <v>140</v>
      </c>
      <c r="Y54" s="336">
        <v>392</v>
      </c>
      <c r="Z54" s="336">
        <v>805</v>
      </c>
      <c r="AA54" s="337">
        <v>1390</v>
      </c>
    </row>
    <row r="55" spans="1:27" x14ac:dyDescent="0.25">
      <c r="A55" s="313">
        <v>32</v>
      </c>
      <c r="B55" s="181" t="str">
        <f>'0_ENTREE LOGICIEL'!B56</f>
        <v>GE2.2 - 276 - T4 - 83m²</v>
      </c>
      <c r="C55" s="252">
        <f>((P55)-$C$12)/'0_ENTREE LOGICIEL'!$F56</f>
        <v>-8.4337349397590355E-2</v>
      </c>
      <c r="D55" s="253">
        <f>((Q55)-$C$12)/'0_ENTREE LOGICIEL'!$F56</f>
        <v>-8.4337349397590355E-2</v>
      </c>
      <c r="E55" s="253">
        <f>((R55)-$C$12)/'0_ENTREE LOGICIEL'!$F56</f>
        <v>-8.4337349397590355E-2</v>
      </c>
      <c r="F55" s="253">
        <f>((S55)-$C$12)/'0_ENTREE LOGICIEL'!$F56</f>
        <v>3.8313253012048194</v>
      </c>
      <c r="G55" s="253">
        <f>((T55)-$C$12)/'0_ENTREE LOGICIEL'!$F56</f>
        <v>6.1927710843373491</v>
      </c>
      <c r="H55" s="253">
        <f>((U55)-$C$12)/'0_ENTREE LOGICIEL'!$F56</f>
        <v>2.072289156626506</v>
      </c>
      <c r="I55" s="253">
        <f>((V55)-$C$12)/'0_ENTREE LOGICIEL'!$F56</f>
        <v>2.0481927710843375</v>
      </c>
      <c r="J55" s="253">
        <f>((W55)-$C$12)/'0_ENTREE LOGICIEL'!$F56</f>
        <v>1.6024096385542168</v>
      </c>
      <c r="K55" s="253">
        <f>((X55)-$C$12)/'0_ENTREE LOGICIEL'!$F56</f>
        <v>2.8795180722891565</v>
      </c>
      <c r="L55" s="253">
        <f>((Y55)-$C$12)/'0_ENTREE LOGICIEL'!$F56</f>
        <v>3.7831325301204819</v>
      </c>
      <c r="M55" s="253">
        <f>((Z55)-$C$12)/'0_ENTREE LOGICIEL'!$F56</f>
        <v>4.3493975903614457</v>
      </c>
      <c r="N55" s="254">
        <f>((AA55)-$C$12)/'0_ENTREE LOGICIEL'!$F56</f>
        <v>5.7228915662650603</v>
      </c>
      <c r="P55" s="335"/>
      <c r="Q55" s="336"/>
      <c r="R55" s="336"/>
      <c r="S55" s="336">
        <v>325</v>
      </c>
      <c r="T55" s="336">
        <v>521</v>
      </c>
      <c r="U55" s="336">
        <v>179</v>
      </c>
      <c r="V55" s="336">
        <v>177</v>
      </c>
      <c r="W55" s="336">
        <v>140</v>
      </c>
      <c r="X55" s="336">
        <v>246</v>
      </c>
      <c r="Y55" s="336">
        <v>321</v>
      </c>
      <c r="Z55" s="336">
        <v>368</v>
      </c>
      <c r="AA55" s="337">
        <v>482</v>
      </c>
    </row>
    <row r="56" spans="1:27" x14ac:dyDescent="0.25">
      <c r="A56" s="313">
        <v>33</v>
      </c>
      <c r="B56" s="181" t="str">
        <f>'0_ENTREE LOGICIEL'!B57</f>
        <v>GE2.2 - 279 - T3 - 70m²</v>
      </c>
      <c r="C56" s="252">
        <f>((P56)-$C$12)/'0_ENTREE LOGICIEL'!$F57</f>
        <v>31.457142857142856</v>
      </c>
      <c r="D56" s="253">
        <f>((Q56)-$C$12)/'0_ENTREE LOGICIEL'!$F57</f>
        <v>40.299999999999997</v>
      </c>
      <c r="E56" s="253">
        <f>((R56)-$C$12)/'0_ENTREE LOGICIEL'!$F57</f>
        <v>17.328571428571429</v>
      </c>
      <c r="F56" s="253">
        <f>((S56)-$C$12)/'0_ENTREE LOGICIEL'!$F57</f>
        <v>8.3714285714285719</v>
      </c>
      <c r="G56" s="253">
        <f>((T56)-$C$12)/'0_ENTREE LOGICIEL'!$F57</f>
        <v>3</v>
      </c>
      <c r="H56" s="253">
        <f>((U56)-$C$12)/'0_ENTREE LOGICIEL'!$F57</f>
        <v>2.2428571428571429</v>
      </c>
      <c r="I56" s="253">
        <f>((V56)-$C$12)/'0_ENTREE LOGICIEL'!$F57</f>
        <v>2</v>
      </c>
      <c r="J56" s="253">
        <f>((W56)-$C$12)/'0_ENTREE LOGICIEL'!$F57</f>
        <v>1.5857142857142856</v>
      </c>
      <c r="K56" s="253">
        <f>((X56)-$C$12)/'0_ENTREE LOGICIEL'!$F57</f>
        <v>2.342857142857143</v>
      </c>
      <c r="L56" s="253">
        <f>((Y56)-$C$12)/'0_ENTREE LOGICIEL'!$F57</f>
        <v>6.7142857142857144</v>
      </c>
      <c r="M56" s="253">
        <f>((Z56)-$C$12)/'0_ENTREE LOGICIEL'!$F57</f>
        <v>13.9</v>
      </c>
      <c r="N56" s="254">
        <f>((AA56)-$C$12)/'0_ENTREE LOGICIEL'!$F57</f>
        <v>24.085714285714285</v>
      </c>
      <c r="P56" s="335">
        <v>2209</v>
      </c>
      <c r="Q56" s="336">
        <v>2828</v>
      </c>
      <c r="R56" s="336">
        <v>1220</v>
      </c>
      <c r="S56" s="336">
        <v>593</v>
      </c>
      <c r="T56" s="336">
        <v>217</v>
      </c>
      <c r="U56" s="336">
        <v>164</v>
      </c>
      <c r="V56" s="336">
        <v>147</v>
      </c>
      <c r="W56" s="336">
        <v>118</v>
      </c>
      <c r="X56" s="336">
        <v>171</v>
      </c>
      <c r="Y56" s="336">
        <v>477</v>
      </c>
      <c r="Z56" s="336">
        <v>980</v>
      </c>
      <c r="AA56" s="337">
        <v>1693</v>
      </c>
    </row>
    <row r="57" spans="1:27" x14ac:dyDescent="0.25">
      <c r="A57" s="313">
        <v>34</v>
      </c>
      <c r="B57" s="181" t="str">
        <f>'0_ENTREE LOGICIEL'!B58</f>
        <v>GE2.2 - 288 - T3 - 68m²</v>
      </c>
      <c r="C57" s="252">
        <f>((P57)-$C$12)/'0_ENTREE LOGICIEL'!$F58</f>
        <v>16.176470588235293</v>
      </c>
      <c r="D57" s="253">
        <f>((Q57)-$C$12)/'0_ENTREE LOGICIEL'!$F58</f>
        <v>20.735294117647058</v>
      </c>
      <c r="E57" s="253">
        <f>((R57)-$C$12)/'0_ENTREE LOGICIEL'!$F58</f>
        <v>8.882352941176471</v>
      </c>
      <c r="F57" s="253">
        <f>((S57)-$C$12)/'0_ENTREE LOGICIEL'!$F58</f>
        <v>5.8088235294117645</v>
      </c>
      <c r="G57" s="253">
        <f>((T57)-$C$12)/'0_ENTREE LOGICIEL'!$F58</f>
        <v>2.0588235294117645</v>
      </c>
      <c r="H57" s="253">
        <f>((U57)-$C$12)/'0_ENTREE LOGICIEL'!$F58</f>
        <v>1.5294117647058822</v>
      </c>
      <c r="I57" s="253">
        <f>((V57)-$C$12)/'0_ENTREE LOGICIEL'!$F58</f>
        <v>1.3676470588235294</v>
      </c>
      <c r="J57" s="253">
        <f>((W57)-$C$12)/'0_ENTREE LOGICIEL'!$F58</f>
        <v>1.0735294117647058</v>
      </c>
      <c r="K57" s="253">
        <f>((X57)-$C$12)/'0_ENTREE LOGICIEL'!$F58</f>
        <v>1.6029411764705883</v>
      </c>
      <c r="L57" s="253">
        <f>((Y57)-$C$12)/'0_ENTREE LOGICIEL'!$F58</f>
        <v>4.6470588235294121</v>
      </c>
      <c r="M57" s="253">
        <f>((Z57)-$C$12)/'0_ENTREE LOGICIEL'!$F58</f>
        <v>28.132352941176471</v>
      </c>
      <c r="N57" s="254">
        <f>((AA57)-$C$12)/'0_ENTREE LOGICIEL'!$F58</f>
        <v>48.661764705882355</v>
      </c>
      <c r="P57" s="335">
        <v>1107</v>
      </c>
      <c r="Q57" s="336">
        <v>1417</v>
      </c>
      <c r="R57" s="336">
        <v>611</v>
      </c>
      <c r="S57" s="336">
        <v>402</v>
      </c>
      <c r="T57" s="336">
        <v>147</v>
      </c>
      <c r="U57" s="336">
        <v>111</v>
      </c>
      <c r="V57" s="336">
        <v>100</v>
      </c>
      <c r="W57" s="336">
        <v>80</v>
      </c>
      <c r="X57" s="336">
        <v>116</v>
      </c>
      <c r="Y57" s="336">
        <v>323</v>
      </c>
      <c r="Z57" s="336">
        <v>1920</v>
      </c>
      <c r="AA57" s="337">
        <v>3316</v>
      </c>
    </row>
    <row r="58" spans="1:27" x14ac:dyDescent="0.25">
      <c r="A58" s="313">
        <v>35</v>
      </c>
      <c r="B58" s="181" t="str">
        <f>'0_ENTREE LOGICIEL'!B59</f>
        <v>GE2.2 - 291 - T3 - 62m²</v>
      </c>
      <c r="C58" s="252">
        <f>((P58)-$C$12)/'0_ENTREE LOGICIEL'!$F59</f>
        <v>60.741935483870968</v>
      </c>
      <c r="D58" s="253">
        <f>((Q58)-$C$12)/'0_ENTREE LOGICIEL'!$F59</f>
        <v>77.790322580645167</v>
      </c>
      <c r="E58" s="253">
        <f>((R58)-$C$12)/'0_ENTREE LOGICIEL'!$F59</f>
        <v>33.483870967741936</v>
      </c>
      <c r="F58" s="253">
        <f>((S58)-$C$12)/'0_ENTREE LOGICIEL'!$F59</f>
        <v>24.806451612903224</v>
      </c>
      <c r="G58" s="253">
        <f>((T58)-$C$12)/'0_ENTREE LOGICIEL'!$F59</f>
        <v>9.0161290322580641</v>
      </c>
      <c r="H58" s="253">
        <f>((U58)-$C$12)/'0_ENTREE LOGICIEL'!$F59</f>
        <v>6.774193548387097</v>
      </c>
      <c r="I58" s="253">
        <f>((V58)-$C$12)/'0_ENTREE LOGICIEL'!$F59</f>
        <v>6.064516129032258</v>
      </c>
      <c r="J58" s="253">
        <f>((W58)-$C$12)/'0_ENTREE LOGICIEL'!$F59</f>
        <v>4.838709677419355</v>
      </c>
      <c r="K58" s="253">
        <f>((X58)-$C$12)/'0_ENTREE LOGICIEL'!$F59</f>
        <v>7.064516129032258</v>
      </c>
      <c r="L58" s="253">
        <f>((Y58)-$C$12)/'0_ENTREE LOGICIEL'!$F59</f>
        <v>19.951612903225808</v>
      </c>
      <c r="M58" s="253">
        <f>((Z58)-$C$12)/'0_ENTREE LOGICIEL'!$F59</f>
        <v>41.064516129032256</v>
      </c>
      <c r="N58" s="254">
        <f>((AA58)-$C$12)/'0_ENTREE LOGICIEL'!$F59</f>
        <v>71.016129032258064</v>
      </c>
      <c r="P58" s="335">
        <v>3773</v>
      </c>
      <c r="Q58" s="336">
        <v>4830</v>
      </c>
      <c r="R58" s="336">
        <v>2083</v>
      </c>
      <c r="S58" s="336">
        <v>1545</v>
      </c>
      <c r="T58" s="336">
        <v>566</v>
      </c>
      <c r="U58" s="336">
        <v>427</v>
      </c>
      <c r="V58" s="336">
        <v>383</v>
      </c>
      <c r="W58" s="336">
        <v>307</v>
      </c>
      <c r="X58" s="336">
        <v>445</v>
      </c>
      <c r="Y58" s="336">
        <v>1244</v>
      </c>
      <c r="Z58" s="336">
        <v>2553</v>
      </c>
      <c r="AA58" s="337">
        <v>4410</v>
      </c>
    </row>
    <row r="59" spans="1:27" x14ac:dyDescent="0.25">
      <c r="A59" s="313">
        <v>36</v>
      </c>
      <c r="B59" s="181" t="str">
        <f>'0_ENTREE LOGICIEL'!B60</f>
        <v>GE2.2 - 294 - T3 - 63m²</v>
      </c>
      <c r="C59" s="252">
        <f>((P59)-$C$12)/'0_ENTREE LOGICIEL'!$F60</f>
        <v>-0.1111111111111111</v>
      </c>
      <c r="D59" s="253">
        <f>((Q59)-$C$12)/'0_ENTREE LOGICIEL'!$F60</f>
        <v>-0.1111111111111111</v>
      </c>
      <c r="E59" s="253">
        <f>((R59)-$C$12)/'0_ENTREE LOGICIEL'!$F60</f>
        <v>-0.1111111111111111</v>
      </c>
      <c r="F59" s="253">
        <f>((S59)-$C$12)/'0_ENTREE LOGICIEL'!$F60</f>
        <v>9.0317460317460316</v>
      </c>
      <c r="G59" s="253">
        <f>((T59)-$C$12)/'0_ENTREE LOGICIEL'!$F60</f>
        <v>3.2380952380952381</v>
      </c>
      <c r="H59" s="253">
        <f>((U59)-$C$12)/'0_ENTREE LOGICIEL'!$F60</f>
        <v>2.4126984126984126</v>
      </c>
      <c r="I59" s="253">
        <f>((V59)-$C$12)/'0_ENTREE LOGICIEL'!$F60</f>
        <v>2.1587301587301586</v>
      </c>
      <c r="J59" s="253">
        <f>((W59)-$C$12)/'0_ENTREE LOGICIEL'!$F60</f>
        <v>1.6984126984126984</v>
      </c>
      <c r="K59" s="253">
        <f>((X59)-$C$12)/'0_ENTREE LOGICIEL'!$F60</f>
        <v>2.5238095238095237</v>
      </c>
      <c r="L59" s="253">
        <f>((Y59)-$C$12)/'0_ENTREE LOGICIEL'!$F60</f>
        <v>7.2380952380952381</v>
      </c>
      <c r="M59" s="253">
        <f>((Z59)-$C$12)/'0_ENTREE LOGICIEL'!$F60</f>
        <v>14.984126984126984</v>
      </c>
      <c r="N59" s="254">
        <f>((AA59)-$C$12)/'0_ENTREE LOGICIEL'!$F60</f>
        <v>25.968253968253968</v>
      </c>
      <c r="P59" s="335"/>
      <c r="Q59" s="336"/>
      <c r="R59" s="336"/>
      <c r="S59" s="336">
        <v>576</v>
      </c>
      <c r="T59" s="336">
        <v>211</v>
      </c>
      <c r="U59" s="336">
        <v>159</v>
      </c>
      <c r="V59" s="336">
        <v>143</v>
      </c>
      <c r="W59" s="336">
        <v>114</v>
      </c>
      <c r="X59" s="336">
        <v>166</v>
      </c>
      <c r="Y59" s="336">
        <v>463</v>
      </c>
      <c r="Z59" s="336">
        <v>951</v>
      </c>
      <c r="AA59" s="337">
        <v>1643</v>
      </c>
    </row>
    <row r="60" spans="1:27" x14ac:dyDescent="0.25">
      <c r="A60" s="313">
        <v>37</v>
      </c>
      <c r="B60" s="181" t="str">
        <f>'0_ENTREE LOGICIEL'!B61</f>
        <v>GE2.2 - 298 - T5 - 93m²</v>
      </c>
      <c r="C60" s="252">
        <f>((P60)-$C$12)/'0_ENTREE LOGICIEL'!$F61</f>
        <v>31.752688172043012</v>
      </c>
      <c r="D60" s="253">
        <f>((Q60)-$C$12)/'0_ENTREE LOGICIEL'!$F61</f>
        <v>40.666666666666664</v>
      </c>
      <c r="E60" s="253">
        <f>((R60)-$C$12)/'0_ENTREE LOGICIEL'!$F61</f>
        <v>17.49462365591398</v>
      </c>
      <c r="F60" s="253">
        <f>((S60)-$C$12)/'0_ENTREE LOGICIEL'!$F61</f>
        <v>11.043010752688172</v>
      </c>
      <c r="G60" s="253">
        <f>((T60)-$C$12)/'0_ENTREE LOGICIEL'!$F61</f>
        <v>4</v>
      </c>
      <c r="H60" s="253">
        <f>((U60)-$C$12)/'0_ENTREE LOGICIEL'!$F61</f>
        <v>3</v>
      </c>
      <c r="I60" s="253">
        <f>((V60)-$C$12)/'0_ENTREE LOGICIEL'!$F61</f>
        <v>2.6774193548387095</v>
      </c>
      <c r="J60" s="253">
        <f>((W60)-$C$12)/'0_ENTREE LOGICIEL'!$F61</f>
        <v>2.129032258064516</v>
      </c>
      <c r="K60" s="253">
        <f>((X60)-$C$12)/'0_ENTREE LOGICIEL'!$F61</f>
        <v>3.129032258064516</v>
      </c>
      <c r="L60" s="253">
        <f>((Y60)-$C$12)/'0_ENTREE LOGICIEL'!$F61</f>
        <v>8.870967741935484</v>
      </c>
      <c r="M60" s="253">
        <f>((Z60)-$C$12)/'0_ENTREE LOGICIEL'!$F61</f>
        <v>18.301075268817204</v>
      </c>
      <c r="N60" s="254">
        <f>((AA60)-$C$12)/'0_ENTREE LOGICIEL'!$F61</f>
        <v>31.655913978494624</v>
      </c>
      <c r="P60" s="335">
        <v>2960</v>
      </c>
      <c r="Q60" s="336">
        <v>3789</v>
      </c>
      <c r="R60" s="336">
        <v>1634</v>
      </c>
      <c r="S60" s="336">
        <v>1034</v>
      </c>
      <c r="T60" s="336">
        <v>379</v>
      </c>
      <c r="U60" s="336">
        <v>286</v>
      </c>
      <c r="V60" s="336">
        <v>256</v>
      </c>
      <c r="W60" s="336">
        <v>205</v>
      </c>
      <c r="X60" s="336">
        <v>298</v>
      </c>
      <c r="Y60" s="336">
        <v>832</v>
      </c>
      <c r="Z60" s="336">
        <v>1709</v>
      </c>
      <c r="AA60" s="337">
        <v>2951</v>
      </c>
    </row>
    <row r="61" spans="1:27" x14ac:dyDescent="0.25">
      <c r="A61" s="313">
        <v>38</v>
      </c>
      <c r="B61" s="181" t="str">
        <f>'0_ENTREE LOGICIEL'!B62</f>
        <v>GE2.2 - 301 - T4 - 79m²</v>
      </c>
      <c r="C61" s="252">
        <f>((P61)-$C$12)/'0_ENTREE LOGICIEL'!$F62</f>
        <v>24.265822784810126</v>
      </c>
      <c r="D61" s="253">
        <f>((Q61)-$C$12)/'0_ENTREE LOGICIEL'!$F62</f>
        <v>31.101265822784811</v>
      </c>
      <c r="E61" s="253">
        <f>((R61)-$C$12)/'0_ENTREE LOGICIEL'!$F62</f>
        <v>13.367088607594937</v>
      </c>
      <c r="F61" s="253">
        <f>((S61)-$C$12)/'0_ENTREE LOGICIEL'!$F62</f>
        <v>8.0126582278481013</v>
      </c>
      <c r="G61" s="253">
        <f>((T61)-$C$12)/'0_ENTREE LOGICIEL'!$F62</f>
        <v>2.8860759493670884</v>
      </c>
      <c r="H61" s="253">
        <f>((U61)-$C$12)/'0_ENTREE LOGICIEL'!$F62</f>
        <v>2.1518987341772151</v>
      </c>
      <c r="I61" s="253">
        <f>((V61)-$C$12)/'0_ENTREE LOGICIEL'!$F62</f>
        <v>1.9240506329113924</v>
      </c>
      <c r="J61" s="253">
        <f>((W61)-$C$12)/'0_ENTREE LOGICIEL'!$F62</f>
        <v>1.518987341772152</v>
      </c>
      <c r="K61" s="253">
        <f>((X61)-$C$12)/'0_ENTREE LOGICIEL'!$F62</f>
        <v>2.240506329113924</v>
      </c>
      <c r="L61" s="253">
        <f>((Y61)-$C$12)/'0_ENTREE LOGICIEL'!$F62</f>
        <v>6.4303797468354427</v>
      </c>
      <c r="M61" s="253">
        <f>((Z61)-$C$12)/'0_ENTREE LOGICIEL'!$F62</f>
        <v>13.30379746835443</v>
      </c>
      <c r="N61" s="254">
        <f>((AA61)-$C$12)/'0_ENTREE LOGICIEL'!$F62</f>
        <v>23.037974683544302</v>
      </c>
      <c r="P61" s="335">
        <v>1924</v>
      </c>
      <c r="Q61" s="336">
        <v>2464</v>
      </c>
      <c r="R61" s="336">
        <v>1063</v>
      </c>
      <c r="S61" s="336">
        <v>640</v>
      </c>
      <c r="T61" s="336">
        <v>235</v>
      </c>
      <c r="U61" s="336">
        <v>177</v>
      </c>
      <c r="V61" s="336">
        <v>159</v>
      </c>
      <c r="W61" s="336">
        <v>127</v>
      </c>
      <c r="X61" s="336">
        <v>184</v>
      </c>
      <c r="Y61" s="336">
        <v>515</v>
      </c>
      <c r="Z61" s="336">
        <v>1058</v>
      </c>
      <c r="AA61" s="337">
        <v>1827</v>
      </c>
    </row>
    <row r="62" spans="1:27" x14ac:dyDescent="0.25">
      <c r="A62" s="313">
        <v>39</v>
      </c>
      <c r="B62" s="181" t="str">
        <f>'0_ENTREE LOGICIEL'!B63</f>
        <v>GE2.2 - 311 - T4 - 74m²</v>
      </c>
      <c r="C62" s="252">
        <f>((P62)-$C$12)/'0_ENTREE LOGICIEL'!$F63</f>
        <v>-9.45945945945946E-2</v>
      </c>
      <c r="D62" s="253">
        <f>((Q62)-$C$12)/'0_ENTREE LOGICIEL'!$F63</f>
        <v>-9.45945945945946E-2</v>
      </c>
      <c r="E62" s="253">
        <f>((R62)-$C$12)/'0_ENTREE LOGICIEL'!$F63</f>
        <v>-9.45945945945946E-2</v>
      </c>
      <c r="F62" s="253">
        <f>((S62)-$C$12)/'0_ENTREE LOGICIEL'!$F63</f>
        <v>-9.45945945945946E-2</v>
      </c>
      <c r="G62" s="253">
        <f>((T62)-$C$12)/'0_ENTREE LOGICIEL'!$F63</f>
        <v>-9.45945945945946E-2</v>
      </c>
      <c r="H62" s="253">
        <f>((U62)-$C$12)/'0_ENTREE LOGICIEL'!$F63</f>
        <v>-9.45945945945946E-2</v>
      </c>
      <c r="I62" s="253">
        <f>((V62)-$C$12)/'0_ENTREE LOGICIEL'!$F63</f>
        <v>-9.45945945945946E-2</v>
      </c>
      <c r="J62" s="253">
        <f>((W62)-$C$12)/'0_ENTREE LOGICIEL'!$F63</f>
        <v>-9.45945945945946E-2</v>
      </c>
      <c r="K62" s="253">
        <f>((X62)-$C$12)/'0_ENTREE LOGICIEL'!$F63</f>
        <v>-9.45945945945946E-2</v>
      </c>
      <c r="L62" s="253">
        <f>((Y62)-$C$12)/'0_ENTREE LOGICIEL'!$F63</f>
        <v>-9.45945945945946E-2</v>
      </c>
      <c r="M62" s="253">
        <f>((Z62)-$C$12)/'0_ENTREE LOGICIEL'!$F63</f>
        <v>-9.45945945945946E-2</v>
      </c>
      <c r="N62" s="254">
        <f>((AA62)-$C$12)/'0_ENTREE LOGICIEL'!$F63</f>
        <v>-9.45945945945946E-2</v>
      </c>
      <c r="P62" s="335"/>
      <c r="Q62" s="336"/>
      <c r="R62" s="336"/>
      <c r="S62" s="336"/>
      <c r="T62" s="336"/>
      <c r="U62" s="336"/>
      <c r="V62" s="336"/>
      <c r="W62" s="336"/>
      <c r="X62" s="336"/>
      <c r="Y62" s="336"/>
      <c r="Z62" s="336"/>
      <c r="AA62" s="337"/>
    </row>
    <row r="63" spans="1:27" x14ac:dyDescent="0.25">
      <c r="A63" s="313">
        <v>40</v>
      </c>
      <c r="B63" s="181" t="str">
        <f>'0_ENTREE LOGICIEL'!B64</f>
        <v>GE2.2 - 313 - T4 - 75m²</v>
      </c>
      <c r="C63" s="252">
        <f>((P63)-$C$12)/'0_ENTREE LOGICIEL'!$F64</f>
        <v>-9.3333333333333338E-2</v>
      </c>
      <c r="D63" s="253">
        <f>((Q63)-$C$12)/'0_ENTREE LOGICIEL'!$F64</f>
        <v>-9.3333333333333338E-2</v>
      </c>
      <c r="E63" s="253">
        <f>((R63)-$C$12)/'0_ENTREE LOGICIEL'!$F64</f>
        <v>-9.3333333333333338E-2</v>
      </c>
      <c r="F63" s="253">
        <f>((S63)-$C$12)/'0_ENTREE LOGICIEL'!$F64</f>
        <v>-9.3333333333333338E-2</v>
      </c>
      <c r="G63" s="253">
        <f>((T63)-$C$12)/'0_ENTREE LOGICIEL'!$F64</f>
        <v>-9.3333333333333338E-2</v>
      </c>
      <c r="H63" s="253">
        <f>((U63)-$C$12)/'0_ENTREE LOGICIEL'!$F64</f>
        <v>-9.3333333333333338E-2</v>
      </c>
      <c r="I63" s="253">
        <f>((V63)-$C$12)/'0_ENTREE LOGICIEL'!$F64</f>
        <v>-9.3333333333333338E-2</v>
      </c>
      <c r="J63" s="253">
        <f>((W63)-$C$12)/'0_ENTREE LOGICIEL'!$F64</f>
        <v>-9.3333333333333338E-2</v>
      </c>
      <c r="K63" s="253">
        <f>((X63)-$C$12)/'0_ENTREE LOGICIEL'!$F64</f>
        <v>-9.3333333333333338E-2</v>
      </c>
      <c r="L63" s="253">
        <f>((Y63)-$C$12)/'0_ENTREE LOGICIEL'!$F64</f>
        <v>-9.3333333333333338E-2</v>
      </c>
      <c r="M63" s="253">
        <f>((Z63)-$C$12)/'0_ENTREE LOGICIEL'!$F64</f>
        <v>-9.3333333333333338E-2</v>
      </c>
      <c r="N63" s="254">
        <f>((AA63)-$C$12)/'0_ENTREE LOGICIEL'!$F64</f>
        <v>-9.3333333333333338E-2</v>
      </c>
      <c r="P63" s="335"/>
      <c r="Q63" s="336"/>
      <c r="R63" s="336"/>
      <c r="S63" s="336"/>
      <c r="T63" s="336"/>
      <c r="U63" s="336"/>
      <c r="V63" s="336"/>
      <c r="W63" s="336"/>
      <c r="X63" s="336"/>
      <c r="Y63" s="336"/>
      <c r="Z63" s="336"/>
      <c r="AA63" s="337"/>
    </row>
    <row r="64" spans="1:27" x14ac:dyDescent="0.25">
      <c r="A64" s="313">
        <v>41</v>
      </c>
      <c r="B64" s="181" t="str">
        <f>'0_ENTREE LOGICIEL'!B65</f>
        <v>GE2.2 - 315 - T4 - 75m²</v>
      </c>
      <c r="C64" s="252">
        <f>((P64)-$C$12)/'0_ENTREE LOGICIEL'!$F65</f>
        <v>-9.3333333333333338E-2</v>
      </c>
      <c r="D64" s="253">
        <f>((Q64)-$C$12)/'0_ENTREE LOGICIEL'!$F65</f>
        <v>-9.3333333333333338E-2</v>
      </c>
      <c r="E64" s="253">
        <f>((R64)-$C$12)/'0_ENTREE LOGICIEL'!$F65</f>
        <v>-9.3333333333333338E-2</v>
      </c>
      <c r="F64" s="253">
        <f>((S64)-$C$12)/'0_ENTREE LOGICIEL'!$F65</f>
        <v>-9.3333333333333338E-2</v>
      </c>
      <c r="G64" s="253">
        <f>((T64)-$C$12)/'0_ENTREE LOGICIEL'!$F65</f>
        <v>-9.3333333333333338E-2</v>
      </c>
      <c r="H64" s="253">
        <f>((U64)-$C$12)/'0_ENTREE LOGICIEL'!$F65</f>
        <v>-9.3333333333333338E-2</v>
      </c>
      <c r="I64" s="253">
        <f>((V64)-$C$12)/'0_ENTREE LOGICIEL'!$F65</f>
        <v>-9.3333333333333338E-2</v>
      </c>
      <c r="J64" s="253">
        <f>((W64)-$C$12)/'0_ENTREE LOGICIEL'!$F65</f>
        <v>-9.3333333333333338E-2</v>
      </c>
      <c r="K64" s="253">
        <f>((X64)-$C$12)/'0_ENTREE LOGICIEL'!$F65</f>
        <v>-9.3333333333333338E-2</v>
      </c>
      <c r="L64" s="253">
        <f>((Y64)-$C$12)/'0_ENTREE LOGICIEL'!$F65</f>
        <v>-9.3333333333333338E-2</v>
      </c>
      <c r="M64" s="253">
        <f>((Z64)-$C$12)/'0_ENTREE LOGICIEL'!$F65</f>
        <v>-9.3333333333333338E-2</v>
      </c>
      <c r="N64" s="254">
        <f>((AA64)-$C$12)/'0_ENTREE LOGICIEL'!$F65</f>
        <v>-9.3333333333333338E-2</v>
      </c>
      <c r="P64" s="335"/>
      <c r="Q64" s="336"/>
      <c r="R64" s="336"/>
      <c r="S64" s="336"/>
      <c r="T64" s="336"/>
      <c r="U64" s="336"/>
      <c r="V64" s="336"/>
      <c r="W64" s="336"/>
      <c r="X64" s="336"/>
      <c r="Y64" s="336"/>
      <c r="Z64" s="336"/>
      <c r="AA64" s="337"/>
    </row>
    <row r="65" spans="1:55" x14ac:dyDescent="0.25">
      <c r="A65" s="313">
        <v>42</v>
      </c>
      <c r="B65" s="180"/>
      <c r="C65" s="255"/>
      <c r="D65" s="256"/>
      <c r="E65" s="256"/>
      <c r="F65" s="256"/>
      <c r="G65" s="256"/>
      <c r="H65" s="256"/>
      <c r="I65" s="256"/>
      <c r="J65" s="256"/>
      <c r="K65" s="256"/>
      <c r="L65" s="256"/>
      <c r="M65" s="256"/>
      <c r="N65" s="257"/>
      <c r="P65" s="182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</row>
    <row r="66" spans="1:55" x14ac:dyDescent="0.25">
      <c r="A66" s="313">
        <v>43</v>
      </c>
      <c r="B66" s="181" t="str">
        <f>'0_ENTREE LOGICIEL'!B67</f>
        <v>SO - 284 - T - 64m²</v>
      </c>
      <c r="C66" s="258">
        <f>((P66)-$C$12)/'0_ENTREE LOGICIEL'!$F67</f>
        <v>13.59375</v>
      </c>
      <c r="D66" s="259">
        <f>((Q66)-$C$12)/'0_ENTREE LOGICIEL'!$F67</f>
        <v>17.4375</v>
      </c>
      <c r="E66" s="259">
        <f>((R66)-$C$12)/'0_ENTREE LOGICIEL'!$F67</f>
        <v>7.453125</v>
      </c>
      <c r="F66" s="259">
        <f>((S66)-$C$12)/'0_ENTREE LOGICIEL'!$F67</f>
        <v>4.859375</v>
      </c>
      <c r="G66" s="259">
        <f>((T66)-$C$12)/'0_ENTREE LOGICIEL'!$F67</f>
        <v>1.71875</v>
      </c>
      <c r="H66" s="259">
        <f>((U66)-$C$12)/'0_ENTREE LOGICIEL'!$F67</f>
        <v>1.265625</v>
      </c>
      <c r="I66" s="259">
        <f>((V66)-$C$12)/'0_ENTREE LOGICIEL'!$F67</f>
        <v>1.125</v>
      </c>
      <c r="J66" s="259">
        <f>((W66)-$C$12)/'0_ENTREE LOGICIEL'!$F67</f>
        <v>0.875</v>
      </c>
      <c r="K66" s="259">
        <f>((X66)-$C$12)/'0_ENTREE LOGICIEL'!$F67</f>
        <v>1.328125</v>
      </c>
      <c r="L66" s="259">
        <f>((Y66)-$C$12)/'0_ENTREE LOGICIEL'!$F67</f>
        <v>3.890625</v>
      </c>
      <c r="M66" s="259">
        <f>((Z66)-$C$12)/'0_ENTREE LOGICIEL'!$F67</f>
        <v>8.109375</v>
      </c>
      <c r="N66" s="260">
        <f>((AA66)-$C$12)/'0_ENTREE LOGICIEL'!$F67</f>
        <v>14.078125</v>
      </c>
      <c r="P66" s="332">
        <v>877</v>
      </c>
      <c r="Q66" s="333">
        <v>1123</v>
      </c>
      <c r="R66" s="333">
        <v>484</v>
      </c>
      <c r="S66" s="333">
        <v>318</v>
      </c>
      <c r="T66" s="333">
        <v>117</v>
      </c>
      <c r="U66" s="333">
        <v>88</v>
      </c>
      <c r="V66" s="333">
        <v>79</v>
      </c>
      <c r="W66" s="333">
        <v>63</v>
      </c>
      <c r="X66" s="333">
        <v>92</v>
      </c>
      <c r="Y66" s="333">
        <v>256</v>
      </c>
      <c r="Z66" s="333">
        <v>526</v>
      </c>
      <c r="AA66" s="334">
        <v>908</v>
      </c>
    </row>
    <row r="67" spans="1:55" x14ac:dyDescent="0.25">
      <c r="A67" s="313">
        <v>44</v>
      </c>
      <c r="B67" s="181" t="str">
        <f>'0_ENTREE LOGICIEL'!B68</f>
        <v>SO - 287 - T - 81m²</v>
      </c>
      <c r="C67" s="258">
        <f>((P67)-$C$12)/'0_ENTREE LOGICIEL'!$F68</f>
        <v>12.308641975308642</v>
      </c>
      <c r="D67" s="259">
        <f>((Q67)-$C$12)/'0_ENTREE LOGICIEL'!$F68</f>
        <v>15.777777777777779</v>
      </c>
      <c r="E67" s="259">
        <f>((R67)-$C$12)/'0_ENTREE LOGICIEL'!$F68</f>
        <v>6.7530864197530862</v>
      </c>
      <c r="F67" s="259">
        <f>((S67)-$C$12)/'0_ENTREE LOGICIEL'!$F68</f>
        <v>5.1975308641975309</v>
      </c>
      <c r="G67" s="259">
        <f>((T67)-$C$12)/'0_ENTREE LOGICIEL'!$F68</f>
        <v>1.8518518518518519</v>
      </c>
      <c r="H67" s="259">
        <f>((U67)-$C$12)/'0_ENTREE LOGICIEL'!$F68</f>
        <v>1.3703703703703705</v>
      </c>
      <c r="I67" s="259">
        <f>((V67)-$C$12)/'0_ENTREE LOGICIEL'!$F68</f>
        <v>1.2222222222222223</v>
      </c>
      <c r="J67" s="259">
        <f>((W67)-$C$12)/'0_ENTREE LOGICIEL'!$F68</f>
        <v>0.96296296296296291</v>
      </c>
      <c r="K67" s="259">
        <f>((X67)-$C$12)/'0_ENTREE LOGICIEL'!$F68</f>
        <v>1.4320987654320987</v>
      </c>
      <c r="L67" s="259">
        <f>((Y67)-$C$12)/'0_ENTREE LOGICIEL'!$F68</f>
        <v>4.1604938271604937</v>
      </c>
      <c r="M67" s="259">
        <f>((Z67)-$C$12)/'0_ENTREE LOGICIEL'!$F68</f>
        <v>8.6419753086419746</v>
      </c>
      <c r="N67" s="260">
        <f>((AA67)-$C$12)/'0_ENTREE LOGICIEL'!$F68</f>
        <v>14.987654320987655</v>
      </c>
      <c r="P67" s="335">
        <v>1004</v>
      </c>
      <c r="Q67" s="336">
        <v>1285</v>
      </c>
      <c r="R67" s="336">
        <v>554</v>
      </c>
      <c r="S67" s="336">
        <v>428</v>
      </c>
      <c r="T67" s="336">
        <v>157</v>
      </c>
      <c r="U67" s="336">
        <v>118</v>
      </c>
      <c r="V67" s="336">
        <v>106</v>
      </c>
      <c r="W67" s="336">
        <v>85</v>
      </c>
      <c r="X67" s="336">
        <v>123</v>
      </c>
      <c r="Y67" s="336">
        <v>344</v>
      </c>
      <c r="Z67" s="336">
        <v>707</v>
      </c>
      <c r="AA67" s="337">
        <v>1221</v>
      </c>
    </row>
    <row r="68" spans="1:55" x14ac:dyDescent="0.25">
      <c r="A68" s="313">
        <v>45</v>
      </c>
      <c r="B68" s="181" t="str">
        <f>'0_ENTREE LOGICIEL'!B69</f>
        <v>SO - 290 - T - 40m²</v>
      </c>
      <c r="C68" s="258">
        <f>((P68)-$C$12)/'0_ENTREE LOGICIEL'!$F69</f>
        <v>27.2</v>
      </c>
      <c r="D68" s="259">
        <f>((Q68)-$C$12)/'0_ENTREE LOGICIEL'!$F69</f>
        <v>34.875</v>
      </c>
      <c r="E68" s="259">
        <f>((R68)-$C$12)/'0_ENTREE LOGICIEL'!$F69</f>
        <v>14.95</v>
      </c>
      <c r="F68" s="259">
        <f>((S68)-$C$12)/'0_ENTREE LOGICIEL'!$F69</f>
        <v>31.975000000000001</v>
      </c>
      <c r="G68" s="259">
        <f>((T68)-$C$12)/'0_ENTREE LOGICIEL'!$F69</f>
        <v>11.6</v>
      </c>
      <c r="H68" s="259">
        <f>((U68)-$C$12)/'0_ENTREE LOGICIEL'!$F69</f>
        <v>8.7249999999999996</v>
      </c>
      <c r="I68" s="259">
        <f>((V68)-$C$12)/'0_ENTREE LOGICIEL'!$F69</f>
        <v>7.8</v>
      </c>
      <c r="J68" s="259">
        <f>((W68)-$C$12)/'0_ENTREE LOGICIEL'!$F69</f>
        <v>6.2</v>
      </c>
      <c r="K68" s="259">
        <f>((X68)-$C$12)/'0_ENTREE LOGICIEL'!$F69</f>
        <v>9.0749999999999993</v>
      </c>
      <c r="L68" s="259">
        <f>((Y68)-$C$12)/'0_ENTREE LOGICIEL'!$F69</f>
        <v>25.7</v>
      </c>
      <c r="M68" s="259">
        <f>((Z68)-$C$12)/'0_ENTREE LOGICIEL'!$F69</f>
        <v>52.924999999999997</v>
      </c>
      <c r="N68" s="260">
        <f>((AA68)-$C$12)/'0_ENTREE LOGICIEL'!$F69</f>
        <v>91.575000000000003</v>
      </c>
      <c r="P68" s="335">
        <v>1095</v>
      </c>
      <c r="Q68" s="336">
        <v>1402</v>
      </c>
      <c r="R68" s="336">
        <v>605</v>
      </c>
      <c r="S68" s="336">
        <v>1286</v>
      </c>
      <c r="T68" s="336">
        <v>471</v>
      </c>
      <c r="U68" s="336">
        <v>356</v>
      </c>
      <c r="V68" s="336">
        <v>319</v>
      </c>
      <c r="W68" s="336">
        <v>255</v>
      </c>
      <c r="X68" s="336">
        <v>370</v>
      </c>
      <c r="Y68" s="336">
        <v>1035</v>
      </c>
      <c r="Z68" s="336">
        <v>2124</v>
      </c>
      <c r="AA68" s="337">
        <v>3670</v>
      </c>
    </row>
    <row r="69" spans="1:55" x14ac:dyDescent="0.25">
      <c r="A69" s="313">
        <v>46</v>
      </c>
      <c r="B69" s="181" t="str">
        <f>'0_ENTREE LOGICIEL'!B70</f>
        <v>SO - 305 - T - 66m²</v>
      </c>
      <c r="C69" s="258">
        <f>((P69)-$C$12)/'0_ENTREE LOGICIEL'!$F70</f>
        <v>20.878787878787879</v>
      </c>
      <c r="D69" s="259">
        <f>((Q69)-$C$12)/'0_ENTREE LOGICIEL'!$F70</f>
        <v>26.772727272727273</v>
      </c>
      <c r="E69" s="259">
        <f>((R69)-$C$12)/'0_ENTREE LOGICIEL'!$F70</f>
        <v>11.484848484848484</v>
      </c>
      <c r="F69" s="259">
        <f>((S69)-$C$12)/'0_ENTREE LOGICIEL'!$F70</f>
        <v>7.6818181818181817</v>
      </c>
      <c r="G69" s="259">
        <f>((T69)-$C$12)/'0_ENTREE LOGICIEL'!$F70</f>
        <v>2.7424242424242422</v>
      </c>
      <c r="H69" s="259">
        <f>((U69)-$C$12)/'0_ENTREE LOGICIEL'!$F70</f>
        <v>2.0454545454545454</v>
      </c>
      <c r="I69" s="259">
        <f>((V69)-$C$12)/'0_ENTREE LOGICIEL'!$F70</f>
        <v>1.8181818181818181</v>
      </c>
      <c r="J69" s="259">
        <f>((W69)-$C$12)/'0_ENTREE LOGICIEL'!$F70</f>
        <v>1.4393939393939394</v>
      </c>
      <c r="K69" s="259">
        <f>((X69)-$C$12)/'0_ENTREE LOGICIEL'!$F70</f>
        <v>2.1363636363636362</v>
      </c>
      <c r="L69" s="259">
        <f>((Y69)-$C$12)/'0_ENTREE LOGICIEL'!$F70</f>
        <v>6.166666666666667</v>
      </c>
      <c r="M69" s="259">
        <f>((Z69)-$C$12)/'0_ENTREE LOGICIEL'!$F70</f>
        <v>12.757575757575758</v>
      </c>
      <c r="N69" s="260">
        <f>((AA69)-$C$12)/'0_ENTREE LOGICIEL'!$F70</f>
        <v>22.121212121212121</v>
      </c>
      <c r="P69" s="335">
        <v>1385</v>
      </c>
      <c r="Q69" s="336">
        <v>1774</v>
      </c>
      <c r="R69" s="336">
        <v>765</v>
      </c>
      <c r="S69" s="336">
        <v>514</v>
      </c>
      <c r="T69" s="336">
        <v>188</v>
      </c>
      <c r="U69" s="336">
        <v>142</v>
      </c>
      <c r="V69" s="336">
        <v>127</v>
      </c>
      <c r="W69" s="336">
        <v>102</v>
      </c>
      <c r="X69" s="336">
        <v>148</v>
      </c>
      <c r="Y69" s="336">
        <v>414</v>
      </c>
      <c r="Z69" s="336">
        <v>849</v>
      </c>
      <c r="AA69" s="337">
        <v>1467</v>
      </c>
    </row>
    <row r="70" spans="1:55" x14ac:dyDescent="0.25">
      <c r="A70" s="313">
        <v>47</v>
      </c>
      <c r="B70" s="181" t="str">
        <f>'0_ENTREE LOGICIEL'!B71</f>
        <v>SO - 309 - T - 66m²</v>
      </c>
      <c r="C70" s="258">
        <f>((P70)-$C$12)/'0_ENTREE LOGICIEL'!$F71</f>
        <v>5.3484848484848486</v>
      </c>
      <c r="D70" s="259">
        <f>((Q70)-$C$12)/'0_ENTREE LOGICIEL'!$F71</f>
        <v>8.3787878787878789</v>
      </c>
      <c r="E70" s="259">
        <f>((R70)-$C$12)/'0_ENTREE LOGICIEL'!$F71</f>
        <v>4.1818181818181817</v>
      </c>
      <c r="F70" s="259">
        <f>((S70)-$C$12)/'0_ENTREE LOGICIEL'!$F71</f>
        <v>4.333333333333333</v>
      </c>
      <c r="G70" s="259">
        <f>((T70)-$C$12)/'0_ENTREE LOGICIEL'!$F71</f>
        <v>7.0151515151515156</v>
      </c>
      <c r="H70" s="259">
        <f>((U70)-$C$12)/'0_ENTREE LOGICIEL'!$F71</f>
        <v>2.3333333333333335</v>
      </c>
      <c r="I70" s="259">
        <f>((V70)-$C$12)/'0_ENTREE LOGICIEL'!$F71</f>
        <v>2.3030303030303032</v>
      </c>
      <c r="J70" s="259">
        <f>((W70)-$C$12)/'0_ENTREE LOGICIEL'!$F71</f>
        <v>1.803030303030303</v>
      </c>
      <c r="K70" s="259">
        <f>((X70)-$C$12)/'0_ENTREE LOGICIEL'!$F71</f>
        <v>3.2575757575757578</v>
      </c>
      <c r="L70" s="259">
        <f>((Y70)-$C$12)/'0_ENTREE LOGICIEL'!$F71</f>
        <v>4.2727272727272725</v>
      </c>
      <c r="M70" s="259">
        <f>((Z70)-$C$12)/'0_ENTREE LOGICIEL'!$F71</f>
        <v>4.9242424242424239</v>
      </c>
      <c r="N70" s="260">
        <f>((AA70)-$C$12)/'0_ENTREE LOGICIEL'!$F71</f>
        <v>6.4848484848484844</v>
      </c>
      <c r="P70" s="335">
        <v>360</v>
      </c>
      <c r="Q70" s="336">
        <v>560</v>
      </c>
      <c r="R70" s="336">
        <v>283</v>
      </c>
      <c r="S70" s="336">
        <v>293</v>
      </c>
      <c r="T70" s="336">
        <v>470</v>
      </c>
      <c r="U70" s="336">
        <v>161</v>
      </c>
      <c r="V70" s="336">
        <v>159</v>
      </c>
      <c r="W70" s="336">
        <v>126</v>
      </c>
      <c r="X70" s="336">
        <v>222</v>
      </c>
      <c r="Y70" s="336">
        <v>289</v>
      </c>
      <c r="Z70" s="336">
        <v>332</v>
      </c>
      <c r="AA70" s="337">
        <v>435</v>
      </c>
    </row>
    <row r="71" spans="1:55" x14ac:dyDescent="0.25">
      <c r="A71" s="313">
        <v>48</v>
      </c>
      <c r="B71" s="181" t="str">
        <f>'0_ENTREE LOGICIEL'!B72</f>
        <v>SO - 310 - T - 54m²</v>
      </c>
      <c r="C71" s="258">
        <f>((P71)-$C$12)/'0_ENTREE LOGICIEL'!$F72</f>
        <v>-0.12962962962962962</v>
      </c>
      <c r="D71" s="259">
        <f>((Q71)-$C$12)/'0_ENTREE LOGICIEL'!$F72</f>
        <v>-0.12962962962962962</v>
      </c>
      <c r="E71" s="259">
        <f>((R71)-$C$12)/'0_ENTREE LOGICIEL'!$F72</f>
        <v>-0.12962962962962962</v>
      </c>
      <c r="F71" s="259">
        <f>((S71)-$C$12)/'0_ENTREE LOGICIEL'!$F72</f>
        <v>-0.12962962962962962</v>
      </c>
      <c r="G71" s="259">
        <f>((T71)-$C$12)/'0_ENTREE LOGICIEL'!$F72</f>
        <v>-0.12962962962962962</v>
      </c>
      <c r="H71" s="259">
        <f>((U71)-$C$12)/'0_ENTREE LOGICIEL'!$F72</f>
        <v>-0.12962962962962962</v>
      </c>
      <c r="I71" s="259">
        <f>((V71)-$C$12)/'0_ENTREE LOGICIEL'!$F72</f>
        <v>-0.12962962962962962</v>
      </c>
      <c r="J71" s="259">
        <f>((W71)-$C$12)/'0_ENTREE LOGICIEL'!$F72</f>
        <v>-0.12962962962962962</v>
      </c>
      <c r="K71" s="259">
        <f>((X71)-$C$12)/'0_ENTREE LOGICIEL'!$F72</f>
        <v>-0.12962962962962962</v>
      </c>
      <c r="L71" s="259">
        <f>((Y71)-$C$12)/'0_ENTREE LOGICIEL'!$F72</f>
        <v>-0.12962962962962962</v>
      </c>
      <c r="M71" s="259">
        <f>((Z71)-$C$12)/'0_ENTREE LOGICIEL'!$F72</f>
        <v>-0.12962962962962962</v>
      </c>
      <c r="N71" s="260">
        <f>((AA71)-$C$12)/'0_ENTREE LOGICIEL'!$F72</f>
        <v>-0.12962962962962962</v>
      </c>
      <c r="P71" s="335"/>
      <c r="Q71" s="336"/>
      <c r="R71" s="336"/>
      <c r="S71" s="336"/>
      <c r="T71" s="336"/>
      <c r="U71" s="336"/>
      <c r="V71" s="336"/>
      <c r="W71" s="336"/>
      <c r="X71" s="336"/>
      <c r="Y71" s="336"/>
      <c r="Z71" s="336"/>
      <c r="AA71" s="337"/>
    </row>
    <row r="72" spans="1:55" x14ac:dyDescent="0.25">
      <c r="A72" s="314"/>
    </row>
    <row r="73" spans="1:55" x14ac:dyDescent="0.25">
      <c r="A73" s="314"/>
    </row>
    <row r="74" spans="1:55" x14ac:dyDescent="0.25">
      <c r="A74" s="314"/>
    </row>
    <row r="75" spans="1:55" x14ac:dyDescent="0.25">
      <c r="A75" s="314"/>
      <c r="B75" s="323" t="s">
        <v>203</v>
      </c>
      <c r="C75" s="324"/>
      <c r="D75" s="232" t="s">
        <v>208</v>
      </c>
    </row>
    <row r="76" spans="1:55" x14ac:dyDescent="0.25">
      <c r="A76" s="314"/>
      <c r="B76" s="268" t="s">
        <v>159</v>
      </c>
      <c r="C76" s="313">
        <v>3</v>
      </c>
      <c r="D76" s="313">
        <v>4</v>
      </c>
      <c r="E76" s="313">
        <v>5</v>
      </c>
      <c r="F76" s="313">
        <v>6</v>
      </c>
      <c r="G76" s="313">
        <v>7</v>
      </c>
      <c r="H76" s="313">
        <v>8</v>
      </c>
      <c r="I76" s="313">
        <v>9</v>
      </c>
      <c r="J76" s="313">
        <v>10</v>
      </c>
      <c r="K76" s="313">
        <v>11</v>
      </c>
      <c r="L76" s="313">
        <v>12</v>
      </c>
      <c r="M76" s="313">
        <v>13</v>
      </c>
      <c r="N76" s="313">
        <v>14</v>
      </c>
      <c r="O76" s="313">
        <v>15</v>
      </c>
      <c r="P76" s="313">
        <v>16</v>
      </c>
      <c r="Q76" s="313">
        <v>17</v>
      </c>
      <c r="R76" s="313">
        <v>18</v>
      </c>
      <c r="S76" s="313">
        <v>19</v>
      </c>
      <c r="T76" s="313">
        <v>20</v>
      </c>
      <c r="U76" s="313">
        <v>21</v>
      </c>
      <c r="V76" s="313">
        <v>22</v>
      </c>
      <c r="W76" s="313">
        <v>23</v>
      </c>
      <c r="X76" s="313">
        <v>24</v>
      </c>
      <c r="Y76" s="313">
        <v>25</v>
      </c>
      <c r="Z76" s="313">
        <v>26</v>
      </c>
      <c r="AA76" s="313">
        <v>27</v>
      </c>
      <c r="AB76" s="313">
        <v>28</v>
      </c>
      <c r="AC76" s="313">
        <v>29</v>
      </c>
      <c r="AD76" s="313">
        <v>30</v>
      </c>
      <c r="AE76" s="313">
        <v>31</v>
      </c>
      <c r="AF76" s="313">
        <v>32</v>
      </c>
      <c r="AG76" s="313">
        <v>33</v>
      </c>
      <c r="AH76" s="313">
        <v>34</v>
      </c>
      <c r="AI76" s="313">
        <v>35</v>
      </c>
      <c r="AJ76" s="313">
        <v>36</v>
      </c>
      <c r="AK76" s="313">
        <v>37</v>
      </c>
      <c r="AL76" s="313">
        <v>38</v>
      </c>
      <c r="AM76" s="313">
        <v>39</v>
      </c>
      <c r="AN76" s="313">
        <v>40</v>
      </c>
      <c r="AO76" s="313">
        <v>41</v>
      </c>
      <c r="AP76" s="313">
        <v>42</v>
      </c>
      <c r="AQ76" s="313">
        <v>43</v>
      </c>
      <c r="AR76" s="313">
        <v>44</v>
      </c>
      <c r="AS76" s="313">
        <v>45</v>
      </c>
      <c r="AT76" s="313">
        <v>46</v>
      </c>
      <c r="AU76" s="313">
        <v>47</v>
      </c>
      <c r="AV76" s="313">
        <v>48</v>
      </c>
      <c r="AW76" s="313">
        <v>49</v>
      </c>
      <c r="AX76" s="313">
        <v>50</v>
      </c>
      <c r="AY76" s="313">
        <v>51</v>
      </c>
      <c r="AZ76" s="313">
        <v>52</v>
      </c>
      <c r="BA76" s="313">
        <v>53</v>
      </c>
      <c r="BB76" s="313">
        <v>53</v>
      </c>
      <c r="BC76" s="314"/>
    </row>
    <row r="77" spans="1:55" s="19" customFormat="1" x14ac:dyDescent="0.25">
      <c r="A77" s="318"/>
      <c r="B77" s="84" t="s">
        <v>83</v>
      </c>
      <c r="C77" s="99" t="s">
        <v>209</v>
      </c>
      <c r="D77" s="99" t="s">
        <v>210</v>
      </c>
      <c r="E77" s="99" t="s">
        <v>211</v>
      </c>
      <c r="F77" s="99" t="s">
        <v>212</v>
      </c>
      <c r="G77" s="99" t="s">
        <v>213</v>
      </c>
      <c r="H77" s="99" t="s">
        <v>214</v>
      </c>
      <c r="I77" s="99" t="s">
        <v>215</v>
      </c>
      <c r="J77" s="99" t="s">
        <v>216</v>
      </c>
      <c r="K77" s="99" t="s">
        <v>217</v>
      </c>
      <c r="L77" s="99" t="s">
        <v>218</v>
      </c>
      <c r="M77" s="99" t="s">
        <v>219</v>
      </c>
      <c r="N77" s="99" t="s">
        <v>220</v>
      </c>
      <c r="O77" s="99" t="s">
        <v>221</v>
      </c>
      <c r="P77" s="99" t="s">
        <v>222</v>
      </c>
      <c r="Q77" s="99" t="s">
        <v>223</v>
      </c>
      <c r="R77" s="99" t="s">
        <v>224</v>
      </c>
      <c r="S77" s="99" t="s">
        <v>225</v>
      </c>
      <c r="T77" s="99" t="s">
        <v>226</v>
      </c>
      <c r="U77" s="99" t="s">
        <v>227</v>
      </c>
      <c r="V77" s="99" t="s">
        <v>228</v>
      </c>
      <c r="W77" s="99" t="s">
        <v>229</v>
      </c>
      <c r="X77" s="99" t="s">
        <v>230</v>
      </c>
      <c r="Y77" s="99" t="s">
        <v>231</v>
      </c>
      <c r="Z77" s="99" t="s">
        <v>232</v>
      </c>
      <c r="AA77" s="99" t="s">
        <v>233</v>
      </c>
      <c r="AB77" s="99" t="s">
        <v>234</v>
      </c>
      <c r="AC77" s="99" t="s">
        <v>235</v>
      </c>
      <c r="AD77" s="99" t="s">
        <v>236</v>
      </c>
      <c r="AE77" s="99" t="s">
        <v>237</v>
      </c>
      <c r="AF77" s="99" t="s">
        <v>238</v>
      </c>
      <c r="AG77" s="99" t="s">
        <v>239</v>
      </c>
      <c r="AH77" s="99" t="s">
        <v>240</v>
      </c>
      <c r="AI77" s="99" t="s">
        <v>241</v>
      </c>
      <c r="AJ77" s="99" t="s">
        <v>242</v>
      </c>
      <c r="AK77" s="99" t="s">
        <v>243</v>
      </c>
      <c r="AL77" s="99" t="s">
        <v>244</v>
      </c>
      <c r="AM77" s="99" t="s">
        <v>245</v>
      </c>
      <c r="AN77" s="99" t="s">
        <v>246</v>
      </c>
      <c r="AO77" s="99" t="s">
        <v>247</v>
      </c>
      <c r="AP77" s="99" t="s">
        <v>248</v>
      </c>
      <c r="AQ77" s="99" t="s">
        <v>249</v>
      </c>
      <c r="AR77" s="99" t="s">
        <v>250</v>
      </c>
      <c r="AS77" s="99" t="s">
        <v>251</v>
      </c>
      <c r="AT77" s="99" t="s">
        <v>252</v>
      </c>
      <c r="AU77" s="99" t="s">
        <v>253</v>
      </c>
      <c r="AV77" s="99" t="s">
        <v>254</v>
      </c>
      <c r="AW77" s="99" t="s">
        <v>255</v>
      </c>
      <c r="AX77" s="99" t="s">
        <v>256</v>
      </c>
      <c r="AY77" s="99" t="s">
        <v>257</v>
      </c>
      <c r="AZ77" s="99" t="s">
        <v>258</v>
      </c>
      <c r="BA77" s="99" t="s">
        <v>259</v>
      </c>
      <c r="BB77" s="99" t="s">
        <v>260</v>
      </c>
    </row>
    <row r="78" spans="1:55" x14ac:dyDescent="0.25">
      <c r="A78" s="313">
        <v>1</v>
      </c>
      <c r="B78" s="86" t="str">
        <f t="shared" ref="B78:B90" si="0">B24</f>
        <v>GC - 274 - T4 - 83m²</v>
      </c>
      <c r="C78" s="309"/>
      <c r="D78" s="309"/>
      <c r="E78" s="309"/>
      <c r="F78" s="309"/>
      <c r="G78" s="309"/>
      <c r="H78" s="309"/>
      <c r="I78" s="309"/>
      <c r="J78" s="309"/>
      <c r="K78" s="309"/>
      <c r="L78" s="309"/>
      <c r="M78" s="309"/>
      <c r="N78" s="309"/>
      <c r="O78" s="309"/>
      <c r="P78" s="309"/>
      <c r="Q78" s="309"/>
      <c r="R78" s="309"/>
      <c r="S78" s="309"/>
      <c r="T78" s="309"/>
      <c r="U78" s="309"/>
      <c r="V78" s="309">
        <v>0.61387951807228913</v>
      </c>
      <c r="W78" s="309"/>
      <c r="X78" s="309"/>
      <c r="Y78" s="309"/>
      <c r="Z78" s="309"/>
      <c r="AA78" s="309"/>
      <c r="AB78" s="309"/>
      <c r="AC78" s="309"/>
      <c r="AD78" s="309"/>
      <c r="AE78" s="309"/>
      <c r="AF78" s="309"/>
      <c r="AG78" s="309"/>
      <c r="AH78" s="309"/>
      <c r="AI78" s="309"/>
      <c r="AJ78" s="309"/>
      <c r="AK78" s="309"/>
      <c r="AL78" s="309"/>
      <c r="AM78" s="309"/>
      <c r="AN78" s="309"/>
      <c r="AO78" s="309"/>
      <c r="AP78" s="309"/>
      <c r="AQ78" s="309"/>
      <c r="AR78" s="309"/>
      <c r="AS78" s="309"/>
      <c r="AT78" s="309"/>
      <c r="AU78" s="309"/>
      <c r="AV78" s="309"/>
      <c r="AW78" s="309"/>
      <c r="AX78" s="309"/>
      <c r="AY78" s="309"/>
      <c r="AZ78" s="309"/>
      <c r="BA78" s="309"/>
      <c r="BB78" s="309"/>
    </row>
    <row r="79" spans="1:55" x14ac:dyDescent="0.25">
      <c r="A79" s="313">
        <v>2</v>
      </c>
      <c r="B79" s="86" t="str">
        <f t="shared" si="0"/>
        <v>GC - 277 - T2 - 53m²</v>
      </c>
      <c r="C79" s="309"/>
      <c r="D79" s="309"/>
      <c r="E79" s="309"/>
      <c r="F79" s="309"/>
      <c r="G79" s="309"/>
      <c r="H79" s="309"/>
      <c r="I79" s="309"/>
      <c r="J79" s="309"/>
      <c r="K79" s="309"/>
      <c r="L79" s="309"/>
      <c r="M79" s="309"/>
      <c r="N79" s="309"/>
      <c r="O79" s="309"/>
      <c r="P79" s="309"/>
      <c r="Q79" s="309"/>
      <c r="R79" s="309"/>
      <c r="S79" s="309"/>
      <c r="T79" s="309"/>
      <c r="U79" s="309"/>
      <c r="V79" s="309">
        <v>0.56220754716981181</v>
      </c>
      <c r="W79" s="309"/>
      <c r="X79" s="309"/>
      <c r="Y79" s="309"/>
      <c r="Z79" s="309"/>
      <c r="AA79" s="309"/>
      <c r="AB79" s="309"/>
      <c r="AC79" s="309"/>
      <c r="AD79" s="309"/>
      <c r="AE79" s="309"/>
      <c r="AF79" s="309"/>
      <c r="AG79" s="309"/>
      <c r="AH79" s="309"/>
      <c r="AI79" s="309"/>
      <c r="AJ79" s="309"/>
      <c r="AK79" s="309"/>
      <c r="AL79" s="309"/>
      <c r="AM79" s="309"/>
      <c r="AN79" s="309"/>
      <c r="AO79" s="309"/>
      <c r="AP79" s="309"/>
      <c r="AQ79" s="309"/>
      <c r="AR79" s="309"/>
      <c r="AS79" s="309"/>
      <c r="AT79" s="309"/>
      <c r="AU79" s="309"/>
      <c r="AV79" s="309"/>
      <c r="AW79" s="309"/>
      <c r="AX79" s="309"/>
      <c r="AY79" s="309"/>
      <c r="AZ79" s="309"/>
      <c r="BA79" s="309"/>
      <c r="BB79" s="309"/>
    </row>
    <row r="80" spans="1:55" x14ac:dyDescent="0.25">
      <c r="A80" s="313">
        <v>3</v>
      </c>
      <c r="B80" s="86" t="str">
        <f t="shared" si="0"/>
        <v>GC - 281 - T3 - 71m²</v>
      </c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  <c r="R80" s="309"/>
      <c r="S80" s="309"/>
      <c r="T80" s="309"/>
      <c r="U80" s="309"/>
      <c r="V80" s="309">
        <v>0.6479295774647893</v>
      </c>
      <c r="W80" s="309"/>
      <c r="X80" s="309"/>
      <c r="Y80" s="309"/>
      <c r="Z80" s="309"/>
      <c r="AA80" s="309"/>
      <c r="AB80" s="309"/>
      <c r="AC80" s="309"/>
      <c r="AD80" s="309"/>
      <c r="AE80" s="309"/>
      <c r="AF80" s="309"/>
      <c r="AG80" s="309"/>
      <c r="AH80" s="309"/>
      <c r="AI80" s="309"/>
      <c r="AJ80" s="309"/>
      <c r="AK80" s="309"/>
      <c r="AL80" s="309"/>
      <c r="AM80" s="309"/>
      <c r="AN80" s="309"/>
      <c r="AO80" s="309"/>
      <c r="AP80" s="309"/>
      <c r="AQ80" s="309"/>
      <c r="AR80" s="309"/>
      <c r="AS80" s="309"/>
      <c r="AT80" s="309"/>
      <c r="AU80" s="309"/>
      <c r="AV80" s="309"/>
      <c r="AW80" s="309"/>
      <c r="AX80" s="309"/>
      <c r="AY80" s="309"/>
      <c r="AZ80" s="309"/>
      <c r="BA80" s="309"/>
      <c r="BB80" s="309"/>
    </row>
    <row r="81" spans="1:54" x14ac:dyDescent="0.25">
      <c r="A81" s="313">
        <v>4</v>
      </c>
      <c r="B81" s="86" t="str">
        <f t="shared" si="0"/>
        <v>GC - 283 - T3 - 70m²</v>
      </c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  <c r="R81" s="309"/>
      <c r="S81" s="309"/>
      <c r="T81" s="309"/>
      <c r="U81" s="309"/>
      <c r="V81" s="309">
        <v>0.39374285714285734</v>
      </c>
      <c r="W81" s="309"/>
      <c r="X81" s="309"/>
      <c r="Y81" s="309"/>
      <c r="Z81" s="309"/>
      <c r="AA81" s="309"/>
      <c r="AB81" s="309"/>
      <c r="AC81" s="309"/>
      <c r="AD81" s="309"/>
      <c r="AE81" s="309"/>
      <c r="AF81" s="309"/>
      <c r="AG81" s="309"/>
      <c r="AH81" s="309"/>
      <c r="AI81" s="309"/>
      <c r="AJ81" s="309"/>
      <c r="AK81" s="309"/>
      <c r="AL81" s="309"/>
      <c r="AM81" s="309"/>
      <c r="AN81" s="309"/>
      <c r="AO81" s="309"/>
      <c r="AP81" s="309"/>
      <c r="AQ81" s="309"/>
      <c r="AR81" s="309"/>
      <c r="AS81" s="309"/>
      <c r="AT81" s="309"/>
      <c r="AU81" s="309"/>
      <c r="AV81" s="309"/>
      <c r="AW81" s="309"/>
      <c r="AX81" s="309"/>
      <c r="AY81" s="309"/>
      <c r="AZ81" s="309"/>
      <c r="BA81" s="309"/>
      <c r="BB81" s="309"/>
    </row>
    <row r="82" spans="1:54" x14ac:dyDescent="0.25">
      <c r="A82" s="313">
        <v>5</v>
      </c>
      <c r="B82" s="86" t="str">
        <f t="shared" si="0"/>
        <v>GC - 285 - T3 - 64m²</v>
      </c>
      <c r="C82" s="309"/>
      <c r="D82" s="309"/>
      <c r="E82" s="309"/>
      <c r="F82" s="309"/>
      <c r="G82" s="309"/>
      <c r="H82" s="309"/>
      <c r="I82" s="309"/>
      <c r="J82" s="309"/>
      <c r="K82" s="309"/>
      <c r="L82" s="309"/>
      <c r="M82" s="309"/>
      <c r="N82" s="309"/>
      <c r="O82" s="309"/>
      <c r="P82" s="309"/>
      <c r="Q82" s="309"/>
      <c r="R82" s="309"/>
      <c r="S82" s="309"/>
      <c r="T82" s="309"/>
      <c r="U82" s="309"/>
      <c r="V82" s="309">
        <v>0.53323437499999926</v>
      </c>
      <c r="W82" s="309"/>
      <c r="X82" s="309"/>
      <c r="Y82" s="309"/>
      <c r="Z82" s="309"/>
      <c r="AA82" s="309"/>
      <c r="AB82" s="309"/>
      <c r="AC82" s="309"/>
      <c r="AD82" s="309"/>
      <c r="AE82" s="309"/>
      <c r="AF82" s="309"/>
      <c r="AG82" s="309"/>
      <c r="AH82" s="309"/>
      <c r="AI82" s="309"/>
      <c r="AJ82" s="309"/>
      <c r="AK82" s="309"/>
      <c r="AL82" s="309"/>
      <c r="AM82" s="309"/>
      <c r="AN82" s="309"/>
      <c r="AO82" s="309"/>
      <c r="AP82" s="309"/>
      <c r="AQ82" s="309"/>
      <c r="AR82" s="309"/>
      <c r="AS82" s="309"/>
      <c r="AT82" s="309"/>
      <c r="AU82" s="309"/>
      <c r="AV82" s="309"/>
      <c r="AW82" s="309"/>
      <c r="AX82" s="309"/>
      <c r="AY82" s="309"/>
      <c r="AZ82" s="309"/>
      <c r="BA82" s="309"/>
      <c r="BB82" s="309"/>
    </row>
    <row r="83" spans="1:54" x14ac:dyDescent="0.25">
      <c r="A83" s="313">
        <v>6</v>
      </c>
      <c r="B83" s="86" t="str">
        <f t="shared" si="0"/>
        <v>GC - 286 - T3 - 68m²</v>
      </c>
      <c r="C83" s="309"/>
      <c r="D83" s="309"/>
      <c r="E83" s="309"/>
      <c r="F83" s="309"/>
      <c r="G83" s="309"/>
      <c r="H83" s="309"/>
      <c r="I83" s="309"/>
      <c r="J83" s="309"/>
      <c r="K83" s="309"/>
      <c r="L83" s="309"/>
      <c r="M83" s="309"/>
      <c r="N83" s="309"/>
      <c r="O83" s="309"/>
      <c r="P83" s="309"/>
      <c r="Q83" s="309"/>
      <c r="R83" s="309"/>
      <c r="S83" s="309"/>
      <c r="T83" s="309"/>
      <c r="U83" s="309"/>
      <c r="V83" s="309">
        <v>0.44151470588235331</v>
      </c>
      <c r="W83" s="309"/>
      <c r="X83" s="309"/>
      <c r="Y83" s="309"/>
      <c r="Z83" s="309"/>
      <c r="AA83" s="309"/>
      <c r="AB83" s="309"/>
      <c r="AC83" s="309"/>
      <c r="AD83" s="309"/>
      <c r="AE83" s="309"/>
      <c r="AF83" s="309"/>
      <c r="AG83" s="309"/>
      <c r="AH83" s="309"/>
      <c r="AI83" s="309"/>
      <c r="AJ83" s="309"/>
      <c r="AK83" s="309"/>
      <c r="AL83" s="309"/>
      <c r="AM83" s="309"/>
      <c r="AN83" s="309"/>
      <c r="AO83" s="309"/>
      <c r="AP83" s="309"/>
      <c r="AQ83" s="309"/>
      <c r="AR83" s="309"/>
      <c r="AS83" s="309"/>
      <c r="AT83" s="309"/>
      <c r="AU83" s="309"/>
      <c r="AV83" s="309"/>
      <c r="AW83" s="309"/>
      <c r="AX83" s="309"/>
      <c r="AY83" s="309"/>
      <c r="AZ83" s="309"/>
      <c r="BA83" s="309"/>
      <c r="BB83" s="309"/>
    </row>
    <row r="84" spans="1:54" x14ac:dyDescent="0.25">
      <c r="A84" s="313">
        <v>7</v>
      </c>
      <c r="B84" s="86" t="str">
        <f t="shared" si="0"/>
        <v>GC - 289 - T3 - 76m²</v>
      </c>
      <c r="C84" s="309"/>
      <c r="D84" s="309"/>
      <c r="E84" s="309"/>
      <c r="F84" s="309"/>
      <c r="G84" s="309"/>
      <c r="H84" s="309"/>
      <c r="I84" s="309"/>
      <c r="J84" s="309"/>
      <c r="K84" s="309"/>
      <c r="L84" s="309"/>
      <c r="M84" s="309"/>
      <c r="N84" s="309"/>
      <c r="O84" s="309"/>
      <c r="P84" s="309"/>
      <c r="Q84" s="309"/>
      <c r="R84" s="309"/>
      <c r="S84" s="309"/>
      <c r="T84" s="309"/>
      <c r="U84" s="309"/>
      <c r="V84" s="309">
        <v>0.31405263157894803</v>
      </c>
      <c r="W84" s="309"/>
      <c r="X84" s="309"/>
      <c r="Y84" s="309"/>
      <c r="Z84" s="309"/>
      <c r="AA84" s="309"/>
      <c r="AB84" s="309"/>
      <c r="AC84" s="309"/>
      <c r="AD84" s="309"/>
      <c r="AE84" s="309"/>
      <c r="AF84" s="309"/>
      <c r="AG84" s="309"/>
      <c r="AH84" s="309"/>
      <c r="AI84" s="309"/>
      <c r="AJ84" s="309"/>
      <c r="AK84" s="309"/>
      <c r="AL84" s="309"/>
      <c r="AM84" s="309"/>
      <c r="AN84" s="309"/>
      <c r="AO84" s="309"/>
      <c r="AP84" s="309"/>
      <c r="AQ84" s="309"/>
      <c r="AR84" s="309"/>
      <c r="AS84" s="309"/>
      <c r="AT84" s="309"/>
      <c r="AU84" s="309"/>
      <c r="AV84" s="309"/>
      <c r="AW84" s="309"/>
      <c r="AX84" s="309"/>
      <c r="AY84" s="309"/>
      <c r="AZ84" s="309"/>
      <c r="BA84" s="309"/>
      <c r="BB84" s="309"/>
    </row>
    <row r="85" spans="1:54" x14ac:dyDescent="0.25">
      <c r="A85" s="313">
        <v>8</v>
      </c>
      <c r="B85" s="86" t="str">
        <f t="shared" si="0"/>
        <v>GC - 303 - T4 - 81m²</v>
      </c>
      <c r="C85" s="309"/>
      <c r="D85" s="309"/>
      <c r="E85" s="309"/>
      <c r="F85" s="309"/>
      <c r="G85" s="309"/>
      <c r="H85" s="309"/>
      <c r="I85" s="309"/>
      <c r="J85" s="309"/>
      <c r="K85" s="309"/>
      <c r="L85" s="309"/>
      <c r="M85" s="309"/>
      <c r="N85" s="309"/>
      <c r="O85" s="309"/>
      <c r="P85" s="309"/>
      <c r="Q85" s="309"/>
      <c r="R85" s="309"/>
      <c r="S85" s="309"/>
      <c r="T85" s="309"/>
      <c r="U85" s="309"/>
      <c r="V85" s="309">
        <v>0.90301234567901245</v>
      </c>
      <c r="W85" s="309"/>
      <c r="X85" s="309"/>
      <c r="Y85" s="309"/>
      <c r="Z85" s="309"/>
      <c r="AA85" s="309"/>
      <c r="AB85" s="309"/>
      <c r="AC85" s="309"/>
      <c r="AD85" s="309"/>
      <c r="AE85" s="309"/>
      <c r="AF85" s="309"/>
      <c r="AG85" s="309"/>
      <c r="AH85" s="309"/>
      <c r="AI85" s="309"/>
      <c r="AJ85" s="309"/>
      <c r="AK85" s="309"/>
      <c r="AL85" s="309"/>
      <c r="AM85" s="309"/>
      <c r="AN85" s="309"/>
      <c r="AO85" s="309"/>
      <c r="AP85" s="309"/>
      <c r="AQ85" s="309"/>
      <c r="AR85" s="309"/>
      <c r="AS85" s="309"/>
      <c r="AT85" s="309"/>
      <c r="AU85" s="309"/>
      <c r="AV85" s="309"/>
      <c r="AW85" s="309"/>
      <c r="AX85" s="309"/>
      <c r="AY85" s="309"/>
      <c r="AZ85" s="309"/>
      <c r="BA85" s="309"/>
      <c r="BB85" s="309"/>
    </row>
    <row r="86" spans="1:54" x14ac:dyDescent="0.25">
      <c r="A86" s="313">
        <v>9</v>
      </c>
      <c r="B86" s="86" t="str">
        <f t="shared" si="0"/>
        <v>GC - 304 - T3 - 66m²</v>
      </c>
      <c r="C86" s="309"/>
      <c r="D86" s="309"/>
      <c r="E86" s="309"/>
      <c r="F86" s="309"/>
      <c r="G86" s="309"/>
      <c r="H86" s="309"/>
      <c r="I86" s="309"/>
      <c r="J86" s="309"/>
      <c r="K86" s="309"/>
      <c r="L86" s="309"/>
      <c r="M86" s="309"/>
      <c r="N86" s="309"/>
      <c r="O86" s="309"/>
      <c r="P86" s="309"/>
      <c r="Q86" s="309"/>
      <c r="R86" s="309"/>
      <c r="S86" s="309"/>
      <c r="T86" s="309"/>
      <c r="U86" s="309"/>
      <c r="V86" s="309">
        <v>0.51196969696969641</v>
      </c>
      <c r="W86" s="309"/>
      <c r="X86" s="309"/>
      <c r="Y86" s="309"/>
      <c r="Z86" s="309"/>
      <c r="AA86" s="309"/>
      <c r="AB86" s="309"/>
      <c r="AC86" s="309"/>
      <c r="AD86" s="309"/>
      <c r="AE86" s="309"/>
      <c r="AF86" s="309"/>
      <c r="AG86" s="309"/>
      <c r="AH86" s="309"/>
      <c r="AI86" s="309"/>
      <c r="AJ86" s="309"/>
      <c r="AK86" s="309"/>
      <c r="AL86" s="309"/>
      <c r="AM86" s="309"/>
      <c r="AN86" s="309"/>
      <c r="AO86" s="309"/>
      <c r="AP86" s="309"/>
      <c r="AQ86" s="309"/>
      <c r="AR86" s="309"/>
      <c r="AS86" s="309"/>
      <c r="AT86" s="309"/>
      <c r="AU86" s="309"/>
      <c r="AV86" s="309"/>
      <c r="AW86" s="309"/>
      <c r="AX86" s="309"/>
      <c r="AY86" s="309"/>
      <c r="AZ86" s="309"/>
      <c r="BA86" s="309"/>
      <c r="BB86" s="309"/>
    </row>
    <row r="87" spans="1:54" x14ac:dyDescent="0.25">
      <c r="A87" s="313">
        <v>10</v>
      </c>
      <c r="B87" s="86" t="str">
        <f t="shared" si="0"/>
        <v>GC - 306 - T3 - 66m²</v>
      </c>
      <c r="C87" s="309"/>
      <c r="D87" s="309"/>
      <c r="E87" s="309"/>
      <c r="F87" s="309"/>
      <c r="G87" s="309"/>
      <c r="H87" s="309"/>
      <c r="I87" s="309"/>
      <c r="J87" s="309"/>
      <c r="K87" s="309"/>
      <c r="L87" s="309"/>
      <c r="M87" s="309"/>
      <c r="N87" s="309"/>
      <c r="O87" s="309"/>
      <c r="P87" s="309"/>
      <c r="Q87" s="309"/>
      <c r="R87" s="309"/>
      <c r="S87" s="309"/>
      <c r="T87" s="309"/>
      <c r="U87" s="309"/>
      <c r="V87" s="309">
        <v>0.24995454545454482</v>
      </c>
      <c r="W87" s="309"/>
      <c r="X87" s="309"/>
      <c r="Y87" s="309"/>
      <c r="Z87" s="309"/>
      <c r="AA87" s="309"/>
      <c r="AB87" s="309"/>
      <c r="AC87" s="309"/>
      <c r="AD87" s="309"/>
      <c r="AE87" s="309"/>
      <c r="AF87" s="309"/>
      <c r="AG87" s="309"/>
      <c r="AH87" s="309"/>
      <c r="AI87" s="309"/>
      <c r="AJ87" s="309"/>
      <c r="AK87" s="309"/>
      <c r="AL87" s="309"/>
      <c r="AM87" s="309"/>
      <c r="AN87" s="309"/>
      <c r="AO87" s="309"/>
      <c r="AP87" s="309"/>
      <c r="AQ87" s="309"/>
      <c r="AR87" s="309"/>
      <c r="AS87" s="309"/>
      <c r="AT87" s="309"/>
      <c r="AU87" s="309"/>
      <c r="AV87" s="309"/>
      <c r="AW87" s="309"/>
      <c r="AX87" s="309"/>
      <c r="AY87" s="309"/>
      <c r="AZ87" s="309"/>
      <c r="BA87" s="309"/>
      <c r="BB87" s="309"/>
    </row>
    <row r="88" spans="1:54" x14ac:dyDescent="0.25">
      <c r="A88" s="313">
        <v>11</v>
      </c>
      <c r="B88" s="86" t="str">
        <f t="shared" si="0"/>
        <v>GC - 307 - T3 - 66m²</v>
      </c>
      <c r="C88" s="309"/>
      <c r="D88" s="309"/>
      <c r="E88" s="309"/>
      <c r="F88" s="309"/>
      <c r="G88" s="309"/>
      <c r="H88" s="309"/>
      <c r="I88" s="309"/>
      <c r="J88" s="309"/>
      <c r="K88" s="309"/>
      <c r="L88" s="309"/>
      <c r="M88" s="309"/>
      <c r="N88" s="309"/>
      <c r="O88" s="309"/>
      <c r="P88" s="309"/>
      <c r="Q88" s="309"/>
      <c r="R88" s="309"/>
      <c r="S88" s="309"/>
      <c r="T88" s="309"/>
      <c r="U88" s="309"/>
      <c r="V88" s="309">
        <v>0.74192424242424393</v>
      </c>
      <c r="W88" s="309"/>
      <c r="X88" s="309"/>
      <c r="Y88" s="309"/>
      <c r="Z88" s="309"/>
      <c r="AA88" s="309"/>
      <c r="AB88" s="309"/>
      <c r="AC88" s="309"/>
      <c r="AD88" s="309"/>
      <c r="AE88" s="309"/>
      <c r="AF88" s="309"/>
      <c r="AG88" s="309"/>
      <c r="AH88" s="309"/>
      <c r="AI88" s="309"/>
      <c r="AJ88" s="309"/>
      <c r="AK88" s="309"/>
      <c r="AL88" s="309"/>
      <c r="AM88" s="309"/>
      <c r="AN88" s="309"/>
      <c r="AO88" s="309"/>
      <c r="AP88" s="309"/>
      <c r="AQ88" s="309"/>
      <c r="AR88" s="309"/>
      <c r="AS88" s="309"/>
      <c r="AT88" s="309"/>
      <c r="AU88" s="309"/>
      <c r="AV88" s="309"/>
      <c r="AW88" s="309"/>
      <c r="AX88" s="309"/>
      <c r="AY88" s="309"/>
      <c r="AZ88" s="309"/>
      <c r="BA88" s="309"/>
      <c r="BB88" s="309"/>
    </row>
    <row r="89" spans="1:54" x14ac:dyDescent="0.25">
      <c r="A89" s="313">
        <v>12</v>
      </c>
      <c r="B89" s="86" t="str">
        <f t="shared" si="0"/>
        <v>GC - 308 - T3 - 66m²</v>
      </c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09"/>
      <c r="N89" s="309"/>
      <c r="O89" s="309"/>
      <c r="P89" s="309"/>
      <c r="Q89" s="309"/>
      <c r="R89" s="309"/>
      <c r="S89" s="309"/>
      <c r="T89" s="309"/>
      <c r="U89" s="309"/>
      <c r="V89" s="309">
        <v>0.30803030303030365</v>
      </c>
      <c r="W89" s="309"/>
      <c r="X89" s="309"/>
      <c r="Y89" s="309"/>
      <c r="Z89" s="309"/>
      <c r="AA89" s="309"/>
      <c r="AB89" s="309"/>
      <c r="AC89" s="309"/>
      <c r="AD89" s="309"/>
      <c r="AE89" s="309"/>
      <c r="AF89" s="309"/>
      <c r="AG89" s="309"/>
      <c r="AH89" s="309"/>
      <c r="AI89" s="309"/>
      <c r="AJ89" s="309"/>
      <c r="AK89" s="309"/>
      <c r="AL89" s="309"/>
      <c r="AM89" s="309"/>
      <c r="AN89" s="309"/>
      <c r="AO89" s="309"/>
      <c r="AP89" s="309"/>
      <c r="AQ89" s="309"/>
      <c r="AR89" s="309"/>
      <c r="AS89" s="309"/>
      <c r="AT89" s="309"/>
      <c r="AU89" s="309"/>
      <c r="AV89" s="309"/>
      <c r="AW89" s="309"/>
      <c r="AX89" s="309"/>
      <c r="AY89" s="309"/>
      <c r="AZ89" s="309"/>
      <c r="BA89" s="309"/>
      <c r="BB89" s="309"/>
    </row>
    <row r="90" spans="1:54" x14ac:dyDescent="0.25">
      <c r="A90" s="313">
        <v>13</v>
      </c>
      <c r="B90" s="86" t="str">
        <f t="shared" si="0"/>
        <v>GC - 314 - T4 - 75m²</v>
      </c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09"/>
      <c r="N90" s="309"/>
      <c r="O90" s="309"/>
      <c r="P90" s="309"/>
      <c r="Q90" s="309"/>
      <c r="R90" s="309"/>
      <c r="S90" s="309"/>
      <c r="T90" s="309"/>
      <c r="U90" s="309"/>
      <c r="V90" s="309">
        <v>1.5176400000000043</v>
      </c>
      <c r="W90" s="309"/>
      <c r="X90" s="309"/>
      <c r="Y90" s="309"/>
      <c r="Z90" s="309"/>
      <c r="AA90" s="309"/>
      <c r="AB90" s="309"/>
      <c r="AC90" s="309"/>
      <c r="AD90" s="309"/>
      <c r="AE90" s="309"/>
      <c r="AF90" s="309"/>
      <c r="AG90" s="309"/>
      <c r="AH90" s="309"/>
      <c r="AI90" s="309"/>
      <c r="AJ90" s="309"/>
      <c r="AK90" s="309"/>
      <c r="AL90" s="309"/>
      <c r="AM90" s="309"/>
      <c r="AN90" s="309"/>
      <c r="AO90" s="309"/>
      <c r="AP90" s="309"/>
      <c r="AQ90" s="309"/>
      <c r="AR90" s="309"/>
      <c r="AS90" s="309"/>
      <c r="AT90" s="309"/>
      <c r="AU90" s="309"/>
      <c r="AV90" s="309"/>
      <c r="AW90" s="309"/>
      <c r="AX90" s="309"/>
      <c r="AY90" s="309"/>
      <c r="AZ90" s="309"/>
      <c r="BA90" s="309"/>
      <c r="BB90" s="309"/>
    </row>
    <row r="91" spans="1:54" x14ac:dyDescent="0.25">
      <c r="A91" s="313">
        <v>14</v>
      </c>
      <c r="B91" s="86"/>
      <c r="C91" s="236"/>
      <c r="D91" s="236"/>
      <c r="E91" s="236"/>
      <c r="F91" s="236"/>
      <c r="G91" s="236"/>
      <c r="H91" s="236"/>
      <c r="I91" s="236"/>
      <c r="J91" s="236"/>
      <c r="K91" s="236"/>
      <c r="L91" s="236"/>
      <c r="M91" s="236"/>
      <c r="N91" s="236"/>
      <c r="O91" s="236"/>
      <c r="P91" s="236"/>
      <c r="Q91" s="236"/>
      <c r="R91" s="236"/>
      <c r="S91" s="236"/>
      <c r="T91" s="236"/>
      <c r="U91" s="236"/>
      <c r="V91" s="236"/>
      <c r="W91" s="236"/>
      <c r="X91" s="236"/>
      <c r="Y91" s="236"/>
      <c r="Z91" s="236"/>
      <c r="AA91" s="236"/>
      <c r="AB91" s="236"/>
      <c r="AC91" s="236"/>
      <c r="AD91" s="236"/>
      <c r="AE91" s="236"/>
      <c r="AF91" s="236"/>
      <c r="AG91" s="236"/>
      <c r="AH91" s="236"/>
      <c r="AI91" s="236"/>
      <c r="AJ91" s="236"/>
      <c r="AK91" s="236"/>
      <c r="AL91" s="236"/>
      <c r="AM91" s="236"/>
      <c r="AN91" s="236"/>
      <c r="AO91" s="236"/>
      <c r="AP91" s="236"/>
      <c r="AQ91" s="236"/>
      <c r="AR91" s="236"/>
      <c r="AS91" s="236"/>
      <c r="AT91" s="236"/>
      <c r="AU91" s="236"/>
      <c r="AV91" s="236"/>
      <c r="AW91" s="236"/>
      <c r="AX91" s="236"/>
      <c r="AY91" s="236"/>
      <c r="AZ91" s="236"/>
      <c r="BA91" s="236"/>
      <c r="BB91" s="236"/>
    </row>
    <row r="92" spans="1:54" x14ac:dyDescent="0.25">
      <c r="A92" s="313">
        <v>15</v>
      </c>
      <c r="B92" s="86" t="str">
        <f t="shared" ref="B92:B104" si="1">B38</f>
        <v>GE2.1 - 275 - T3 - 74m²</v>
      </c>
      <c r="C92" s="309"/>
      <c r="D92" s="309"/>
      <c r="E92" s="309"/>
      <c r="F92" s="309"/>
      <c r="G92" s="309"/>
      <c r="H92" s="309"/>
      <c r="I92" s="309"/>
      <c r="J92" s="309"/>
      <c r="K92" s="309"/>
      <c r="L92" s="309"/>
      <c r="M92" s="309"/>
      <c r="N92" s="309"/>
      <c r="O92" s="309"/>
      <c r="P92" s="309"/>
      <c r="Q92" s="309"/>
      <c r="R92" s="309"/>
      <c r="S92" s="309"/>
      <c r="T92" s="309"/>
      <c r="U92" s="309"/>
      <c r="V92" s="309">
        <v>0.70935135135135086</v>
      </c>
      <c r="W92" s="309"/>
      <c r="X92" s="309"/>
      <c r="Y92" s="309"/>
      <c r="Z92" s="309"/>
      <c r="AA92" s="309"/>
      <c r="AB92" s="309"/>
      <c r="AC92" s="309"/>
      <c r="AD92" s="309"/>
      <c r="AE92" s="309"/>
      <c r="AF92" s="309"/>
      <c r="AG92" s="309"/>
      <c r="AH92" s="309"/>
      <c r="AI92" s="309"/>
      <c r="AJ92" s="309"/>
      <c r="AK92" s="309"/>
      <c r="AL92" s="309"/>
      <c r="AM92" s="309"/>
      <c r="AN92" s="309"/>
      <c r="AO92" s="309"/>
      <c r="AP92" s="309"/>
      <c r="AQ92" s="309"/>
      <c r="AR92" s="309"/>
      <c r="AS92" s="309"/>
      <c r="AT92" s="309"/>
      <c r="AU92" s="309"/>
      <c r="AV92" s="309"/>
      <c r="AW92" s="309"/>
      <c r="AX92" s="309"/>
      <c r="AY92" s="309"/>
      <c r="AZ92" s="309"/>
      <c r="BA92" s="309"/>
      <c r="BB92" s="309"/>
    </row>
    <row r="93" spans="1:54" x14ac:dyDescent="0.25">
      <c r="A93" s="313">
        <v>16</v>
      </c>
      <c r="B93" s="86" t="str">
        <f t="shared" si="1"/>
        <v>GE2.1 - 278 - T2 - 57m²</v>
      </c>
      <c r="C93" s="309"/>
      <c r="D93" s="309"/>
      <c r="E93" s="309"/>
      <c r="F93" s="309"/>
      <c r="G93" s="309"/>
      <c r="H93" s="309"/>
      <c r="I93" s="309"/>
      <c r="J93" s="309"/>
      <c r="K93" s="309"/>
      <c r="L93" s="309"/>
      <c r="M93" s="309"/>
      <c r="N93" s="309"/>
      <c r="O93" s="309"/>
      <c r="P93" s="309"/>
      <c r="Q93" s="309"/>
      <c r="R93" s="309"/>
      <c r="S93" s="309"/>
      <c r="T93" s="309"/>
      <c r="U93" s="309"/>
      <c r="V93" s="309">
        <v>6.9087719298245406E-2</v>
      </c>
      <c r="W93" s="309"/>
      <c r="X93" s="309"/>
      <c r="Y93" s="309"/>
      <c r="Z93" s="309"/>
      <c r="AA93" s="309"/>
      <c r="AB93" s="309"/>
      <c r="AC93" s="309"/>
      <c r="AD93" s="309"/>
      <c r="AE93" s="309"/>
      <c r="AF93" s="309"/>
      <c r="AG93" s="309"/>
      <c r="AH93" s="309"/>
      <c r="AI93" s="309"/>
      <c r="AJ93" s="309"/>
      <c r="AK93" s="309"/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AV93" s="309"/>
      <c r="AW93" s="309"/>
      <c r="AX93" s="309"/>
      <c r="AY93" s="309"/>
      <c r="AZ93" s="309"/>
      <c r="BA93" s="309"/>
      <c r="BB93" s="309"/>
    </row>
    <row r="94" spans="1:54" x14ac:dyDescent="0.25">
      <c r="A94" s="313">
        <v>17</v>
      </c>
      <c r="B94" s="86" t="str">
        <f t="shared" si="1"/>
        <v>GE2.1 - 280 - T3 - 66m²</v>
      </c>
      <c r="C94" s="309"/>
      <c r="D94" s="309"/>
      <c r="E94" s="309"/>
      <c r="F94" s="309"/>
      <c r="G94" s="309"/>
      <c r="H94" s="309"/>
      <c r="I94" s="309"/>
      <c r="J94" s="309"/>
      <c r="K94" s="309"/>
      <c r="L94" s="309"/>
      <c r="M94" s="309"/>
      <c r="N94" s="309"/>
      <c r="O94" s="309"/>
      <c r="P94" s="309"/>
      <c r="Q94" s="309"/>
      <c r="R94" s="309"/>
      <c r="S94" s="309"/>
      <c r="T94" s="309"/>
      <c r="U94" s="309"/>
      <c r="V94" s="309">
        <v>3.3333333333333701E-4</v>
      </c>
      <c r="W94" s="309"/>
      <c r="X94" s="309"/>
      <c r="Y94" s="309"/>
      <c r="Z94" s="309"/>
      <c r="AA94" s="309"/>
      <c r="AB94" s="309"/>
      <c r="AC94" s="309"/>
      <c r="AD94" s="309"/>
      <c r="AE94" s="309"/>
      <c r="AF94" s="309"/>
      <c r="AG94" s="309"/>
      <c r="AH94" s="309"/>
      <c r="AI94" s="309"/>
      <c r="AJ94" s="309"/>
      <c r="AK94" s="309"/>
      <c r="AL94" s="309"/>
      <c r="AM94" s="309"/>
      <c r="AN94" s="309"/>
      <c r="AO94" s="309"/>
      <c r="AP94" s="309"/>
      <c r="AQ94" s="309"/>
      <c r="AR94" s="309"/>
      <c r="AS94" s="309"/>
      <c r="AT94" s="309"/>
      <c r="AU94" s="309"/>
      <c r="AV94" s="309"/>
      <c r="AW94" s="309"/>
      <c r="AX94" s="309"/>
      <c r="AY94" s="309"/>
      <c r="AZ94" s="309"/>
      <c r="BA94" s="309"/>
      <c r="BB94" s="309"/>
    </row>
    <row r="95" spans="1:54" x14ac:dyDescent="0.25">
      <c r="A95" s="313">
        <v>18</v>
      </c>
      <c r="B95" s="86" t="str">
        <f t="shared" si="1"/>
        <v>GE2.1 - 282 - T4 - 78m²</v>
      </c>
      <c r="C95" s="309"/>
      <c r="D95" s="309"/>
      <c r="E95" s="309"/>
      <c r="F95" s="309"/>
      <c r="G95" s="309"/>
      <c r="H95" s="309"/>
      <c r="I95" s="309"/>
      <c r="J95" s="309"/>
      <c r="K95" s="309"/>
      <c r="L95" s="309"/>
      <c r="M95" s="309"/>
      <c r="N95" s="309"/>
      <c r="O95" s="309"/>
      <c r="P95" s="309"/>
      <c r="Q95" s="309"/>
      <c r="R95" s="309"/>
      <c r="S95" s="309"/>
      <c r="T95" s="309"/>
      <c r="U95" s="309"/>
      <c r="V95" s="309">
        <v>0.3336538461538473</v>
      </c>
      <c r="W95" s="309"/>
      <c r="X95" s="309"/>
      <c r="Y95" s="309"/>
      <c r="Z95" s="309"/>
      <c r="AA95" s="309"/>
      <c r="AB95" s="309"/>
      <c r="AC95" s="309"/>
      <c r="AD95" s="309"/>
      <c r="AE95" s="309"/>
      <c r="AF95" s="309"/>
      <c r="AG95" s="309"/>
      <c r="AH95" s="309"/>
      <c r="AI95" s="309"/>
      <c r="AJ95" s="309"/>
      <c r="AK95" s="309"/>
      <c r="AL95" s="309"/>
      <c r="AM95" s="309"/>
      <c r="AN95" s="309"/>
      <c r="AO95" s="309"/>
      <c r="AP95" s="309"/>
      <c r="AQ95" s="309"/>
      <c r="AR95" s="309"/>
      <c r="AS95" s="309"/>
      <c r="AT95" s="309"/>
      <c r="AU95" s="309"/>
      <c r="AV95" s="309"/>
      <c r="AW95" s="309"/>
      <c r="AX95" s="309"/>
      <c r="AY95" s="309"/>
      <c r="AZ95" s="309"/>
      <c r="BA95" s="309"/>
      <c r="BB95" s="309"/>
    </row>
    <row r="96" spans="1:54" x14ac:dyDescent="0.25">
      <c r="A96" s="313">
        <v>19</v>
      </c>
      <c r="B96" s="86" t="str">
        <f t="shared" si="1"/>
        <v>GE2.1 - 292 - T3 - 63m²</v>
      </c>
      <c r="C96" s="309"/>
      <c r="D96" s="309"/>
      <c r="E96" s="309"/>
      <c r="F96" s="309"/>
      <c r="G96" s="309"/>
      <c r="H96" s="309"/>
      <c r="I96" s="309"/>
      <c r="J96" s="309"/>
      <c r="K96" s="309"/>
      <c r="L96" s="309"/>
      <c r="M96" s="309"/>
      <c r="N96" s="309"/>
      <c r="O96" s="309"/>
      <c r="P96" s="309"/>
      <c r="Q96" s="309"/>
      <c r="R96" s="309"/>
      <c r="S96" s="309"/>
      <c r="T96" s="309"/>
      <c r="U96" s="309"/>
      <c r="V96" s="309">
        <v>0.51390476190476153</v>
      </c>
      <c r="W96" s="309"/>
      <c r="X96" s="309"/>
      <c r="Y96" s="309"/>
      <c r="Z96" s="309"/>
      <c r="AA96" s="309"/>
      <c r="AB96" s="309"/>
      <c r="AC96" s="309"/>
      <c r="AD96" s="309"/>
      <c r="AE96" s="309"/>
      <c r="AF96" s="309"/>
      <c r="AG96" s="309"/>
      <c r="AH96" s="309"/>
      <c r="AI96" s="309"/>
      <c r="AJ96" s="309"/>
      <c r="AK96" s="309"/>
      <c r="AL96" s="309"/>
      <c r="AM96" s="309"/>
      <c r="AN96" s="309"/>
      <c r="AO96" s="309"/>
      <c r="AP96" s="309"/>
      <c r="AQ96" s="309"/>
      <c r="AR96" s="309"/>
      <c r="AS96" s="309"/>
      <c r="AT96" s="309"/>
      <c r="AU96" s="309"/>
      <c r="AV96" s="309"/>
      <c r="AW96" s="309"/>
      <c r="AX96" s="309"/>
      <c r="AY96" s="309"/>
      <c r="AZ96" s="309"/>
      <c r="BA96" s="309"/>
      <c r="BB96" s="309"/>
    </row>
    <row r="97" spans="1:54" x14ac:dyDescent="0.25">
      <c r="A97" s="313">
        <v>20</v>
      </c>
      <c r="B97" s="86" t="str">
        <f t="shared" si="1"/>
        <v>GE2.1 - 293 - T3 - 63m²</v>
      </c>
      <c r="C97" s="309"/>
      <c r="D97" s="309"/>
      <c r="E97" s="309"/>
      <c r="F97" s="309"/>
      <c r="G97" s="309"/>
      <c r="H97" s="309"/>
      <c r="I97" s="309"/>
      <c r="J97" s="309"/>
      <c r="K97" s="309"/>
      <c r="L97" s="309"/>
      <c r="M97" s="309"/>
      <c r="N97" s="309"/>
      <c r="O97" s="309"/>
      <c r="P97" s="309"/>
      <c r="Q97" s="309"/>
      <c r="R97" s="309"/>
      <c r="S97" s="309"/>
      <c r="T97" s="309"/>
      <c r="U97" s="309"/>
      <c r="V97" s="309">
        <v>0.39069841269841232</v>
      </c>
      <c r="W97" s="309"/>
      <c r="X97" s="309"/>
      <c r="Y97" s="309"/>
      <c r="Z97" s="309"/>
      <c r="AA97" s="309"/>
      <c r="AB97" s="309"/>
      <c r="AC97" s="309"/>
      <c r="AD97" s="309"/>
      <c r="AE97" s="309"/>
      <c r="AF97" s="309"/>
      <c r="AG97" s="309"/>
      <c r="AH97" s="309"/>
      <c r="AI97" s="309"/>
      <c r="AJ97" s="309"/>
      <c r="AK97" s="309"/>
      <c r="AL97" s="309"/>
      <c r="AM97" s="309"/>
      <c r="AN97" s="309"/>
      <c r="AO97" s="309"/>
      <c r="AP97" s="309"/>
      <c r="AQ97" s="309"/>
      <c r="AR97" s="309"/>
      <c r="AS97" s="309"/>
      <c r="AT97" s="309"/>
      <c r="AU97" s="309"/>
      <c r="AV97" s="309"/>
      <c r="AW97" s="309"/>
      <c r="AX97" s="309"/>
      <c r="AY97" s="309"/>
      <c r="AZ97" s="309"/>
      <c r="BA97" s="309"/>
      <c r="BB97" s="309"/>
    </row>
    <row r="98" spans="1:54" x14ac:dyDescent="0.25">
      <c r="A98" s="313">
        <v>21</v>
      </c>
      <c r="B98" s="86" t="str">
        <f t="shared" si="1"/>
        <v>GE2.1 - 295 - T3 - 63m²</v>
      </c>
      <c r="C98" s="309"/>
      <c r="D98" s="309"/>
      <c r="E98" s="309"/>
      <c r="F98" s="309"/>
      <c r="G98" s="309"/>
      <c r="H98" s="309"/>
      <c r="I98" s="309"/>
      <c r="J98" s="309"/>
      <c r="K98" s="309"/>
      <c r="L98" s="309"/>
      <c r="M98" s="309"/>
      <c r="N98" s="309"/>
      <c r="O98" s="309"/>
      <c r="P98" s="309"/>
      <c r="Q98" s="309"/>
      <c r="R98" s="309"/>
      <c r="S98" s="309"/>
      <c r="T98" s="309"/>
      <c r="U98" s="309"/>
      <c r="V98" s="309">
        <v>0.60038095238095346</v>
      </c>
      <c r="W98" s="309"/>
      <c r="X98" s="309"/>
      <c r="Y98" s="309"/>
      <c r="Z98" s="309"/>
      <c r="AA98" s="309"/>
      <c r="AB98" s="309"/>
      <c r="AC98" s="309"/>
      <c r="AD98" s="309"/>
      <c r="AE98" s="309"/>
      <c r="AF98" s="309"/>
      <c r="AG98" s="309"/>
      <c r="AH98" s="309"/>
      <c r="AI98" s="309"/>
      <c r="AJ98" s="309"/>
      <c r="AK98" s="309"/>
      <c r="AL98" s="309"/>
      <c r="AM98" s="309"/>
      <c r="AN98" s="309"/>
      <c r="AO98" s="309"/>
      <c r="AP98" s="309"/>
      <c r="AQ98" s="309"/>
      <c r="AR98" s="309"/>
      <c r="AS98" s="309"/>
      <c r="AT98" s="309"/>
      <c r="AU98" s="309"/>
      <c r="AV98" s="309"/>
      <c r="AW98" s="309"/>
      <c r="AX98" s="309"/>
      <c r="AY98" s="309"/>
      <c r="AZ98" s="309"/>
      <c r="BA98" s="309"/>
      <c r="BB98" s="309"/>
    </row>
    <row r="99" spans="1:54" x14ac:dyDescent="0.25">
      <c r="A99" s="313">
        <v>22</v>
      </c>
      <c r="B99" s="86" t="str">
        <f t="shared" si="1"/>
        <v>GE2.1 - 296 - T4 - 78m²</v>
      </c>
      <c r="C99" s="309"/>
      <c r="D99" s="309"/>
      <c r="E99" s="309"/>
      <c r="F99" s="309"/>
      <c r="G99" s="309"/>
      <c r="H99" s="309"/>
      <c r="I99" s="309"/>
      <c r="J99" s="309"/>
      <c r="K99" s="309"/>
      <c r="L99" s="309"/>
      <c r="M99" s="309"/>
      <c r="N99" s="309"/>
      <c r="O99" s="309"/>
      <c r="P99" s="309"/>
      <c r="Q99" s="309"/>
      <c r="R99" s="309"/>
      <c r="S99" s="309"/>
      <c r="T99" s="309"/>
      <c r="U99" s="309"/>
      <c r="V99" s="309">
        <v>0.27103846153846106</v>
      </c>
      <c r="W99" s="309"/>
      <c r="X99" s="309"/>
      <c r="Y99" s="309"/>
      <c r="Z99" s="309"/>
      <c r="AA99" s="309"/>
      <c r="AB99" s="309"/>
      <c r="AC99" s="309"/>
      <c r="AD99" s="309"/>
      <c r="AE99" s="309"/>
      <c r="AF99" s="309"/>
      <c r="AG99" s="309"/>
      <c r="AH99" s="309"/>
      <c r="AI99" s="309"/>
      <c r="AJ99" s="309"/>
      <c r="AK99" s="309"/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  <c r="AV99" s="309"/>
      <c r="AW99" s="309"/>
      <c r="AX99" s="309"/>
      <c r="AY99" s="309"/>
      <c r="AZ99" s="309"/>
      <c r="BA99" s="309"/>
      <c r="BB99" s="309"/>
    </row>
    <row r="100" spans="1:54" x14ac:dyDescent="0.25">
      <c r="A100" s="313">
        <v>23</v>
      </c>
      <c r="B100" s="86" t="str">
        <f t="shared" si="1"/>
        <v>GE2.1 - 297 - T4 - 79m²</v>
      </c>
      <c r="C100" s="309"/>
      <c r="D100" s="309"/>
      <c r="E100" s="309"/>
      <c r="F100" s="309"/>
      <c r="G100" s="309"/>
      <c r="H100" s="309"/>
      <c r="I100" s="309"/>
      <c r="J100" s="309"/>
      <c r="K100" s="309"/>
      <c r="L100" s="309"/>
      <c r="M100" s="309"/>
      <c r="N100" s="309"/>
      <c r="O100" s="309"/>
      <c r="P100" s="309"/>
      <c r="Q100" s="309"/>
      <c r="R100" s="309"/>
      <c r="S100" s="309"/>
      <c r="T100" s="309"/>
      <c r="U100" s="309"/>
      <c r="V100" s="309">
        <v>0.78700000000000003</v>
      </c>
      <c r="W100" s="309"/>
      <c r="X100" s="309"/>
      <c r="Y100" s="309"/>
      <c r="Z100" s="309"/>
      <c r="AA100" s="309"/>
      <c r="AB100" s="309"/>
      <c r="AC100" s="309"/>
      <c r="AD100" s="309"/>
      <c r="AE100" s="309"/>
      <c r="AF100" s="309"/>
      <c r="AG100" s="309"/>
      <c r="AH100" s="309"/>
      <c r="AI100" s="309"/>
      <c r="AJ100" s="309"/>
      <c r="AK100" s="309"/>
      <c r="AL100" s="309"/>
      <c r="AM100" s="309"/>
      <c r="AN100" s="309"/>
      <c r="AO100" s="309"/>
      <c r="AP100" s="309"/>
      <c r="AQ100" s="309"/>
      <c r="AR100" s="309"/>
      <c r="AS100" s="309"/>
      <c r="AT100" s="309"/>
      <c r="AU100" s="309"/>
      <c r="AV100" s="309"/>
      <c r="AW100" s="309"/>
      <c r="AX100" s="309"/>
      <c r="AY100" s="309"/>
      <c r="AZ100" s="309"/>
      <c r="BA100" s="309"/>
      <c r="BB100" s="309"/>
    </row>
    <row r="101" spans="1:54" x14ac:dyDescent="0.25">
      <c r="A101" s="313">
        <v>24</v>
      </c>
      <c r="B101" s="86" t="str">
        <f t="shared" si="1"/>
        <v>GE2.1 - 299 - T4 - 79m²</v>
      </c>
      <c r="C101" s="309"/>
      <c r="D101" s="309"/>
      <c r="E101" s="309"/>
      <c r="F101" s="309"/>
      <c r="G101" s="309"/>
      <c r="H101" s="309"/>
      <c r="I101" s="309"/>
      <c r="J101" s="309"/>
      <c r="K101" s="309"/>
      <c r="L101" s="309"/>
      <c r="M101" s="309"/>
      <c r="N101" s="309"/>
      <c r="O101" s="309"/>
      <c r="P101" s="309"/>
      <c r="Q101" s="309"/>
      <c r="R101" s="309"/>
      <c r="S101" s="309"/>
      <c r="T101" s="309"/>
      <c r="U101" s="309"/>
      <c r="V101" s="309">
        <v>0.36330379746835473</v>
      </c>
      <c r="W101" s="309"/>
      <c r="X101" s="309"/>
      <c r="Y101" s="309"/>
      <c r="Z101" s="309"/>
      <c r="AA101" s="309"/>
      <c r="AB101" s="309"/>
      <c r="AC101" s="309"/>
      <c r="AD101" s="309"/>
      <c r="AE101" s="309"/>
      <c r="AF101" s="309"/>
      <c r="AG101" s="309"/>
      <c r="AH101" s="309"/>
      <c r="AI101" s="309"/>
      <c r="AJ101" s="309"/>
      <c r="AK101" s="309"/>
      <c r="AL101" s="309"/>
      <c r="AM101" s="309"/>
      <c r="AN101" s="309"/>
      <c r="AO101" s="309"/>
      <c r="AP101" s="309"/>
      <c r="AQ101" s="309"/>
      <c r="AR101" s="309"/>
      <c r="AS101" s="309"/>
      <c r="AT101" s="309"/>
      <c r="AU101" s="309"/>
      <c r="AV101" s="309"/>
      <c r="AW101" s="309"/>
      <c r="AX101" s="309"/>
      <c r="AY101" s="309"/>
      <c r="AZ101" s="309"/>
      <c r="BA101" s="309"/>
      <c r="BB101" s="309"/>
    </row>
    <row r="102" spans="1:54" x14ac:dyDescent="0.25">
      <c r="A102" s="313">
        <v>25</v>
      </c>
      <c r="B102" s="86" t="str">
        <f t="shared" si="1"/>
        <v>GE2.1 - 300 - T5 - 93m²</v>
      </c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09"/>
      <c r="N102" s="309"/>
      <c r="O102" s="309"/>
      <c r="P102" s="309"/>
      <c r="Q102" s="309"/>
      <c r="R102" s="309"/>
      <c r="S102" s="309"/>
      <c r="T102" s="309"/>
      <c r="U102" s="309"/>
      <c r="V102" s="309">
        <v>0.72027956989247177</v>
      </c>
      <c r="W102" s="309"/>
      <c r="X102" s="309"/>
      <c r="Y102" s="309"/>
      <c r="Z102" s="309"/>
      <c r="AA102" s="309"/>
      <c r="AB102" s="309"/>
      <c r="AC102" s="309"/>
      <c r="AD102" s="309"/>
      <c r="AE102" s="309"/>
      <c r="AF102" s="309"/>
      <c r="AG102" s="309"/>
      <c r="AH102" s="309"/>
      <c r="AI102" s="309"/>
      <c r="AJ102" s="309"/>
      <c r="AK102" s="309"/>
      <c r="AL102" s="309"/>
      <c r="AM102" s="309"/>
      <c r="AN102" s="309"/>
      <c r="AO102" s="309"/>
      <c r="AP102" s="309"/>
      <c r="AQ102" s="309"/>
      <c r="AR102" s="309"/>
      <c r="AS102" s="309"/>
      <c r="AT102" s="309"/>
      <c r="AU102" s="309"/>
      <c r="AV102" s="309"/>
      <c r="AW102" s="309"/>
      <c r="AX102" s="309"/>
      <c r="AY102" s="309"/>
      <c r="AZ102" s="309"/>
      <c r="BA102" s="309"/>
      <c r="BB102" s="309"/>
    </row>
    <row r="103" spans="1:54" x14ac:dyDescent="0.25">
      <c r="A103" s="313">
        <v>26</v>
      </c>
      <c r="B103" s="86" t="str">
        <f t="shared" si="1"/>
        <v>GE2.1 - 302 - T5 - 93m²</v>
      </c>
      <c r="C103" s="309"/>
      <c r="D103" s="309"/>
      <c r="E103" s="309"/>
      <c r="F103" s="309"/>
      <c r="G103" s="309"/>
      <c r="H103" s="309"/>
      <c r="I103" s="309"/>
      <c r="J103" s="309"/>
      <c r="K103" s="309"/>
      <c r="L103" s="309"/>
      <c r="M103" s="309"/>
      <c r="N103" s="309"/>
      <c r="O103" s="309"/>
      <c r="P103" s="309"/>
      <c r="Q103" s="309"/>
      <c r="R103" s="309"/>
      <c r="S103" s="309"/>
      <c r="T103" s="309"/>
      <c r="U103" s="309"/>
      <c r="V103" s="309">
        <v>0.46965591397849338</v>
      </c>
      <c r="W103" s="309"/>
      <c r="X103" s="309"/>
      <c r="Y103" s="309"/>
      <c r="Z103" s="309"/>
      <c r="AA103" s="309"/>
      <c r="AB103" s="309"/>
      <c r="AC103" s="309"/>
      <c r="AD103" s="309"/>
      <c r="AE103" s="309"/>
      <c r="AF103" s="309"/>
      <c r="AG103" s="309"/>
      <c r="AH103" s="309"/>
      <c r="AI103" s="309"/>
      <c r="AJ103" s="309"/>
      <c r="AK103" s="309"/>
      <c r="AL103" s="309"/>
      <c r="AM103" s="309"/>
      <c r="AN103" s="309"/>
      <c r="AO103" s="309"/>
      <c r="AP103" s="309"/>
      <c r="AQ103" s="309"/>
      <c r="AR103" s="309"/>
      <c r="AS103" s="309"/>
      <c r="AT103" s="309"/>
      <c r="AU103" s="309"/>
      <c r="AV103" s="309"/>
      <c r="AW103" s="309"/>
      <c r="AX103" s="309"/>
      <c r="AY103" s="309"/>
      <c r="AZ103" s="309"/>
      <c r="BA103" s="309"/>
      <c r="BB103" s="309"/>
    </row>
    <row r="104" spans="1:54" x14ac:dyDescent="0.25">
      <c r="A104" s="313">
        <v>27</v>
      </c>
      <c r="B104" s="86" t="str">
        <f t="shared" si="1"/>
        <v>GE2.1 - 312 - T4 - 75m²</v>
      </c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  <c r="R104" s="309"/>
      <c r="S104" s="309"/>
      <c r="T104" s="309"/>
      <c r="U104" s="309"/>
      <c r="V104" s="309">
        <v>0.55522666666666431</v>
      </c>
      <c r="W104" s="309"/>
      <c r="X104" s="309"/>
      <c r="Y104" s="309"/>
      <c r="Z104" s="309"/>
      <c r="AA104" s="309"/>
      <c r="AB104" s="309"/>
      <c r="AC104" s="309"/>
      <c r="AD104" s="309"/>
      <c r="AE104" s="309"/>
      <c r="AF104" s="309"/>
      <c r="AG104" s="309"/>
      <c r="AH104" s="309"/>
      <c r="AI104" s="309"/>
      <c r="AJ104" s="309"/>
      <c r="AK104" s="309"/>
      <c r="AL104" s="309"/>
      <c r="AM104" s="309"/>
      <c r="AN104" s="309"/>
      <c r="AO104" s="309"/>
      <c r="AP104" s="309"/>
      <c r="AQ104" s="309"/>
      <c r="AR104" s="309"/>
      <c r="AS104" s="309"/>
      <c r="AT104" s="309"/>
      <c r="AU104" s="309"/>
      <c r="AV104" s="309"/>
      <c r="AW104" s="309"/>
      <c r="AX104" s="309"/>
      <c r="AY104" s="309"/>
      <c r="AZ104" s="309"/>
      <c r="BA104" s="309"/>
      <c r="BB104" s="309"/>
    </row>
    <row r="105" spans="1:54" x14ac:dyDescent="0.25">
      <c r="A105" s="313">
        <v>28</v>
      </c>
      <c r="B105" s="86"/>
      <c r="C105" s="236"/>
      <c r="D105" s="236"/>
      <c r="E105" s="236"/>
      <c r="F105" s="236"/>
      <c r="G105" s="236"/>
      <c r="H105" s="236"/>
      <c r="I105" s="236"/>
      <c r="J105" s="236"/>
      <c r="K105" s="236"/>
      <c r="L105" s="236"/>
      <c r="M105" s="236"/>
      <c r="N105" s="236"/>
      <c r="O105" s="236"/>
      <c r="P105" s="236"/>
      <c r="Q105" s="236"/>
      <c r="R105" s="236"/>
      <c r="S105" s="236"/>
      <c r="T105" s="236"/>
      <c r="U105" s="236"/>
      <c r="V105" s="236"/>
      <c r="W105" s="236"/>
      <c r="X105" s="236"/>
      <c r="Y105" s="236"/>
      <c r="Z105" s="236"/>
      <c r="AA105" s="236"/>
      <c r="AB105" s="236"/>
      <c r="AC105" s="236"/>
      <c r="AD105" s="236"/>
      <c r="AE105" s="236"/>
      <c r="AF105" s="236"/>
      <c r="AG105" s="236"/>
      <c r="AH105" s="236"/>
      <c r="AI105" s="236"/>
      <c r="AJ105" s="236"/>
      <c r="AK105" s="236"/>
      <c r="AL105" s="236"/>
      <c r="AM105" s="236"/>
      <c r="AN105" s="236"/>
      <c r="AO105" s="236"/>
      <c r="AP105" s="236"/>
      <c r="AQ105" s="236"/>
      <c r="AR105" s="236"/>
      <c r="AS105" s="236"/>
      <c r="AT105" s="236"/>
      <c r="AU105" s="236"/>
      <c r="AV105" s="236"/>
      <c r="AW105" s="236"/>
      <c r="AX105" s="236"/>
      <c r="AY105" s="236"/>
      <c r="AZ105" s="236"/>
      <c r="BA105" s="236"/>
      <c r="BB105" s="236"/>
    </row>
    <row r="106" spans="1:54" x14ac:dyDescent="0.25">
      <c r="A106" s="313">
        <v>29</v>
      </c>
      <c r="B106" s="86" t="str">
        <f t="shared" ref="B106:B118" si="2">B52</f>
        <v>GE2.2 - 271 - T3 - 74m²</v>
      </c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309"/>
      <c r="O106" s="309"/>
      <c r="P106" s="309"/>
      <c r="Q106" s="309"/>
      <c r="R106" s="309"/>
      <c r="S106" s="309"/>
      <c r="T106" s="309"/>
      <c r="U106" s="309"/>
      <c r="V106" s="309">
        <v>0.36048648648648557</v>
      </c>
      <c r="W106" s="309"/>
      <c r="X106" s="309"/>
      <c r="Y106" s="309"/>
      <c r="Z106" s="309"/>
      <c r="AA106" s="309"/>
      <c r="AB106" s="309"/>
      <c r="AC106" s="309"/>
      <c r="AD106" s="309"/>
      <c r="AE106" s="309"/>
      <c r="AF106" s="309"/>
      <c r="AG106" s="309"/>
      <c r="AH106" s="309"/>
      <c r="AI106" s="309"/>
      <c r="AJ106" s="309"/>
      <c r="AK106" s="309"/>
      <c r="AL106" s="309"/>
      <c r="AM106" s="309"/>
      <c r="AN106" s="309"/>
      <c r="AO106" s="309"/>
      <c r="AP106" s="309"/>
      <c r="AQ106" s="309"/>
      <c r="AR106" s="309"/>
      <c r="AS106" s="309"/>
      <c r="AT106" s="309"/>
      <c r="AU106" s="309"/>
      <c r="AV106" s="309"/>
      <c r="AW106" s="309"/>
      <c r="AX106" s="309"/>
      <c r="AY106" s="309"/>
      <c r="AZ106" s="309"/>
      <c r="BA106" s="309"/>
      <c r="BB106" s="309"/>
    </row>
    <row r="107" spans="1:54" x14ac:dyDescent="0.25">
      <c r="A107" s="313">
        <v>30</v>
      </c>
      <c r="B107" s="86" t="str">
        <f t="shared" si="2"/>
        <v>GE2.2 - 272 - T3 - 74m²</v>
      </c>
      <c r="C107" s="309"/>
      <c r="D107" s="309"/>
      <c r="E107" s="309"/>
      <c r="F107" s="309"/>
      <c r="G107" s="309"/>
      <c r="H107" s="309"/>
      <c r="I107" s="309"/>
      <c r="J107" s="309"/>
      <c r="K107" s="309"/>
      <c r="L107" s="309"/>
      <c r="M107" s="309"/>
      <c r="N107" s="309"/>
      <c r="O107" s="309"/>
      <c r="P107" s="309"/>
      <c r="Q107" s="309"/>
      <c r="R107" s="309"/>
      <c r="S107" s="309"/>
      <c r="T107" s="309"/>
      <c r="U107" s="309"/>
      <c r="V107" s="309">
        <v>1.4495945945945943</v>
      </c>
      <c r="W107" s="309"/>
      <c r="X107" s="309"/>
      <c r="Y107" s="309"/>
      <c r="Z107" s="309"/>
      <c r="AA107" s="309"/>
      <c r="AB107" s="309"/>
      <c r="AC107" s="309"/>
      <c r="AD107" s="309"/>
      <c r="AE107" s="309"/>
      <c r="AF107" s="309"/>
      <c r="AG107" s="309"/>
      <c r="AH107" s="309"/>
      <c r="AI107" s="309"/>
      <c r="AJ107" s="309"/>
      <c r="AK107" s="309"/>
      <c r="AL107" s="309"/>
      <c r="AM107" s="309"/>
      <c r="AN107" s="309"/>
      <c r="AO107" s="309"/>
      <c r="AP107" s="309"/>
      <c r="AQ107" s="309"/>
      <c r="AR107" s="309"/>
      <c r="AS107" s="309"/>
      <c r="AT107" s="309"/>
      <c r="AU107" s="309"/>
      <c r="AV107" s="309"/>
      <c r="AW107" s="309"/>
      <c r="AX107" s="309"/>
      <c r="AY107" s="309"/>
      <c r="AZ107" s="309"/>
      <c r="BA107" s="309"/>
      <c r="BB107" s="309"/>
    </row>
    <row r="108" spans="1:54" x14ac:dyDescent="0.25">
      <c r="A108" s="313">
        <v>31</v>
      </c>
      <c r="B108" s="86" t="str">
        <f t="shared" si="2"/>
        <v>GE2.2 - 273 - T3 - 74m²</v>
      </c>
      <c r="C108" s="309"/>
      <c r="D108" s="309"/>
      <c r="E108" s="309"/>
      <c r="F108" s="309"/>
      <c r="G108" s="309"/>
      <c r="H108" s="309"/>
      <c r="I108" s="309"/>
      <c r="J108" s="309"/>
      <c r="K108" s="309"/>
      <c r="L108" s="309"/>
      <c r="M108" s="309"/>
      <c r="N108" s="309"/>
      <c r="O108" s="309"/>
      <c r="P108" s="309"/>
      <c r="Q108" s="309"/>
      <c r="R108" s="309"/>
      <c r="S108" s="309"/>
      <c r="T108" s="309"/>
      <c r="U108" s="309"/>
      <c r="V108" s="309">
        <v>0.79736486486486324</v>
      </c>
      <c r="W108" s="309"/>
      <c r="X108" s="309"/>
      <c r="Y108" s="309"/>
      <c r="Z108" s="309"/>
      <c r="AA108" s="309"/>
      <c r="AB108" s="309"/>
      <c r="AC108" s="309"/>
      <c r="AD108" s="309"/>
      <c r="AE108" s="309"/>
      <c r="AF108" s="309"/>
      <c r="AG108" s="309"/>
      <c r="AH108" s="309"/>
      <c r="AI108" s="309"/>
      <c r="AJ108" s="309"/>
      <c r="AK108" s="309"/>
      <c r="AL108" s="309"/>
      <c r="AM108" s="309"/>
      <c r="AN108" s="309"/>
      <c r="AO108" s="309"/>
      <c r="AP108" s="309"/>
      <c r="AQ108" s="309"/>
      <c r="AR108" s="309"/>
      <c r="AS108" s="309"/>
      <c r="AT108" s="309"/>
      <c r="AU108" s="309"/>
      <c r="AV108" s="309"/>
      <c r="AW108" s="309"/>
      <c r="AX108" s="309"/>
      <c r="AY108" s="309"/>
      <c r="AZ108" s="309"/>
      <c r="BA108" s="309"/>
      <c r="BB108" s="309"/>
    </row>
    <row r="109" spans="1:54" x14ac:dyDescent="0.25">
      <c r="A109" s="313">
        <v>32</v>
      </c>
      <c r="B109" s="86" t="str">
        <f t="shared" si="2"/>
        <v>GE2.2 - 276 - T4 - 83m²</v>
      </c>
      <c r="C109" s="309"/>
      <c r="D109" s="309"/>
      <c r="E109" s="309"/>
      <c r="F109" s="309"/>
      <c r="G109" s="309"/>
      <c r="H109" s="309"/>
      <c r="I109" s="309"/>
      <c r="J109" s="309"/>
      <c r="K109" s="309"/>
      <c r="L109" s="309"/>
      <c r="M109" s="309"/>
      <c r="N109" s="309"/>
      <c r="O109" s="309"/>
      <c r="P109" s="309"/>
      <c r="Q109" s="309"/>
      <c r="R109" s="309"/>
      <c r="S109" s="309"/>
      <c r="T109" s="309"/>
      <c r="U109" s="309"/>
      <c r="V109" s="309">
        <v>0.96987951807228912</v>
      </c>
      <c r="W109" s="309"/>
      <c r="X109" s="309"/>
      <c r="Y109" s="309"/>
      <c r="Z109" s="309"/>
      <c r="AA109" s="309"/>
      <c r="AB109" s="309"/>
      <c r="AC109" s="309"/>
      <c r="AD109" s="309"/>
      <c r="AE109" s="309"/>
      <c r="AF109" s="309"/>
      <c r="AG109" s="309"/>
      <c r="AH109" s="309"/>
      <c r="AI109" s="309"/>
      <c r="AJ109" s="309"/>
      <c r="AK109" s="309"/>
      <c r="AL109" s="309"/>
      <c r="AM109" s="309"/>
      <c r="AN109" s="309"/>
      <c r="AO109" s="309"/>
      <c r="AP109" s="309"/>
      <c r="AQ109" s="309"/>
      <c r="AR109" s="309"/>
      <c r="AS109" s="309"/>
      <c r="AT109" s="309"/>
      <c r="AU109" s="309"/>
      <c r="AV109" s="309"/>
      <c r="AW109" s="309"/>
      <c r="AX109" s="309"/>
      <c r="AY109" s="309"/>
      <c r="AZ109" s="309"/>
      <c r="BA109" s="309"/>
      <c r="BB109" s="309"/>
    </row>
    <row r="110" spans="1:54" x14ac:dyDescent="0.25">
      <c r="A110" s="313">
        <v>33</v>
      </c>
      <c r="B110" s="86" t="str">
        <f t="shared" si="2"/>
        <v>GE2.2 - 279 - T3 - 70m²</v>
      </c>
      <c r="C110" s="309"/>
      <c r="D110" s="309"/>
      <c r="E110" s="309"/>
      <c r="F110" s="309"/>
      <c r="G110" s="309"/>
      <c r="H110" s="309"/>
      <c r="I110" s="309"/>
      <c r="J110" s="309"/>
      <c r="K110" s="309"/>
      <c r="L110" s="309"/>
      <c r="M110" s="309"/>
      <c r="N110" s="309"/>
      <c r="O110" s="309"/>
      <c r="P110" s="309"/>
      <c r="Q110" s="309"/>
      <c r="R110" s="309"/>
      <c r="S110" s="309"/>
      <c r="T110" s="309"/>
      <c r="U110" s="309"/>
      <c r="V110" s="309">
        <v>0.68985714285714239</v>
      </c>
      <c r="W110" s="309"/>
      <c r="X110" s="309"/>
      <c r="Y110" s="309"/>
      <c r="Z110" s="309"/>
      <c r="AA110" s="309"/>
      <c r="AB110" s="309"/>
      <c r="AC110" s="309"/>
      <c r="AD110" s="309"/>
      <c r="AE110" s="309"/>
      <c r="AF110" s="309"/>
      <c r="AG110" s="309"/>
      <c r="AH110" s="309"/>
      <c r="AI110" s="309"/>
      <c r="AJ110" s="309"/>
      <c r="AK110" s="309"/>
      <c r="AL110" s="309"/>
      <c r="AM110" s="309"/>
      <c r="AN110" s="309"/>
      <c r="AO110" s="309"/>
      <c r="AP110" s="309"/>
      <c r="AQ110" s="309"/>
      <c r="AR110" s="309"/>
      <c r="AS110" s="309"/>
      <c r="AT110" s="309"/>
      <c r="AU110" s="309"/>
      <c r="AV110" s="309"/>
      <c r="AW110" s="309"/>
      <c r="AX110" s="309"/>
      <c r="AY110" s="309"/>
      <c r="AZ110" s="309"/>
      <c r="BA110" s="309"/>
      <c r="BB110" s="309"/>
    </row>
    <row r="111" spans="1:54" x14ac:dyDescent="0.25">
      <c r="A111" s="313">
        <v>34</v>
      </c>
      <c r="B111" s="86" t="str">
        <f t="shared" si="2"/>
        <v>GE2.2 - 288 - T3 - 68m²</v>
      </c>
      <c r="C111" s="309"/>
      <c r="D111" s="309"/>
      <c r="E111" s="309"/>
      <c r="F111" s="309"/>
      <c r="G111" s="309"/>
      <c r="H111" s="309"/>
      <c r="I111" s="309"/>
      <c r="J111" s="309"/>
      <c r="K111" s="309"/>
      <c r="L111" s="309"/>
      <c r="M111" s="309"/>
      <c r="N111" s="309"/>
      <c r="O111" s="309"/>
      <c r="P111" s="309"/>
      <c r="Q111" s="309"/>
      <c r="R111" s="309"/>
      <c r="S111" s="309"/>
      <c r="T111" s="309"/>
      <c r="U111" s="309"/>
      <c r="V111" s="309">
        <v>0.49985294117647072</v>
      </c>
      <c r="W111" s="309"/>
      <c r="X111" s="309"/>
      <c r="Y111" s="309"/>
      <c r="Z111" s="309"/>
      <c r="AA111" s="309"/>
      <c r="AB111" s="309"/>
      <c r="AC111" s="309"/>
      <c r="AD111" s="309"/>
      <c r="AE111" s="309"/>
      <c r="AF111" s="309"/>
      <c r="AG111" s="309"/>
      <c r="AH111" s="309"/>
      <c r="AI111" s="309"/>
      <c r="AJ111" s="309"/>
      <c r="AK111" s="309"/>
      <c r="AL111" s="309"/>
      <c r="AM111" s="309"/>
      <c r="AN111" s="309"/>
      <c r="AO111" s="309"/>
      <c r="AP111" s="309"/>
      <c r="AQ111" s="309"/>
      <c r="AR111" s="309"/>
      <c r="AS111" s="309"/>
      <c r="AT111" s="309"/>
      <c r="AU111" s="309"/>
      <c r="AV111" s="309"/>
      <c r="AW111" s="309"/>
      <c r="AX111" s="309"/>
      <c r="AY111" s="309"/>
      <c r="AZ111" s="309"/>
      <c r="BA111" s="309"/>
      <c r="BB111" s="309"/>
    </row>
    <row r="112" spans="1:54" x14ac:dyDescent="0.25">
      <c r="A112" s="313">
        <v>35</v>
      </c>
      <c r="B112" s="86" t="str">
        <f t="shared" si="2"/>
        <v>GE2.2 - 291 - T3 - 62m²</v>
      </c>
      <c r="C112" s="309"/>
      <c r="D112" s="309"/>
      <c r="E112" s="309"/>
      <c r="F112" s="309"/>
      <c r="G112" s="309"/>
      <c r="H112" s="309"/>
      <c r="I112" s="309"/>
      <c r="J112" s="309"/>
      <c r="K112" s="309"/>
      <c r="L112" s="309"/>
      <c r="M112" s="309"/>
      <c r="N112" s="309"/>
      <c r="O112" s="309"/>
      <c r="P112" s="309"/>
      <c r="Q112" s="309"/>
      <c r="R112" s="309"/>
      <c r="S112" s="309"/>
      <c r="T112" s="309"/>
      <c r="U112" s="309"/>
      <c r="V112" s="309">
        <v>0.20582258064516076</v>
      </c>
      <c r="W112" s="309"/>
      <c r="X112" s="309"/>
      <c r="Y112" s="309"/>
      <c r="Z112" s="309"/>
      <c r="AA112" s="309"/>
      <c r="AB112" s="309"/>
      <c r="AC112" s="309"/>
      <c r="AD112" s="309"/>
      <c r="AE112" s="309"/>
      <c r="AF112" s="309"/>
      <c r="AG112" s="309"/>
      <c r="AH112" s="309"/>
      <c r="AI112" s="309"/>
      <c r="AJ112" s="309"/>
      <c r="AK112" s="309"/>
      <c r="AL112" s="309"/>
      <c r="AM112" s="309"/>
      <c r="AN112" s="309"/>
      <c r="AO112" s="309"/>
      <c r="AP112" s="309"/>
      <c r="AQ112" s="309"/>
      <c r="AR112" s="309"/>
      <c r="AS112" s="309"/>
      <c r="AT112" s="309"/>
      <c r="AU112" s="309"/>
      <c r="AV112" s="309"/>
      <c r="AW112" s="309"/>
      <c r="AX112" s="309"/>
      <c r="AY112" s="309"/>
      <c r="AZ112" s="309"/>
      <c r="BA112" s="309"/>
      <c r="BB112" s="309"/>
    </row>
    <row r="113" spans="1:54" x14ac:dyDescent="0.25">
      <c r="A113" s="313">
        <v>36</v>
      </c>
      <c r="B113" s="86" t="str">
        <f t="shared" si="2"/>
        <v>GE2.2 - 294 - T3 - 63m²</v>
      </c>
      <c r="C113" s="309"/>
      <c r="D113" s="309"/>
      <c r="E113" s="309"/>
      <c r="F113" s="309"/>
      <c r="G113" s="309"/>
      <c r="H113" s="309"/>
      <c r="I113" s="309"/>
      <c r="J113" s="309"/>
      <c r="K113" s="309"/>
      <c r="L113" s="309"/>
      <c r="M113" s="309"/>
      <c r="N113" s="309"/>
      <c r="O113" s="309"/>
      <c r="P113" s="309"/>
      <c r="Q113" s="309"/>
      <c r="R113" s="309"/>
      <c r="S113" s="309"/>
      <c r="T113" s="309"/>
      <c r="U113" s="309"/>
      <c r="V113" s="309">
        <v>0.74509523809523492</v>
      </c>
      <c r="W113" s="309"/>
      <c r="X113" s="309"/>
      <c r="Y113" s="309"/>
      <c r="Z113" s="309"/>
      <c r="AA113" s="309"/>
      <c r="AB113" s="309"/>
      <c r="AC113" s="309"/>
      <c r="AD113" s="309"/>
      <c r="AE113" s="309"/>
      <c r="AF113" s="309"/>
      <c r="AG113" s="309"/>
      <c r="AH113" s="309"/>
      <c r="AI113" s="309"/>
      <c r="AJ113" s="309"/>
      <c r="AK113" s="309"/>
      <c r="AL113" s="309"/>
      <c r="AM113" s="309"/>
      <c r="AN113" s="309"/>
      <c r="AO113" s="309"/>
      <c r="AP113" s="309"/>
      <c r="AQ113" s="309"/>
      <c r="AR113" s="309"/>
      <c r="AS113" s="309"/>
      <c r="AT113" s="309"/>
      <c r="AU113" s="309"/>
      <c r="AV113" s="309"/>
      <c r="AW113" s="309"/>
      <c r="AX113" s="309"/>
      <c r="AY113" s="309"/>
      <c r="AZ113" s="309"/>
      <c r="BA113" s="309"/>
      <c r="BB113" s="309"/>
    </row>
    <row r="114" spans="1:54" x14ac:dyDescent="0.25">
      <c r="A114" s="313">
        <v>37</v>
      </c>
      <c r="B114" s="86" t="str">
        <f t="shared" si="2"/>
        <v>GE2.2 - 298 - T5 - 93m²</v>
      </c>
      <c r="C114" s="309"/>
      <c r="D114" s="309"/>
      <c r="E114" s="309"/>
      <c r="F114" s="309"/>
      <c r="G114" s="309"/>
      <c r="H114" s="309"/>
      <c r="I114" s="309"/>
      <c r="J114" s="309"/>
      <c r="K114" s="309"/>
      <c r="L114" s="309"/>
      <c r="M114" s="309"/>
      <c r="N114" s="309"/>
      <c r="O114" s="309"/>
      <c r="P114" s="309"/>
      <c r="Q114" s="309"/>
      <c r="R114" s="309"/>
      <c r="S114" s="309"/>
      <c r="T114" s="309"/>
      <c r="U114" s="309"/>
      <c r="V114" s="309">
        <v>0.76554838709677331</v>
      </c>
      <c r="W114" s="309"/>
      <c r="X114" s="309"/>
      <c r="Y114" s="309"/>
      <c r="Z114" s="309"/>
      <c r="AA114" s="309"/>
      <c r="AB114" s="309"/>
      <c r="AC114" s="309"/>
      <c r="AD114" s="309"/>
      <c r="AE114" s="309"/>
      <c r="AF114" s="309"/>
      <c r="AG114" s="309"/>
      <c r="AH114" s="309"/>
      <c r="AI114" s="309"/>
      <c r="AJ114" s="309"/>
      <c r="AK114" s="309"/>
      <c r="AL114" s="309"/>
      <c r="AM114" s="309"/>
      <c r="AN114" s="309"/>
      <c r="AO114" s="309"/>
      <c r="AP114" s="309"/>
      <c r="AQ114" s="309"/>
      <c r="AR114" s="309"/>
      <c r="AS114" s="309"/>
      <c r="AT114" s="309"/>
      <c r="AU114" s="309"/>
      <c r="AV114" s="309"/>
      <c r="AW114" s="309"/>
      <c r="AX114" s="309"/>
      <c r="AY114" s="309"/>
      <c r="AZ114" s="309"/>
      <c r="BA114" s="309"/>
      <c r="BB114" s="309"/>
    </row>
    <row r="115" spans="1:54" x14ac:dyDescent="0.25">
      <c r="A115" s="313">
        <v>38</v>
      </c>
      <c r="B115" s="86" t="str">
        <f t="shared" si="2"/>
        <v>GE2.2 - 301 - T4 - 79m²</v>
      </c>
      <c r="C115" s="309"/>
      <c r="D115" s="309"/>
      <c r="E115" s="309"/>
      <c r="F115" s="309"/>
      <c r="G115" s="309"/>
      <c r="H115" s="309"/>
      <c r="I115" s="309"/>
      <c r="J115" s="309"/>
      <c r="K115" s="309"/>
      <c r="L115" s="309"/>
      <c r="M115" s="309"/>
      <c r="N115" s="309"/>
      <c r="O115" s="309"/>
      <c r="P115" s="309"/>
      <c r="Q115" s="309"/>
      <c r="R115" s="309"/>
      <c r="S115" s="309"/>
      <c r="T115" s="309"/>
      <c r="U115" s="309"/>
      <c r="V115" s="309">
        <v>0.89856962025316267</v>
      </c>
      <c r="W115" s="309"/>
      <c r="X115" s="309"/>
      <c r="Y115" s="309"/>
      <c r="Z115" s="309"/>
      <c r="AA115" s="309"/>
      <c r="AB115" s="309"/>
      <c r="AC115" s="309"/>
      <c r="AD115" s="309"/>
      <c r="AE115" s="309"/>
      <c r="AF115" s="309"/>
      <c r="AG115" s="309"/>
      <c r="AH115" s="309"/>
      <c r="AI115" s="309"/>
      <c r="AJ115" s="309"/>
      <c r="AK115" s="309"/>
      <c r="AL115" s="309"/>
      <c r="AM115" s="309"/>
      <c r="AN115" s="309"/>
      <c r="AO115" s="309"/>
      <c r="AP115" s="309"/>
      <c r="AQ115" s="309"/>
      <c r="AR115" s="309"/>
      <c r="AS115" s="309"/>
      <c r="AT115" s="309"/>
      <c r="AU115" s="309"/>
      <c r="AV115" s="309"/>
      <c r="AW115" s="309"/>
      <c r="AX115" s="309"/>
      <c r="AY115" s="309"/>
      <c r="AZ115" s="309"/>
      <c r="BA115" s="309"/>
      <c r="BB115" s="309"/>
    </row>
    <row r="116" spans="1:54" x14ac:dyDescent="0.25">
      <c r="A116" s="313">
        <v>39</v>
      </c>
      <c r="B116" s="86" t="str">
        <f t="shared" si="2"/>
        <v>GE2.2 - 311 - T4 - 74m²</v>
      </c>
      <c r="C116" s="309"/>
      <c r="D116" s="309"/>
      <c r="E116" s="309"/>
      <c r="F116" s="309"/>
      <c r="G116" s="309"/>
      <c r="H116" s="309"/>
      <c r="I116" s="309"/>
      <c r="J116" s="309"/>
      <c r="K116" s="309"/>
      <c r="L116" s="309"/>
      <c r="M116" s="309"/>
      <c r="N116" s="309"/>
      <c r="O116" s="309"/>
      <c r="P116" s="309"/>
      <c r="Q116" s="309"/>
      <c r="R116" s="309"/>
      <c r="S116" s="309"/>
      <c r="T116" s="309"/>
      <c r="U116" s="309"/>
      <c r="V116" s="309">
        <v>0.4733243243243237</v>
      </c>
      <c r="W116" s="309"/>
      <c r="X116" s="309"/>
      <c r="Y116" s="309"/>
      <c r="Z116" s="309"/>
      <c r="AA116" s="309"/>
      <c r="AB116" s="309"/>
      <c r="AC116" s="309"/>
      <c r="AD116" s="309"/>
      <c r="AE116" s="309"/>
      <c r="AF116" s="309"/>
      <c r="AG116" s="309"/>
      <c r="AH116" s="309"/>
      <c r="AI116" s="309"/>
      <c r="AJ116" s="309"/>
      <c r="AK116" s="309"/>
      <c r="AL116" s="309"/>
      <c r="AM116" s="309"/>
      <c r="AN116" s="309"/>
      <c r="AO116" s="309"/>
      <c r="AP116" s="309"/>
      <c r="AQ116" s="309"/>
      <c r="AR116" s="309"/>
      <c r="AS116" s="309"/>
      <c r="AT116" s="309"/>
      <c r="AU116" s="309"/>
      <c r="AV116" s="309"/>
      <c r="AW116" s="309"/>
      <c r="AX116" s="309"/>
      <c r="AY116" s="309"/>
      <c r="AZ116" s="309"/>
      <c r="BA116" s="309"/>
      <c r="BB116" s="309"/>
    </row>
    <row r="117" spans="1:54" x14ac:dyDescent="0.25">
      <c r="A117" s="313">
        <v>40</v>
      </c>
      <c r="B117" s="86" t="str">
        <f t="shared" si="2"/>
        <v>GE2.2 - 313 - T4 - 75m²</v>
      </c>
      <c r="C117" s="309"/>
      <c r="D117" s="309"/>
      <c r="E117" s="309"/>
      <c r="F117" s="309"/>
      <c r="G117" s="309"/>
      <c r="H117" s="309"/>
      <c r="I117" s="309"/>
      <c r="J117" s="309"/>
      <c r="K117" s="309"/>
      <c r="L117" s="309"/>
      <c r="M117" s="309"/>
      <c r="N117" s="309"/>
      <c r="O117" s="309"/>
      <c r="P117" s="309"/>
      <c r="Q117" s="309"/>
      <c r="R117" s="309"/>
      <c r="S117" s="309"/>
      <c r="T117" s="309"/>
      <c r="U117" s="309"/>
      <c r="V117" s="309">
        <v>0.36859999999999976</v>
      </c>
      <c r="W117" s="309"/>
      <c r="X117" s="309"/>
      <c r="Y117" s="309"/>
      <c r="Z117" s="309"/>
      <c r="AA117" s="309"/>
      <c r="AB117" s="309"/>
      <c r="AC117" s="309"/>
      <c r="AD117" s="309"/>
      <c r="AE117" s="309"/>
      <c r="AF117" s="309"/>
      <c r="AG117" s="309"/>
      <c r="AH117" s="309"/>
      <c r="AI117" s="309"/>
      <c r="AJ117" s="309"/>
      <c r="AK117" s="309"/>
      <c r="AL117" s="309"/>
      <c r="AM117" s="309"/>
      <c r="AN117" s="309"/>
      <c r="AO117" s="309"/>
      <c r="AP117" s="309"/>
      <c r="AQ117" s="309"/>
      <c r="AR117" s="309"/>
      <c r="AS117" s="309"/>
      <c r="AT117" s="309"/>
      <c r="AU117" s="309"/>
      <c r="AV117" s="309"/>
      <c r="AW117" s="309"/>
      <c r="AX117" s="309"/>
      <c r="AY117" s="309"/>
      <c r="AZ117" s="309"/>
      <c r="BA117" s="309"/>
      <c r="BB117" s="309"/>
    </row>
    <row r="118" spans="1:54" x14ac:dyDescent="0.25">
      <c r="A118" s="313">
        <v>41</v>
      </c>
      <c r="B118" s="86" t="str">
        <f t="shared" si="2"/>
        <v>GE2.2 - 315 - T4 - 75m²</v>
      </c>
      <c r="C118" s="309"/>
      <c r="D118" s="309"/>
      <c r="E118" s="309"/>
      <c r="F118" s="309"/>
      <c r="G118" s="309"/>
      <c r="H118" s="309"/>
      <c r="I118" s="309"/>
      <c r="J118" s="309"/>
      <c r="K118" s="309"/>
      <c r="L118" s="309"/>
      <c r="M118" s="309"/>
      <c r="N118" s="309"/>
      <c r="O118" s="309"/>
      <c r="P118" s="309"/>
      <c r="Q118" s="309"/>
      <c r="R118" s="309"/>
      <c r="S118" s="309"/>
      <c r="T118" s="309"/>
      <c r="U118" s="309"/>
      <c r="V118" s="309">
        <v>0.65184000000000197</v>
      </c>
      <c r="W118" s="309"/>
      <c r="X118" s="309"/>
      <c r="Y118" s="309"/>
      <c r="Z118" s="309"/>
      <c r="AA118" s="309"/>
      <c r="AB118" s="309"/>
      <c r="AC118" s="309"/>
      <c r="AD118" s="309"/>
      <c r="AE118" s="309"/>
      <c r="AF118" s="309"/>
      <c r="AG118" s="309"/>
      <c r="AH118" s="309"/>
      <c r="AI118" s="309"/>
      <c r="AJ118" s="309"/>
      <c r="AK118" s="309"/>
      <c r="AL118" s="309"/>
      <c r="AM118" s="309"/>
      <c r="AN118" s="309"/>
      <c r="AO118" s="309"/>
      <c r="AP118" s="309"/>
      <c r="AQ118" s="309"/>
      <c r="AR118" s="309"/>
      <c r="AS118" s="309"/>
      <c r="AT118" s="309"/>
      <c r="AU118" s="309"/>
      <c r="AV118" s="309"/>
      <c r="AW118" s="309"/>
      <c r="AX118" s="309"/>
      <c r="AY118" s="309"/>
      <c r="AZ118" s="309"/>
      <c r="BA118" s="309"/>
      <c r="BB118" s="309"/>
    </row>
    <row r="119" spans="1:54" x14ac:dyDescent="0.25">
      <c r="A119" s="313">
        <v>42</v>
      </c>
      <c r="B119" s="86"/>
      <c r="C119" s="236"/>
      <c r="D119" s="236"/>
      <c r="E119" s="236"/>
      <c r="F119" s="236"/>
      <c r="G119" s="236"/>
      <c r="H119" s="236"/>
      <c r="I119" s="236"/>
      <c r="J119" s="236"/>
      <c r="K119" s="236"/>
      <c r="L119" s="236"/>
      <c r="M119" s="236"/>
      <c r="N119" s="236"/>
      <c r="O119" s="236"/>
      <c r="P119" s="236"/>
      <c r="Q119" s="236"/>
      <c r="R119" s="236"/>
      <c r="S119" s="236"/>
      <c r="T119" s="236"/>
      <c r="U119" s="236"/>
      <c r="V119" s="236"/>
      <c r="W119" s="236"/>
      <c r="X119" s="236"/>
      <c r="Y119" s="236"/>
      <c r="Z119" s="236"/>
      <c r="AA119" s="236"/>
      <c r="AB119" s="236"/>
      <c r="AC119" s="236"/>
      <c r="AD119" s="236"/>
      <c r="AE119" s="236"/>
      <c r="AF119" s="236"/>
      <c r="AG119" s="236"/>
      <c r="AH119" s="236"/>
      <c r="AI119" s="236"/>
      <c r="AJ119" s="236"/>
      <c r="AK119" s="236"/>
      <c r="AL119" s="236"/>
      <c r="AM119" s="236"/>
      <c r="AN119" s="236"/>
      <c r="AO119" s="236"/>
      <c r="AP119" s="236"/>
      <c r="AQ119" s="236"/>
      <c r="AR119" s="236"/>
      <c r="AS119" s="236"/>
      <c r="AT119" s="236"/>
      <c r="AU119" s="236"/>
      <c r="AV119" s="236"/>
      <c r="AW119" s="236"/>
      <c r="AX119" s="236"/>
      <c r="AY119" s="236"/>
      <c r="AZ119" s="236"/>
      <c r="BA119" s="236"/>
      <c r="BB119" s="236"/>
    </row>
    <row r="120" spans="1:54" x14ac:dyDescent="0.25">
      <c r="A120" s="313">
        <v>43</v>
      </c>
      <c r="B120" s="86" t="str">
        <f t="shared" ref="B120:B125" si="3">B66</f>
        <v>SO - 284 - T - 64m²</v>
      </c>
      <c r="C120" s="309"/>
      <c r="D120" s="309"/>
      <c r="E120" s="309"/>
      <c r="F120" s="309"/>
      <c r="G120" s="309"/>
      <c r="H120" s="309"/>
      <c r="I120" s="309"/>
      <c r="J120" s="309"/>
      <c r="K120" s="309"/>
      <c r="L120" s="309"/>
      <c r="M120" s="309"/>
      <c r="N120" s="309"/>
      <c r="O120" s="309"/>
      <c r="P120" s="309"/>
      <c r="Q120" s="309"/>
      <c r="R120" s="309"/>
      <c r="S120" s="309"/>
      <c r="T120" s="309"/>
      <c r="U120" s="309"/>
      <c r="V120" s="309">
        <v>1.0108593750000026</v>
      </c>
      <c r="W120" s="309"/>
      <c r="X120" s="309"/>
      <c r="Y120" s="309"/>
      <c r="Z120" s="309"/>
      <c r="AA120" s="309"/>
      <c r="AB120" s="309"/>
      <c r="AC120" s="309"/>
      <c r="AD120" s="309"/>
      <c r="AE120" s="309"/>
      <c r="AF120" s="309"/>
      <c r="AG120" s="309"/>
      <c r="AH120" s="309"/>
      <c r="AI120" s="309"/>
      <c r="AJ120" s="309"/>
      <c r="AK120" s="309"/>
      <c r="AL120" s="309"/>
      <c r="AM120" s="309"/>
      <c r="AN120" s="309"/>
      <c r="AO120" s="309"/>
      <c r="AP120" s="309"/>
      <c r="AQ120" s="309"/>
      <c r="AR120" s="309"/>
      <c r="AS120" s="309"/>
      <c r="AT120" s="309"/>
      <c r="AU120" s="309"/>
      <c r="AV120" s="309"/>
      <c r="AW120" s="309"/>
      <c r="AX120" s="309"/>
      <c r="AY120" s="309"/>
      <c r="AZ120" s="309"/>
      <c r="BA120" s="309"/>
      <c r="BB120" s="309"/>
    </row>
    <row r="121" spans="1:54" x14ac:dyDescent="0.25">
      <c r="A121" s="313">
        <v>44</v>
      </c>
      <c r="B121" s="86" t="str">
        <f t="shared" si="3"/>
        <v>SO - 287 - T - 81m²</v>
      </c>
      <c r="C121" s="309"/>
      <c r="D121" s="309"/>
      <c r="E121" s="309"/>
      <c r="F121" s="309"/>
      <c r="G121" s="309"/>
      <c r="H121" s="309"/>
      <c r="I121" s="309"/>
      <c r="J121" s="309"/>
      <c r="K121" s="309"/>
      <c r="L121" s="309"/>
      <c r="M121" s="309"/>
      <c r="N121" s="309"/>
      <c r="O121" s="309"/>
      <c r="P121" s="309"/>
      <c r="Q121" s="309"/>
      <c r="R121" s="309"/>
      <c r="S121" s="309"/>
      <c r="T121" s="309"/>
      <c r="U121" s="309"/>
      <c r="V121" s="309">
        <v>0.425765432098765</v>
      </c>
      <c r="W121" s="309"/>
      <c r="X121" s="309"/>
      <c r="Y121" s="309"/>
      <c r="Z121" s="309"/>
      <c r="AA121" s="309"/>
      <c r="AB121" s="309"/>
      <c r="AC121" s="309"/>
      <c r="AD121" s="309"/>
      <c r="AE121" s="309"/>
      <c r="AF121" s="309"/>
      <c r="AG121" s="309"/>
      <c r="AH121" s="309"/>
      <c r="AI121" s="309"/>
      <c r="AJ121" s="309"/>
      <c r="AK121" s="309"/>
      <c r="AL121" s="309"/>
      <c r="AM121" s="309"/>
      <c r="AN121" s="309"/>
      <c r="AO121" s="309"/>
      <c r="AP121" s="309"/>
      <c r="AQ121" s="309"/>
      <c r="AR121" s="309"/>
      <c r="AS121" s="309"/>
      <c r="AT121" s="309"/>
      <c r="AU121" s="309"/>
      <c r="AV121" s="309"/>
      <c r="AW121" s="309"/>
      <c r="AX121" s="309"/>
      <c r="AY121" s="309"/>
      <c r="AZ121" s="309"/>
      <c r="BA121" s="309"/>
      <c r="BB121" s="309"/>
    </row>
    <row r="122" spans="1:54" x14ac:dyDescent="0.25">
      <c r="A122" s="313">
        <v>45</v>
      </c>
      <c r="B122" s="86" t="str">
        <f t="shared" si="3"/>
        <v>SO - 290 - T - 40m²</v>
      </c>
      <c r="C122" s="309"/>
      <c r="D122" s="309"/>
      <c r="E122" s="309"/>
      <c r="F122" s="309"/>
      <c r="G122" s="309"/>
      <c r="H122" s="309"/>
      <c r="I122" s="309"/>
      <c r="J122" s="309"/>
      <c r="K122" s="309"/>
      <c r="L122" s="309"/>
      <c r="M122" s="309"/>
      <c r="N122" s="309"/>
      <c r="O122" s="309"/>
      <c r="P122" s="309"/>
      <c r="Q122" s="309"/>
      <c r="R122" s="309"/>
      <c r="S122" s="309"/>
      <c r="T122" s="309"/>
      <c r="U122" s="309"/>
      <c r="V122" s="309">
        <v>0.58717500000000056</v>
      </c>
      <c r="W122" s="309"/>
      <c r="X122" s="309"/>
      <c r="Y122" s="309"/>
      <c r="Z122" s="309"/>
      <c r="AA122" s="309"/>
      <c r="AB122" s="309"/>
      <c r="AC122" s="309"/>
      <c r="AD122" s="309"/>
      <c r="AE122" s="309"/>
      <c r="AF122" s="309"/>
      <c r="AG122" s="309"/>
      <c r="AH122" s="309"/>
      <c r="AI122" s="309"/>
      <c r="AJ122" s="309"/>
      <c r="AK122" s="309"/>
      <c r="AL122" s="309"/>
      <c r="AM122" s="309"/>
      <c r="AN122" s="309"/>
      <c r="AO122" s="309"/>
      <c r="AP122" s="309"/>
      <c r="AQ122" s="309"/>
      <c r="AR122" s="309"/>
      <c r="AS122" s="309"/>
      <c r="AT122" s="309"/>
      <c r="AU122" s="309"/>
      <c r="AV122" s="309"/>
      <c r="AW122" s="309"/>
      <c r="AX122" s="309"/>
      <c r="AY122" s="309"/>
      <c r="AZ122" s="309"/>
      <c r="BA122" s="309"/>
      <c r="BB122" s="309"/>
    </row>
    <row r="123" spans="1:54" x14ac:dyDescent="0.25">
      <c r="A123" s="313">
        <v>46</v>
      </c>
      <c r="B123" s="86" t="str">
        <f t="shared" si="3"/>
        <v>SO - 305 - T - 66m²</v>
      </c>
      <c r="C123" s="309"/>
      <c r="D123" s="309"/>
      <c r="E123" s="309"/>
      <c r="F123" s="309"/>
      <c r="G123" s="309"/>
      <c r="H123" s="309"/>
      <c r="I123" s="309"/>
      <c r="J123" s="309"/>
      <c r="K123" s="309"/>
      <c r="L123" s="309"/>
      <c r="M123" s="309"/>
      <c r="N123" s="309"/>
      <c r="O123" s="309"/>
      <c r="P123" s="309"/>
      <c r="Q123" s="309"/>
      <c r="R123" s="309"/>
      <c r="S123" s="309"/>
      <c r="T123" s="309"/>
      <c r="U123" s="309"/>
      <c r="V123" s="309">
        <v>0.56927272727272726</v>
      </c>
      <c r="W123" s="309"/>
      <c r="X123" s="309"/>
      <c r="Y123" s="309"/>
      <c r="Z123" s="309"/>
      <c r="AA123" s="309"/>
      <c r="AB123" s="309"/>
      <c r="AC123" s="309"/>
      <c r="AD123" s="309"/>
      <c r="AE123" s="309"/>
      <c r="AF123" s="309"/>
      <c r="AG123" s="309"/>
      <c r="AH123" s="309"/>
      <c r="AI123" s="309"/>
      <c r="AJ123" s="309"/>
      <c r="AK123" s="309"/>
      <c r="AL123" s="309"/>
      <c r="AM123" s="309"/>
      <c r="AN123" s="309"/>
      <c r="AO123" s="309"/>
      <c r="AP123" s="309"/>
      <c r="AQ123" s="309"/>
      <c r="AR123" s="309"/>
      <c r="AS123" s="309"/>
      <c r="AT123" s="309"/>
      <c r="AU123" s="309"/>
      <c r="AV123" s="309"/>
      <c r="AW123" s="309"/>
      <c r="AX123" s="309"/>
      <c r="AY123" s="309"/>
      <c r="AZ123" s="309"/>
      <c r="BA123" s="309"/>
      <c r="BB123" s="309"/>
    </row>
    <row r="124" spans="1:54" x14ac:dyDescent="0.25">
      <c r="A124" s="313">
        <v>47</v>
      </c>
      <c r="B124" s="86" t="str">
        <f t="shared" si="3"/>
        <v>SO - 309 - T - 66m²</v>
      </c>
      <c r="C124" s="309"/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09"/>
      <c r="P124" s="309"/>
      <c r="Q124" s="309"/>
      <c r="R124" s="309"/>
      <c r="S124" s="309"/>
      <c r="T124" s="309"/>
      <c r="U124" s="309"/>
      <c r="V124" s="309">
        <v>0.33403030303030379</v>
      </c>
      <c r="W124" s="309"/>
      <c r="X124" s="309"/>
      <c r="Y124" s="309"/>
      <c r="Z124" s="309"/>
      <c r="AA124" s="309"/>
      <c r="AB124" s="309"/>
      <c r="AC124" s="309"/>
      <c r="AD124" s="309"/>
      <c r="AE124" s="309"/>
      <c r="AF124" s="309"/>
      <c r="AG124" s="309"/>
      <c r="AH124" s="309"/>
      <c r="AI124" s="309"/>
      <c r="AJ124" s="309"/>
      <c r="AK124" s="309"/>
      <c r="AL124" s="309"/>
      <c r="AM124" s="309"/>
      <c r="AN124" s="309"/>
      <c r="AO124" s="309"/>
      <c r="AP124" s="309"/>
      <c r="AQ124" s="309"/>
      <c r="AR124" s="309"/>
      <c r="AS124" s="309"/>
      <c r="AT124" s="309"/>
      <c r="AU124" s="309"/>
      <c r="AV124" s="309"/>
      <c r="AW124" s="309"/>
      <c r="AX124" s="309"/>
      <c r="AY124" s="309"/>
      <c r="AZ124" s="309"/>
      <c r="BA124" s="309"/>
      <c r="BB124" s="309"/>
    </row>
    <row r="125" spans="1:54" x14ac:dyDescent="0.25">
      <c r="A125" s="313">
        <v>48</v>
      </c>
      <c r="B125" s="86" t="str">
        <f t="shared" si="3"/>
        <v>SO - 310 - T - 54m²</v>
      </c>
      <c r="C125" s="309"/>
      <c r="D125" s="309"/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09"/>
      <c r="P125" s="309"/>
      <c r="Q125" s="309"/>
      <c r="R125" s="309"/>
      <c r="S125" s="309"/>
      <c r="T125" s="309"/>
      <c r="U125" s="309"/>
      <c r="V125" s="309">
        <v>1.0915000000000006</v>
      </c>
      <c r="W125" s="309"/>
      <c r="X125" s="309"/>
      <c r="Y125" s="309"/>
      <c r="Z125" s="309"/>
      <c r="AA125" s="309"/>
      <c r="AB125" s="309"/>
      <c r="AC125" s="309"/>
      <c r="AD125" s="309"/>
      <c r="AE125" s="309"/>
      <c r="AF125" s="309"/>
      <c r="AG125" s="309"/>
      <c r="AH125" s="309"/>
      <c r="AI125" s="309"/>
      <c r="AJ125" s="309"/>
      <c r="AK125" s="309"/>
      <c r="AL125" s="309"/>
      <c r="AM125" s="309"/>
      <c r="AN125" s="309"/>
      <c r="AO125" s="309"/>
      <c r="AP125" s="309"/>
      <c r="AQ125" s="309"/>
      <c r="AR125" s="309"/>
      <c r="AS125" s="309"/>
      <c r="AT125" s="309"/>
      <c r="AU125" s="309"/>
      <c r="AV125" s="309"/>
      <c r="AW125" s="309"/>
      <c r="AX125" s="309"/>
      <c r="AY125" s="309"/>
      <c r="AZ125" s="309"/>
      <c r="BA125" s="309"/>
      <c r="BB125" s="309"/>
    </row>
    <row r="126" spans="1:54" x14ac:dyDescent="0.25">
      <c r="A126" s="314"/>
    </row>
    <row r="127" spans="1:54" x14ac:dyDescent="0.25">
      <c r="A127" s="314"/>
    </row>
    <row r="128" spans="1:54" x14ac:dyDescent="0.25">
      <c r="A128" s="314"/>
    </row>
    <row r="129" spans="1:54" x14ac:dyDescent="0.25">
      <c r="A129" s="314"/>
      <c r="B129" s="325" t="s">
        <v>204</v>
      </c>
      <c r="C129" s="326"/>
    </row>
    <row r="130" spans="1:54" x14ac:dyDescent="0.25">
      <c r="A130" s="314"/>
      <c r="B130" s="268" t="s">
        <v>159</v>
      </c>
      <c r="C130" s="313">
        <v>3</v>
      </c>
      <c r="D130" s="313">
        <v>4</v>
      </c>
      <c r="E130" s="313">
        <v>5</v>
      </c>
      <c r="F130" s="313">
        <v>6</v>
      </c>
      <c r="G130" s="313">
        <v>7</v>
      </c>
      <c r="H130" s="313">
        <v>8</v>
      </c>
      <c r="I130" s="313">
        <v>9</v>
      </c>
      <c r="J130" s="313">
        <v>10</v>
      </c>
      <c r="K130" s="313">
        <v>11</v>
      </c>
      <c r="L130" s="313">
        <v>12</v>
      </c>
      <c r="M130" s="313">
        <v>13</v>
      </c>
      <c r="N130" s="313">
        <v>14</v>
      </c>
      <c r="O130" s="313">
        <v>15</v>
      </c>
      <c r="P130" s="313">
        <v>16</v>
      </c>
      <c r="Q130" s="313">
        <v>17</v>
      </c>
      <c r="R130" s="313">
        <v>18</v>
      </c>
      <c r="S130" s="313">
        <v>19</v>
      </c>
      <c r="T130" s="313">
        <v>20</v>
      </c>
      <c r="U130" s="313">
        <v>21</v>
      </c>
      <c r="V130" s="313">
        <v>22</v>
      </c>
      <c r="W130" s="313">
        <v>23</v>
      </c>
      <c r="X130" s="313">
        <v>24</v>
      </c>
      <c r="Y130" s="313">
        <v>25</v>
      </c>
      <c r="Z130" s="313">
        <v>26</v>
      </c>
      <c r="AA130" s="313">
        <v>27</v>
      </c>
      <c r="AB130" s="313">
        <v>28</v>
      </c>
      <c r="AC130" s="313">
        <v>29</v>
      </c>
      <c r="AD130" s="313">
        <v>30</v>
      </c>
      <c r="AE130" s="313">
        <v>31</v>
      </c>
      <c r="AF130" s="313">
        <v>32</v>
      </c>
      <c r="AG130" s="313">
        <v>33</v>
      </c>
      <c r="AH130" s="313">
        <v>34</v>
      </c>
      <c r="AI130" s="313">
        <v>35</v>
      </c>
      <c r="AJ130" s="313">
        <v>36</v>
      </c>
      <c r="AK130" s="313">
        <v>37</v>
      </c>
      <c r="AL130" s="313">
        <v>38</v>
      </c>
      <c r="AM130" s="313">
        <v>39</v>
      </c>
      <c r="AN130" s="313">
        <v>40</v>
      </c>
      <c r="AO130" s="313">
        <v>41</v>
      </c>
      <c r="AP130" s="313">
        <v>42</v>
      </c>
      <c r="AQ130" s="313">
        <v>43</v>
      </c>
      <c r="AR130" s="313">
        <v>44</v>
      </c>
      <c r="AS130" s="313">
        <v>45</v>
      </c>
      <c r="AT130" s="313">
        <v>46</v>
      </c>
      <c r="AU130" s="313">
        <v>47</v>
      </c>
      <c r="AV130" s="313">
        <v>48</v>
      </c>
      <c r="AW130" s="313">
        <v>49</v>
      </c>
      <c r="AX130" s="313">
        <v>50</v>
      </c>
      <c r="AY130" s="313">
        <v>51</v>
      </c>
      <c r="AZ130" s="313">
        <v>52</v>
      </c>
      <c r="BA130" s="313">
        <v>53</v>
      </c>
      <c r="BB130" s="313">
        <v>53</v>
      </c>
    </row>
    <row r="131" spans="1:54" s="19" customFormat="1" x14ac:dyDescent="0.25">
      <c r="A131" s="318"/>
      <c r="B131" s="85" t="s">
        <v>84</v>
      </c>
      <c r="C131" s="100" t="s">
        <v>209</v>
      </c>
      <c r="D131" s="100" t="s">
        <v>210</v>
      </c>
      <c r="E131" s="100" t="s">
        <v>211</v>
      </c>
      <c r="F131" s="100" t="s">
        <v>212</v>
      </c>
      <c r="G131" s="100" t="s">
        <v>213</v>
      </c>
      <c r="H131" s="100" t="s">
        <v>214</v>
      </c>
      <c r="I131" s="100" t="s">
        <v>215</v>
      </c>
      <c r="J131" s="100" t="s">
        <v>216</v>
      </c>
      <c r="K131" s="100" t="s">
        <v>217</v>
      </c>
      <c r="L131" s="100" t="s">
        <v>218</v>
      </c>
      <c r="M131" s="100" t="s">
        <v>219</v>
      </c>
      <c r="N131" s="100" t="s">
        <v>220</v>
      </c>
      <c r="O131" s="100" t="s">
        <v>221</v>
      </c>
      <c r="P131" s="100" t="s">
        <v>222</v>
      </c>
      <c r="Q131" s="100" t="s">
        <v>223</v>
      </c>
      <c r="R131" s="100" t="s">
        <v>224</v>
      </c>
      <c r="S131" s="100" t="s">
        <v>225</v>
      </c>
      <c r="T131" s="100" t="s">
        <v>226</v>
      </c>
      <c r="U131" s="100" t="s">
        <v>227</v>
      </c>
      <c r="V131" s="100" t="s">
        <v>228</v>
      </c>
      <c r="W131" s="100" t="s">
        <v>229</v>
      </c>
      <c r="X131" s="100" t="s">
        <v>230</v>
      </c>
      <c r="Y131" s="100" t="s">
        <v>231</v>
      </c>
      <c r="Z131" s="100" t="s">
        <v>232</v>
      </c>
      <c r="AA131" s="100" t="s">
        <v>233</v>
      </c>
      <c r="AB131" s="100" t="s">
        <v>234</v>
      </c>
      <c r="AC131" s="100" t="s">
        <v>235</v>
      </c>
      <c r="AD131" s="100" t="s">
        <v>236</v>
      </c>
      <c r="AE131" s="100" t="s">
        <v>237</v>
      </c>
      <c r="AF131" s="100" t="s">
        <v>238</v>
      </c>
      <c r="AG131" s="100" t="s">
        <v>239</v>
      </c>
      <c r="AH131" s="100" t="s">
        <v>240</v>
      </c>
      <c r="AI131" s="100" t="s">
        <v>241</v>
      </c>
      <c r="AJ131" s="100" t="s">
        <v>242</v>
      </c>
      <c r="AK131" s="100" t="s">
        <v>243</v>
      </c>
      <c r="AL131" s="100" t="s">
        <v>244</v>
      </c>
      <c r="AM131" s="100" t="s">
        <v>245</v>
      </c>
      <c r="AN131" s="100" t="s">
        <v>246</v>
      </c>
      <c r="AO131" s="100" t="s">
        <v>247</v>
      </c>
      <c r="AP131" s="100" t="s">
        <v>248</v>
      </c>
      <c r="AQ131" s="100" t="s">
        <v>249</v>
      </c>
      <c r="AR131" s="100" t="s">
        <v>250</v>
      </c>
      <c r="AS131" s="100" t="s">
        <v>251</v>
      </c>
      <c r="AT131" s="100" t="s">
        <v>252</v>
      </c>
      <c r="AU131" s="100" t="s">
        <v>253</v>
      </c>
      <c r="AV131" s="100" t="s">
        <v>254</v>
      </c>
      <c r="AW131" s="100" t="s">
        <v>255</v>
      </c>
      <c r="AX131" s="100" t="s">
        <v>256</v>
      </c>
      <c r="AY131" s="100" t="s">
        <v>257</v>
      </c>
      <c r="AZ131" s="100" t="s">
        <v>258</v>
      </c>
      <c r="BA131" s="100" t="s">
        <v>259</v>
      </c>
      <c r="BB131" s="100" t="s">
        <v>260</v>
      </c>
    </row>
    <row r="132" spans="1:54" x14ac:dyDescent="0.25">
      <c r="A132" s="313">
        <v>1</v>
      </c>
      <c r="B132" s="86" t="str">
        <f t="shared" ref="B132:B144" si="4">B78</f>
        <v>GC - 274 - T4 - 83m²</v>
      </c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>
        <v>1085.9999999999986</v>
      </c>
      <c r="W132" s="330"/>
      <c r="X132" s="330"/>
      <c r="Y132" s="330"/>
      <c r="Z132" s="330"/>
      <c r="AA132" s="330"/>
      <c r="AB132" s="330"/>
      <c r="AC132" s="330"/>
      <c r="AD132" s="330"/>
      <c r="AE132" s="330"/>
      <c r="AF132" s="330"/>
      <c r="AG132" s="330"/>
      <c r="AH132" s="330"/>
      <c r="AI132" s="330"/>
      <c r="AJ132" s="330"/>
      <c r="AK132" s="330"/>
      <c r="AL132" s="330"/>
      <c r="AM132" s="330"/>
      <c r="AN132" s="330"/>
      <c r="AO132" s="330"/>
      <c r="AP132" s="330"/>
      <c r="AQ132" s="330"/>
      <c r="AR132" s="330"/>
      <c r="AS132" s="330"/>
      <c r="AT132" s="330"/>
      <c r="AU132" s="330"/>
      <c r="AV132" s="330"/>
      <c r="AW132" s="330"/>
      <c r="AX132" s="330"/>
      <c r="AY132" s="330"/>
      <c r="AZ132" s="330"/>
      <c r="BA132" s="330"/>
      <c r="BB132" s="330"/>
    </row>
    <row r="133" spans="1:54" x14ac:dyDescent="0.25">
      <c r="A133" s="313">
        <v>2</v>
      </c>
      <c r="B133" s="86" t="str">
        <f t="shared" si="4"/>
        <v>GC - 277 - T2 - 53m²</v>
      </c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>
        <v>416.00000000000034</v>
      </c>
      <c r="W133" s="330"/>
      <c r="X133" s="330"/>
      <c r="Y133" s="330"/>
      <c r="Z133" s="330"/>
      <c r="AA133" s="330"/>
      <c r="AB133" s="330"/>
      <c r="AC133" s="330"/>
      <c r="AD133" s="330"/>
      <c r="AE133" s="330"/>
      <c r="AF133" s="330"/>
      <c r="AG133" s="330"/>
      <c r="AH133" s="330"/>
      <c r="AI133" s="330"/>
      <c r="AJ133" s="330"/>
      <c r="AK133" s="330"/>
      <c r="AL133" s="330"/>
      <c r="AM133" s="330"/>
      <c r="AN133" s="330"/>
      <c r="AO133" s="330"/>
      <c r="AP133" s="330"/>
      <c r="AQ133" s="330"/>
      <c r="AR133" s="330"/>
      <c r="AS133" s="330"/>
      <c r="AT133" s="330"/>
      <c r="AU133" s="330"/>
      <c r="AV133" s="330"/>
      <c r="AW133" s="330"/>
      <c r="AX133" s="330"/>
      <c r="AY133" s="330"/>
      <c r="AZ133" s="330"/>
      <c r="BA133" s="330"/>
      <c r="BB133" s="330"/>
    </row>
    <row r="134" spans="1:54" x14ac:dyDescent="0.25">
      <c r="A134" s="313">
        <v>3</v>
      </c>
      <c r="B134" s="86" t="str">
        <f t="shared" si="4"/>
        <v>GC - 281 - T3 - 71m²</v>
      </c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>
        <v>1325.4999999999982</v>
      </c>
      <c r="W134" s="330"/>
      <c r="X134" s="330"/>
      <c r="Y134" s="330"/>
      <c r="Z134" s="330"/>
      <c r="AA134" s="330"/>
      <c r="AB134" s="330"/>
      <c r="AC134" s="330"/>
      <c r="AD134" s="330"/>
      <c r="AE134" s="330"/>
      <c r="AF134" s="330"/>
      <c r="AG134" s="330"/>
      <c r="AH134" s="330"/>
      <c r="AI134" s="330"/>
      <c r="AJ134" s="330"/>
      <c r="AK134" s="330"/>
      <c r="AL134" s="330"/>
      <c r="AM134" s="330"/>
      <c r="AN134" s="330"/>
      <c r="AO134" s="330"/>
      <c r="AP134" s="330"/>
      <c r="AQ134" s="330"/>
      <c r="AR134" s="330"/>
      <c r="AS134" s="330"/>
      <c r="AT134" s="330"/>
      <c r="AU134" s="330"/>
      <c r="AV134" s="330"/>
      <c r="AW134" s="330"/>
      <c r="AX134" s="330"/>
      <c r="AY134" s="330"/>
      <c r="AZ134" s="330"/>
      <c r="BA134" s="330"/>
      <c r="BB134" s="330"/>
    </row>
    <row r="135" spans="1:54" x14ac:dyDescent="0.25">
      <c r="A135" s="313">
        <v>4</v>
      </c>
      <c r="B135" s="86" t="str">
        <f t="shared" si="4"/>
        <v>GC - 283 - T3 - 70m²</v>
      </c>
      <c r="C135" s="330"/>
      <c r="D135" s="330"/>
      <c r="E135" s="330"/>
      <c r="F135" s="330"/>
      <c r="G135" s="330"/>
      <c r="H135" s="330"/>
      <c r="I135" s="330"/>
      <c r="J135" s="330"/>
      <c r="K135" s="330"/>
      <c r="L135" s="330"/>
      <c r="M135" s="330"/>
      <c r="N135" s="330"/>
      <c r="O135" s="330"/>
      <c r="P135" s="330"/>
      <c r="Q135" s="330"/>
      <c r="R135" s="330"/>
      <c r="S135" s="330"/>
      <c r="T135" s="330"/>
      <c r="U135" s="330"/>
      <c r="V135" s="330">
        <v>549.99999999999898</v>
      </c>
      <c r="W135" s="330"/>
      <c r="X135" s="330"/>
      <c r="Y135" s="330"/>
      <c r="Z135" s="330"/>
      <c r="AA135" s="330"/>
      <c r="AB135" s="330"/>
      <c r="AC135" s="330"/>
      <c r="AD135" s="330"/>
      <c r="AE135" s="330"/>
      <c r="AF135" s="330"/>
      <c r="AG135" s="330"/>
      <c r="AH135" s="330"/>
      <c r="AI135" s="330"/>
      <c r="AJ135" s="330"/>
      <c r="AK135" s="330"/>
      <c r="AL135" s="330"/>
      <c r="AM135" s="330"/>
      <c r="AN135" s="330"/>
      <c r="AO135" s="330"/>
      <c r="AP135" s="330"/>
      <c r="AQ135" s="330"/>
      <c r="AR135" s="330"/>
      <c r="AS135" s="330"/>
      <c r="AT135" s="330"/>
      <c r="AU135" s="330"/>
      <c r="AV135" s="330"/>
      <c r="AW135" s="330"/>
      <c r="AX135" s="330"/>
      <c r="AY135" s="330"/>
      <c r="AZ135" s="330"/>
      <c r="BA135" s="330"/>
      <c r="BB135" s="330"/>
    </row>
    <row r="136" spans="1:54" x14ac:dyDescent="0.25">
      <c r="A136" s="313">
        <v>5</v>
      </c>
      <c r="B136" s="86" t="str">
        <f t="shared" si="4"/>
        <v>GC - 285 - T3 - 64m²</v>
      </c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>
        <v>419.33333333333303</v>
      </c>
      <c r="W136" s="330"/>
      <c r="X136" s="330"/>
      <c r="Y136" s="330"/>
      <c r="Z136" s="330"/>
      <c r="AA136" s="330"/>
      <c r="AB136" s="330"/>
      <c r="AC136" s="330"/>
      <c r="AD136" s="330"/>
      <c r="AE136" s="330"/>
      <c r="AF136" s="330"/>
      <c r="AG136" s="330"/>
      <c r="AH136" s="330"/>
      <c r="AI136" s="330"/>
      <c r="AJ136" s="330"/>
      <c r="AK136" s="330"/>
      <c r="AL136" s="330"/>
      <c r="AM136" s="330"/>
      <c r="AN136" s="330"/>
      <c r="AO136" s="330"/>
      <c r="AP136" s="330"/>
      <c r="AQ136" s="330"/>
      <c r="AR136" s="330"/>
      <c r="AS136" s="330"/>
      <c r="AT136" s="330"/>
      <c r="AU136" s="330"/>
      <c r="AV136" s="330"/>
      <c r="AW136" s="330"/>
      <c r="AX136" s="330"/>
      <c r="AY136" s="330"/>
      <c r="AZ136" s="330"/>
      <c r="BA136" s="330"/>
      <c r="BB136" s="330"/>
    </row>
    <row r="137" spans="1:54" x14ac:dyDescent="0.25">
      <c r="A137" s="313">
        <v>6</v>
      </c>
      <c r="B137" s="86" t="str">
        <f t="shared" si="4"/>
        <v>GC - 286 - T3 - 68m²</v>
      </c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0"/>
      <c r="P137" s="330"/>
      <c r="Q137" s="330"/>
      <c r="R137" s="330"/>
      <c r="S137" s="330"/>
      <c r="T137" s="330"/>
      <c r="U137" s="330"/>
      <c r="V137" s="330">
        <v>898.33333333333348</v>
      </c>
      <c r="W137" s="330"/>
      <c r="X137" s="330"/>
      <c r="Y137" s="330"/>
      <c r="Z137" s="330"/>
      <c r="AA137" s="330"/>
      <c r="AB137" s="330"/>
      <c r="AC137" s="330"/>
      <c r="AD137" s="330"/>
      <c r="AE137" s="330"/>
      <c r="AF137" s="330"/>
      <c r="AG137" s="330"/>
      <c r="AH137" s="330"/>
      <c r="AI137" s="330"/>
      <c r="AJ137" s="330"/>
      <c r="AK137" s="330"/>
      <c r="AL137" s="330"/>
      <c r="AM137" s="330"/>
      <c r="AN137" s="330"/>
      <c r="AO137" s="330"/>
      <c r="AP137" s="330"/>
      <c r="AQ137" s="330"/>
      <c r="AR137" s="330"/>
      <c r="AS137" s="330"/>
      <c r="AT137" s="330"/>
      <c r="AU137" s="330"/>
      <c r="AV137" s="330"/>
      <c r="AW137" s="330"/>
      <c r="AX137" s="330"/>
      <c r="AY137" s="330"/>
      <c r="AZ137" s="330"/>
      <c r="BA137" s="330"/>
      <c r="BB137" s="330"/>
    </row>
    <row r="138" spans="1:54" x14ac:dyDescent="0.25">
      <c r="A138" s="313">
        <v>7</v>
      </c>
      <c r="B138" s="86" t="str">
        <f t="shared" si="4"/>
        <v>GC - 289 - T3 - 76m²</v>
      </c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>
        <v>606.99999999999932</v>
      </c>
      <c r="W138" s="330"/>
      <c r="X138" s="330"/>
      <c r="Y138" s="330"/>
      <c r="Z138" s="330"/>
      <c r="AA138" s="330"/>
      <c r="AB138" s="330"/>
      <c r="AC138" s="330"/>
      <c r="AD138" s="330"/>
      <c r="AE138" s="330"/>
      <c r="AF138" s="330"/>
      <c r="AG138" s="330"/>
      <c r="AH138" s="330"/>
      <c r="AI138" s="330"/>
      <c r="AJ138" s="330"/>
      <c r="AK138" s="330"/>
      <c r="AL138" s="330"/>
      <c r="AM138" s="330"/>
      <c r="AN138" s="330"/>
      <c r="AO138" s="330"/>
      <c r="AP138" s="330"/>
      <c r="AQ138" s="330"/>
      <c r="AR138" s="330"/>
      <c r="AS138" s="330"/>
      <c r="AT138" s="330"/>
      <c r="AU138" s="330"/>
      <c r="AV138" s="330"/>
      <c r="AW138" s="330"/>
      <c r="AX138" s="330"/>
      <c r="AY138" s="330"/>
      <c r="AZ138" s="330"/>
      <c r="BA138" s="330"/>
      <c r="BB138" s="330"/>
    </row>
    <row r="139" spans="1:54" x14ac:dyDescent="0.25">
      <c r="A139" s="313">
        <v>8</v>
      </c>
      <c r="B139" s="86" t="str">
        <f t="shared" si="4"/>
        <v>GC - 303 - T4 - 81m²</v>
      </c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>
        <v>1804.000000000002</v>
      </c>
      <c r="W139" s="330"/>
      <c r="X139" s="330"/>
      <c r="Y139" s="330"/>
      <c r="Z139" s="330"/>
      <c r="AA139" s="330"/>
      <c r="AB139" s="330"/>
      <c r="AC139" s="330"/>
      <c r="AD139" s="330"/>
      <c r="AE139" s="330"/>
      <c r="AF139" s="330"/>
      <c r="AG139" s="330"/>
      <c r="AH139" s="330"/>
      <c r="AI139" s="330"/>
      <c r="AJ139" s="330"/>
      <c r="AK139" s="330"/>
      <c r="AL139" s="330"/>
      <c r="AM139" s="330"/>
      <c r="AN139" s="330"/>
      <c r="AO139" s="330"/>
      <c r="AP139" s="330"/>
      <c r="AQ139" s="330"/>
      <c r="AR139" s="330"/>
      <c r="AS139" s="330"/>
      <c r="AT139" s="330"/>
      <c r="AU139" s="330"/>
      <c r="AV139" s="330"/>
      <c r="AW139" s="330"/>
      <c r="AX139" s="330"/>
      <c r="AY139" s="330"/>
      <c r="AZ139" s="330"/>
      <c r="BA139" s="330"/>
      <c r="BB139" s="330"/>
    </row>
    <row r="140" spans="1:54" x14ac:dyDescent="0.25">
      <c r="A140" s="313">
        <v>9</v>
      </c>
      <c r="B140" s="86" t="str">
        <f t="shared" si="4"/>
        <v>GC - 304 - T3 - 66m²</v>
      </c>
      <c r="C140" s="330"/>
      <c r="D140" s="330"/>
      <c r="E140" s="330"/>
      <c r="F140" s="330"/>
      <c r="G140" s="330"/>
      <c r="H140" s="330"/>
      <c r="I140" s="330"/>
      <c r="J140" s="330"/>
      <c r="K140" s="330"/>
      <c r="L140" s="330"/>
      <c r="M140" s="330"/>
      <c r="N140" s="330"/>
      <c r="O140" s="330"/>
      <c r="P140" s="330"/>
      <c r="Q140" s="330"/>
      <c r="R140" s="330"/>
      <c r="S140" s="330"/>
      <c r="T140" s="330"/>
      <c r="U140" s="330"/>
      <c r="V140" s="330">
        <v>3272.9999999999964</v>
      </c>
      <c r="W140" s="330"/>
      <c r="X140" s="330"/>
      <c r="Y140" s="330"/>
      <c r="Z140" s="330"/>
      <c r="AA140" s="330"/>
      <c r="AB140" s="330"/>
      <c r="AC140" s="330"/>
      <c r="AD140" s="330"/>
      <c r="AE140" s="330"/>
      <c r="AF140" s="330"/>
      <c r="AG140" s="330"/>
      <c r="AH140" s="330"/>
      <c r="AI140" s="330"/>
      <c r="AJ140" s="330"/>
      <c r="AK140" s="330"/>
      <c r="AL140" s="330"/>
      <c r="AM140" s="330"/>
      <c r="AN140" s="330"/>
      <c r="AO140" s="330"/>
      <c r="AP140" s="330"/>
      <c r="AQ140" s="330"/>
      <c r="AR140" s="330"/>
      <c r="AS140" s="330"/>
      <c r="AT140" s="330"/>
      <c r="AU140" s="330"/>
      <c r="AV140" s="330"/>
      <c r="AW140" s="330"/>
      <c r="AX140" s="330"/>
      <c r="AY140" s="330"/>
      <c r="AZ140" s="330"/>
      <c r="BA140" s="330"/>
      <c r="BB140" s="330"/>
    </row>
    <row r="141" spans="1:54" x14ac:dyDescent="0.25">
      <c r="A141" s="313">
        <v>10</v>
      </c>
      <c r="B141" s="86" t="str">
        <f t="shared" si="4"/>
        <v>GC - 306 - T3 - 66m²</v>
      </c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0"/>
      <c r="P141" s="330"/>
      <c r="Q141" s="330"/>
      <c r="R141" s="330"/>
      <c r="S141" s="330"/>
      <c r="T141" s="330"/>
      <c r="U141" s="330"/>
      <c r="V141" s="330">
        <v>465.49999999999869</v>
      </c>
      <c r="W141" s="330"/>
      <c r="X141" s="330"/>
      <c r="Y141" s="330"/>
      <c r="Z141" s="330"/>
      <c r="AA141" s="330"/>
      <c r="AB141" s="330"/>
      <c r="AC141" s="330"/>
      <c r="AD141" s="330"/>
      <c r="AE141" s="330"/>
      <c r="AF141" s="330"/>
      <c r="AG141" s="330"/>
      <c r="AH141" s="330"/>
      <c r="AI141" s="330"/>
      <c r="AJ141" s="330"/>
      <c r="AK141" s="330"/>
      <c r="AL141" s="330"/>
      <c r="AM141" s="330"/>
      <c r="AN141" s="330"/>
      <c r="AO141" s="330"/>
      <c r="AP141" s="330"/>
      <c r="AQ141" s="330"/>
      <c r="AR141" s="330"/>
      <c r="AS141" s="330"/>
      <c r="AT141" s="330"/>
      <c r="AU141" s="330"/>
      <c r="AV141" s="330"/>
      <c r="AW141" s="330"/>
      <c r="AX141" s="330"/>
      <c r="AY141" s="330"/>
      <c r="AZ141" s="330"/>
      <c r="BA141" s="330"/>
      <c r="BB141" s="330"/>
    </row>
    <row r="142" spans="1:54" x14ac:dyDescent="0.25">
      <c r="A142" s="313">
        <v>11</v>
      </c>
      <c r="B142" s="86" t="str">
        <f t="shared" si="4"/>
        <v>GC - 307 - T3 - 66m²</v>
      </c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0"/>
      <c r="P142" s="330"/>
      <c r="Q142" s="330"/>
      <c r="R142" s="330"/>
      <c r="S142" s="330"/>
      <c r="T142" s="330"/>
      <c r="U142" s="330"/>
      <c r="V142" s="330">
        <v>922.33333333333201</v>
      </c>
      <c r="W142" s="330"/>
      <c r="X142" s="330"/>
      <c r="Y142" s="330"/>
      <c r="Z142" s="330"/>
      <c r="AA142" s="330"/>
      <c r="AB142" s="330"/>
      <c r="AC142" s="330"/>
      <c r="AD142" s="330"/>
      <c r="AE142" s="330"/>
      <c r="AF142" s="330"/>
      <c r="AG142" s="330"/>
      <c r="AH142" s="330"/>
      <c r="AI142" s="330"/>
      <c r="AJ142" s="330"/>
      <c r="AK142" s="330"/>
      <c r="AL142" s="330"/>
      <c r="AM142" s="330"/>
      <c r="AN142" s="330"/>
      <c r="AO142" s="330"/>
      <c r="AP142" s="330"/>
      <c r="AQ142" s="330"/>
      <c r="AR142" s="330"/>
      <c r="AS142" s="330"/>
      <c r="AT142" s="330"/>
      <c r="AU142" s="330"/>
      <c r="AV142" s="330"/>
      <c r="AW142" s="330"/>
      <c r="AX142" s="330"/>
      <c r="AY142" s="330"/>
      <c r="AZ142" s="330"/>
      <c r="BA142" s="330"/>
      <c r="BB142" s="330"/>
    </row>
    <row r="143" spans="1:54" x14ac:dyDescent="0.25">
      <c r="A143" s="313">
        <v>12</v>
      </c>
      <c r="B143" s="86" t="str">
        <f t="shared" si="4"/>
        <v>GC - 308 - T3 - 66m²</v>
      </c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30"/>
      <c r="P143" s="330"/>
      <c r="Q143" s="330"/>
      <c r="R143" s="330"/>
      <c r="S143" s="330"/>
      <c r="T143" s="330"/>
      <c r="U143" s="330"/>
      <c r="V143" s="330">
        <v>720.00000000000068</v>
      </c>
      <c r="W143" s="330"/>
      <c r="X143" s="330"/>
      <c r="Y143" s="330"/>
      <c r="Z143" s="330"/>
      <c r="AA143" s="330"/>
      <c r="AB143" s="330"/>
      <c r="AC143" s="330"/>
      <c r="AD143" s="330"/>
      <c r="AE143" s="330"/>
      <c r="AF143" s="330"/>
      <c r="AG143" s="330"/>
      <c r="AH143" s="330"/>
      <c r="AI143" s="330"/>
      <c r="AJ143" s="330"/>
      <c r="AK143" s="330"/>
      <c r="AL143" s="330"/>
      <c r="AM143" s="330"/>
      <c r="AN143" s="330"/>
      <c r="AO143" s="330"/>
      <c r="AP143" s="330"/>
      <c r="AQ143" s="330"/>
      <c r="AR143" s="330"/>
      <c r="AS143" s="330"/>
      <c r="AT143" s="330"/>
      <c r="AU143" s="330"/>
      <c r="AV143" s="330"/>
      <c r="AW143" s="330"/>
      <c r="AX143" s="330"/>
      <c r="AY143" s="330"/>
      <c r="AZ143" s="330"/>
      <c r="BA143" s="330"/>
      <c r="BB143" s="330"/>
    </row>
    <row r="144" spans="1:54" x14ac:dyDescent="0.25">
      <c r="A144" s="313">
        <v>13</v>
      </c>
      <c r="B144" s="86" t="str">
        <f t="shared" si="4"/>
        <v>GC - 314 - T4 - 75m²</v>
      </c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>
        <v>930.19999999999925</v>
      </c>
      <c r="W144" s="330"/>
      <c r="X144" s="330"/>
      <c r="Y144" s="330"/>
      <c r="Z144" s="330"/>
      <c r="AA144" s="330"/>
      <c r="AB144" s="330"/>
      <c r="AC144" s="330"/>
      <c r="AD144" s="330"/>
      <c r="AE144" s="330"/>
      <c r="AF144" s="330"/>
      <c r="AG144" s="330"/>
      <c r="AH144" s="330"/>
      <c r="AI144" s="330"/>
      <c r="AJ144" s="330"/>
      <c r="AK144" s="330"/>
      <c r="AL144" s="330"/>
      <c r="AM144" s="330"/>
      <c r="AN144" s="330"/>
      <c r="AO144" s="330"/>
      <c r="AP144" s="330"/>
      <c r="AQ144" s="330"/>
      <c r="AR144" s="330"/>
      <c r="AS144" s="330"/>
      <c r="AT144" s="330"/>
      <c r="AU144" s="330"/>
      <c r="AV144" s="330"/>
      <c r="AW144" s="330"/>
      <c r="AX144" s="330"/>
      <c r="AY144" s="330"/>
      <c r="AZ144" s="330"/>
      <c r="BA144" s="330"/>
      <c r="BB144" s="330"/>
    </row>
    <row r="145" spans="1:54" x14ac:dyDescent="0.25">
      <c r="A145" s="313">
        <v>14</v>
      </c>
      <c r="B145" s="86"/>
      <c r="C145" s="331"/>
      <c r="D145" s="331"/>
      <c r="E145" s="331"/>
      <c r="F145" s="331"/>
      <c r="G145" s="331"/>
      <c r="H145" s="331"/>
      <c r="I145" s="331"/>
      <c r="J145" s="331"/>
      <c r="K145" s="331"/>
      <c r="L145" s="331"/>
      <c r="M145" s="331"/>
      <c r="N145" s="331"/>
      <c r="O145" s="331"/>
      <c r="P145" s="331"/>
      <c r="Q145" s="331"/>
      <c r="R145" s="331"/>
      <c r="S145" s="331"/>
      <c r="T145" s="331"/>
      <c r="U145" s="331"/>
      <c r="V145" s="331"/>
      <c r="W145" s="331"/>
      <c r="X145" s="331"/>
      <c r="Y145" s="331"/>
      <c r="Z145" s="331"/>
      <c r="AA145" s="331"/>
      <c r="AB145" s="331"/>
      <c r="AC145" s="331"/>
      <c r="AD145" s="331"/>
      <c r="AE145" s="331"/>
      <c r="AF145" s="331"/>
      <c r="AG145" s="331"/>
      <c r="AH145" s="331"/>
      <c r="AI145" s="331"/>
      <c r="AJ145" s="331"/>
      <c r="AK145" s="331"/>
      <c r="AL145" s="331"/>
      <c r="AM145" s="331"/>
      <c r="AN145" s="331"/>
      <c r="AO145" s="331"/>
      <c r="AP145" s="331"/>
      <c r="AQ145" s="331"/>
      <c r="AR145" s="331"/>
      <c r="AS145" s="331"/>
      <c r="AT145" s="331"/>
      <c r="AU145" s="331"/>
      <c r="AV145" s="331"/>
      <c r="AW145" s="331"/>
      <c r="AX145" s="331"/>
      <c r="AY145" s="331"/>
      <c r="AZ145" s="331"/>
      <c r="BA145" s="331"/>
      <c r="BB145" s="331"/>
    </row>
    <row r="146" spans="1:54" x14ac:dyDescent="0.25">
      <c r="A146" s="313">
        <v>15</v>
      </c>
      <c r="B146" s="86" t="str">
        <f t="shared" ref="B146:B158" si="5">B92</f>
        <v>GE2.1 - 275 - T3 - 74m²</v>
      </c>
      <c r="C146" s="330"/>
      <c r="D146" s="330"/>
      <c r="E146" s="330"/>
      <c r="F146" s="330"/>
      <c r="G146" s="330"/>
      <c r="H146" s="330"/>
      <c r="I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T146" s="330"/>
      <c r="U146" s="330"/>
      <c r="V146" s="330">
        <v>839.00000000000045</v>
      </c>
      <c r="W146" s="330"/>
      <c r="X146" s="330"/>
      <c r="Y146" s="330"/>
      <c r="Z146" s="330"/>
      <c r="AA146" s="330"/>
      <c r="AB146" s="330"/>
      <c r="AC146" s="330"/>
      <c r="AD146" s="330"/>
      <c r="AE146" s="330"/>
      <c r="AF146" s="330"/>
      <c r="AG146" s="330"/>
      <c r="AH146" s="330"/>
      <c r="AI146" s="330"/>
      <c r="AJ146" s="330"/>
      <c r="AK146" s="330"/>
      <c r="AL146" s="330"/>
      <c r="AM146" s="330"/>
      <c r="AN146" s="330"/>
      <c r="AO146" s="330"/>
      <c r="AP146" s="330"/>
      <c r="AQ146" s="330"/>
      <c r="AR146" s="330"/>
      <c r="AS146" s="330"/>
      <c r="AT146" s="330"/>
      <c r="AU146" s="330"/>
      <c r="AV146" s="330"/>
      <c r="AW146" s="330"/>
      <c r="AX146" s="330"/>
      <c r="AY146" s="330"/>
      <c r="AZ146" s="330"/>
      <c r="BA146" s="330"/>
      <c r="BB146" s="330"/>
    </row>
    <row r="147" spans="1:54" x14ac:dyDescent="0.25">
      <c r="A147" s="313">
        <v>16</v>
      </c>
      <c r="B147" s="86" t="str">
        <f t="shared" si="5"/>
        <v>GE2.1 - 278 - T2 - 57m²</v>
      </c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30"/>
      <c r="P147" s="330"/>
      <c r="Q147" s="330"/>
      <c r="R147" s="330"/>
      <c r="S147" s="330"/>
      <c r="T147" s="330"/>
      <c r="U147" s="330"/>
      <c r="V147" s="330">
        <v>291.00000000000034</v>
      </c>
      <c r="W147" s="330"/>
      <c r="X147" s="330"/>
      <c r="Y147" s="330"/>
      <c r="Z147" s="330"/>
      <c r="AA147" s="330"/>
      <c r="AB147" s="330"/>
      <c r="AC147" s="330"/>
      <c r="AD147" s="330"/>
      <c r="AE147" s="330"/>
      <c r="AF147" s="330"/>
      <c r="AG147" s="330"/>
      <c r="AH147" s="330"/>
      <c r="AI147" s="330"/>
      <c r="AJ147" s="330"/>
      <c r="AK147" s="330"/>
      <c r="AL147" s="330"/>
      <c r="AM147" s="330"/>
      <c r="AN147" s="330"/>
      <c r="AO147" s="330"/>
      <c r="AP147" s="330"/>
      <c r="AQ147" s="330"/>
      <c r="AR147" s="330"/>
      <c r="AS147" s="330"/>
      <c r="AT147" s="330"/>
      <c r="AU147" s="330"/>
      <c r="AV147" s="330"/>
      <c r="AW147" s="330"/>
      <c r="AX147" s="330"/>
      <c r="AY147" s="330"/>
      <c r="AZ147" s="330"/>
      <c r="BA147" s="330"/>
      <c r="BB147" s="330"/>
    </row>
    <row r="148" spans="1:54" x14ac:dyDescent="0.25">
      <c r="A148" s="313">
        <v>17</v>
      </c>
      <c r="B148" s="86" t="str">
        <f t="shared" si="5"/>
        <v>GE2.1 - 280 - T3 - 66m²</v>
      </c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0"/>
      <c r="P148" s="330"/>
      <c r="Q148" s="330"/>
      <c r="R148" s="330"/>
      <c r="S148" s="330"/>
      <c r="T148" s="330"/>
      <c r="U148" s="330"/>
      <c r="V148" s="330">
        <v>0</v>
      </c>
      <c r="W148" s="330"/>
      <c r="X148" s="330"/>
      <c r="Y148" s="330"/>
      <c r="Z148" s="330"/>
      <c r="AA148" s="330"/>
      <c r="AB148" s="330"/>
      <c r="AC148" s="330"/>
      <c r="AD148" s="330"/>
      <c r="AE148" s="330"/>
      <c r="AF148" s="330"/>
      <c r="AG148" s="330"/>
      <c r="AH148" s="330"/>
      <c r="AI148" s="330"/>
      <c r="AJ148" s="330"/>
      <c r="AK148" s="330"/>
      <c r="AL148" s="330"/>
      <c r="AM148" s="330"/>
      <c r="AN148" s="330"/>
      <c r="AO148" s="330"/>
      <c r="AP148" s="330"/>
      <c r="AQ148" s="330"/>
      <c r="AR148" s="330"/>
      <c r="AS148" s="330"/>
      <c r="AT148" s="330"/>
      <c r="AU148" s="330"/>
      <c r="AV148" s="330"/>
      <c r="AW148" s="330"/>
      <c r="AX148" s="330"/>
      <c r="AY148" s="330"/>
      <c r="AZ148" s="330"/>
      <c r="BA148" s="330"/>
      <c r="BB148" s="330"/>
    </row>
    <row r="149" spans="1:54" x14ac:dyDescent="0.25">
      <c r="A149" s="313">
        <v>18</v>
      </c>
      <c r="B149" s="86" t="str">
        <f t="shared" si="5"/>
        <v>GE2.1 - 282 - T4 - 78m²</v>
      </c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>
        <v>230.66666666666674</v>
      </c>
      <c r="W149" s="330"/>
      <c r="X149" s="330"/>
      <c r="Y149" s="330"/>
      <c r="Z149" s="330"/>
      <c r="AA149" s="330"/>
      <c r="AB149" s="330"/>
      <c r="AC149" s="330"/>
      <c r="AD149" s="330"/>
      <c r="AE149" s="330"/>
      <c r="AF149" s="330"/>
      <c r="AG149" s="330"/>
      <c r="AH149" s="330"/>
      <c r="AI149" s="330"/>
      <c r="AJ149" s="330"/>
      <c r="AK149" s="330"/>
      <c r="AL149" s="330"/>
      <c r="AM149" s="330"/>
      <c r="AN149" s="330"/>
      <c r="AO149" s="330"/>
      <c r="AP149" s="330"/>
      <c r="AQ149" s="330"/>
      <c r="AR149" s="330"/>
      <c r="AS149" s="330"/>
      <c r="AT149" s="330"/>
      <c r="AU149" s="330"/>
      <c r="AV149" s="330"/>
      <c r="AW149" s="330"/>
      <c r="AX149" s="330"/>
      <c r="AY149" s="330"/>
      <c r="AZ149" s="330"/>
      <c r="BA149" s="330"/>
      <c r="BB149" s="330"/>
    </row>
    <row r="150" spans="1:54" x14ac:dyDescent="0.25">
      <c r="A150" s="313">
        <v>19</v>
      </c>
      <c r="B150" s="86" t="str">
        <f t="shared" si="5"/>
        <v>GE2.1 - 292 - T3 - 63m²</v>
      </c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>
        <v>867.99999999999852</v>
      </c>
      <c r="W150" s="330"/>
      <c r="X150" s="330"/>
      <c r="Y150" s="330"/>
      <c r="Z150" s="330"/>
      <c r="AA150" s="330"/>
      <c r="AB150" s="330"/>
      <c r="AC150" s="330"/>
      <c r="AD150" s="330"/>
      <c r="AE150" s="330"/>
      <c r="AF150" s="330"/>
      <c r="AG150" s="330"/>
      <c r="AH150" s="330"/>
      <c r="AI150" s="330"/>
      <c r="AJ150" s="330"/>
      <c r="AK150" s="330"/>
      <c r="AL150" s="330"/>
      <c r="AM150" s="330"/>
      <c r="AN150" s="330"/>
      <c r="AO150" s="330"/>
      <c r="AP150" s="330"/>
      <c r="AQ150" s="330"/>
      <c r="AR150" s="330"/>
      <c r="AS150" s="330"/>
      <c r="AT150" s="330"/>
      <c r="AU150" s="330"/>
      <c r="AV150" s="330"/>
      <c r="AW150" s="330"/>
      <c r="AX150" s="330"/>
      <c r="AY150" s="330"/>
      <c r="AZ150" s="330"/>
      <c r="BA150" s="330"/>
      <c r="BB150" s="330"/>
    </row>
    <row r="151" spans="1:54" x14ac:dyDescent="0.25">
      <c r="A151" s="313">
        <v>20</v>
      </c>
      <c r="B151" s="86" t="str">
        <f t="shared" si="5"/>
        <v>GE2.1 - 293 - T3 - 63m²</v>
      </c>
      <c r="C151" s="330"/>
      <c r="D151" s="330"/>
      <c r="E151" s="330"/>
      <c r="F151" s="330"/>
      <c r="G151" s="330"/>
      <c r="H151" s="330"/>
      <c r="I151" s="330"/>
      <c r="J151" s="330"/>
      <c r="K151" s="330"/>
      <c r="L151" s="330"/>
      <c r="M151" s="330"/>
      <c r="N151" s="330"/>
      <c r="O151" s="330"/>
      <c r="P151" s="330"/>
      <c r="Q151" s="330"/>
      <c r="R151" s="330"/>
      <c r="S151" s="330"/>
      <c r="T151" s="330"/>
      <c r="U151" s="330"/>
      <c r="V151" s="330">
        <v>1702.9999999999993</v>
      </c>
      <c r="W151" s="330"/>
      <c r="X151" s="330"/>
      <c r="Y151" s="330"/>
      <c r="Z151" s="330"/>
      <c r="AA151" s="330"/>
      <c r="AB151" s="330"/>
      <c r="AC151" s="330"/>
      <c r="AD151" s="330"/>
      <c r="AE151" s="330"/>
      <c r="AF151" s="330"/>
      <c r="AG151" s="330"/>
      <c r="AH151" s="330"/>
      <c r="AI151" s="330"/>
      <c r="AJ151" s="330"/>
      <c r="AK151" s="330"/>
      <c r="AL151" s="330"/>
      <c r="AM151" s="330"/>
      <c r="AN151" s="330"/>
      <c r="AO151" s="330"/>
      <c r="AP151" s="330"/>
      <c r="AQ151" s="330"/>
      <c r="AR151" s="330"/>
      <c r="AS151" s="330"/>
      <c r="AT151" s="330"/>
      <c r="AU151" s="330"/>
      <c r="AV151" s="330"/>
      <c r="AW151" s="330"/>
      <c r="AX151" s="330"/>
      <c r="AY151" s="330"/>
      <c r="AZ151" s="330"/>
      <c r="BA151" s="330"/>
      <c r="BB151" s="330"/>
    </row>
    <row r="152" spans="1:54" x14ac:dyDescent="0.25">
      <c r="A152" s="313">
        <v>21</v>
      </c>
      <c r="B152" s="86" t="str">
        <f t="shared" si="5"/>
        <v>GE2.1 - 295 - T3 - 63m²</v>
      </c>
      <c r="C152" s="330"/>
      <c r="D152" s="330"/>
      <c r="E152" s="330"/>
      <c r="F152" s="330"/>
      <c r="G152" s="330"/>
      <c r="H152" s="330"/>
      <c r="I152" s="330"/>
      <c r="J152" s="330"/>
      <c r="K152" s="330"/>
      <c r="L152" s="330"/>
      <c r="M152" s="330"/>
      <c r="N152" s="330"/>
      <c r="O152" s="330"/>
      <c r="P152" s="330"/>
      <c r="Q152" s="330"/>
      <c r="R152" s="330"/>
      <c r="S152" s="330"/>
      <c r="T152" s="330"/>
      <c r="U152" s="330"/>
      <c r="V152" s="330">
        <v>1741.500000000002</v>
      </c>
      <c r="W152" s="330"/>
      <c r="X152" s="330"/>
      <c r="Y152" s="330"/>
      <c r="Z152" s="330"/>
      <c r="AA152" s="330"/>
      <c r="AB152" s="330"/>
      <c r="AC152" s="330"/>
      <c r="AD152" s="330"/>
      <c r="AE152" s="330"/>
      <c r="AF152" s="330"/>
      <c r="AG152" s="330"/>
      <c r="AH152" s="330"/>
      <c r="AI152" s="330"/>
      <c r="AJ152" s="330"/>
      <c r="AK152" s="330"/>
      <c r="AL152" s="330"/>
      <c r="AM152" s="330"/>
      <c r="AN152" s="330"/>
      <c r="AO152" s="330"/>
      <c r="AP152" s="330"/>
      <c r="AQ152" s="330"/>
      <c r="AR152" s="330"/>
      <c r="AS152" s="330"/>
      <c r="AT152" s="330"/>
      <c r="AU152" s="330"/>
      <c r="AV152" s="330"/>
      <c r="AW152" s="330"/>
      <c r="AX152" s="330"/>
      <c r="AY152" s="330"/>
      <c r="AZ152" s="330"/>
      <c r="BA152" s="330"/>
      <c r="BB152" s="330"/>
    </row>
    <row r="153" spans="1:54" x14ac:dyDescent="0.25">
      <c r="A153" s="313">
        <v>22</v>
      </c>
      <c r="B153" s="86" t="str">
        <f t="shared" si="5"/>
        <v>GE2.1 - 296 - T4 - 78m²</v>
      </c>
      <c r="C153" s="330"/>
      <c r="D153" s="330"/>
      <c r="E153" s="330"/>
      <c r="F153" s="330"/>
      <c r="G153" s="330"/>
      <c r="H153" s="330"/>
      <c r="I153" s="330"/>
      <c r="J153" s="330"/>
      <c r="K153" s="330"/>
      <c r="L153" s="330"/>
      <c r="M153" s="330"/>
      <c r="N153" s="330"/>
      <c r="O153" s="330"/>
      <c r="P153" s="330"/>
      <c r="Q153" s="330"/>
      <c r="R153" s="330"/>
      <c r="S153" s="330"/>
      <c r="T153" s="330"/>
      <c r="U153" s="330"/>
      <c r="V153" s="330">
        <v>552.2500000000008</v>
      </c>
      <c r="W153" s="330"/>
      <c r="X153" s="330"/>
      <c r="Y153" s="330"/>
      <c r="Z153" s="330"/>
      <c r="AA153" s="330"/>
      <c r="AB153" s="330"/>
      <c r="AC153" s="330"/>
      <c r="AD153" s="330"/>
      <c r="AE153" s="330"/>
      <c r="AF153" s="330"/>
      <c r="AG153" s="330"/>
      <c r="AH153" s="330"/>
      <c r="AI153" s="330"/>
      <c r="AJ153" s="330"/>
      <c r="AK153" s="330"/>
      <c r="AL153" s="330"/>
      <c r="AM153" s="330"/>
      <c r="AN153" s="330"/>
      <c r="AO153" s="330"/>
      <c r="AP153" s="330"/>
      <c r="AQ153" s="330"/>
      <c r="AR153" s="330"/>
      <c r="AS153" s="330"/>
      <c r="AT153" s="330"/>
      <c r="AU153" s="330"/>
      <c r="AV153" s="330"/>
      <c r="AW153" s="330"/>
      <c r="AX153" s="330"/>
      <c r="AY153" s="330"/>
      <c r="AZ153" s="330"/>
      <c r="BA153" s="330"/>
      <c r="BB153" s="330"/>
    </row>
    <row r="154" spans="1:54" x14ac:dyDescent="0.25">
      <c r="A154" s="313">
        <v>23</v>
      </c>
      <c r="B154" s="86" t="str">
        <f t="shared" si="5"/>
        <v>GE2.1 - 297 - T4 - 79m²</v>
      </c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0"/>
      <c r="N154" s="330"/>
      <c r="O154" s="330"/>
      <c r="P154" s="330"/>
      <c r="Q154" s="330"/>
      <c r="R154" s="330"/>
      <c r="S154" s="330"/>
      <c r="T154" s="330"/>
      <c r="U154" s="330"/>
      <c r="V154" s="330">
        <v>4782.0000000000109</v>
      </c>
      <c r="W154" s="330"/>
      <c r="X154" s="330"/>
      <c r="Y154" s="330"/>
      <c r="Z154" s="330"/>
      <c r="AA154" s="330"/>
      <c r="AB154" s="330"/>
      <c r="AC154" s="330"/>
      <c r="AD154" s="330"/>
      <c r="AE154" s="330"/>
      <c r="AF154" s="330"/>
      <c r="AG154" s="330"/>
      <c r="AH154" s="330"/>
      <c r="AI154" s="330"/>
      <c r="AJ154" s="330"/>
      <c r="AK154" s="330"/>
      <c r="AL154" s="330"/>
      <c r="AM154" s="330"/>
      <c r="AN154" s="330"/>
      <c r="AO154" s="330"/>
      <c r="AP154" s="330"/>
      <c r="AQ154" s="330"/>
      <c r="AR154" s="330"/>
      <c r="AS154" s="330"/>
      <c r="AT154" s="330"/>
      <c r="AU154" s="330"/>
      <c r="AV154" s="330"/>
      <c r="AW154" s="330"/>
      <c r="AX154" s="330"/>
      <c r="AY154" s="330"/>
      <c r="AZ154" s="330"/>
      <c r="BA154" s="330"/>
      <c r="BB154" s="330"/>
    </row>
    <row r="155" spans="1:54" x14ac:dyDescent="0.25">
      <c r="A155" s="313">
        <v>24</v>
      </c>
      <c r="B155" s="86" t="str">
        <f t="shared" si="5"/>
        <v>GE2.1 - 299 - T4 - 79m²</v>
      </c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0"/>
      <c r="P155" s="330"/>
      <c r="Q155" s="330"/>
      <c r="R155" s="330"/>
      <c r="S155" s="330"/>
      <c r="T155" s="330"/>
      <c r="U155" s="330"/>
      <c r="V155" s="330">
        <v>450.66666666666674</v>
      </c>
      <c r="W155" s="330"/>
      <c r="X155" s="330"/>
      <c r="Y155" s="330"/>
      <c r="Z155" s="330"/>
      <c r="AA155" s="330"/>
      <c r="AB155" s="330"/>
      <c r="AC155" s="330"/>
      <c r="AD155" s="330"/>
      <c r="AE155" s="330"/>
      <c r="AF155" s="330"/>
      <c r="AG155" s="330"/>
      <c r="AH155" s="330"/>
      <c r="AI155" s="330"/>
      <c r="AJ155" s="330"/>
      <c r="AK155" s="330"/>
      <c r="AL155" s="330"/>
      <c r="AM155" s="330"/>
      <c r="AN155" s="330"/>
      <c r="AO155" s="330"/>
      <c r="AP155" s="330"/>
      <c r="AQ155" s="330"/>
      <c r="AR155" s="330"/>
      <c r="AS155" s="330"/>
      <c r="AT155" s="330"/>
      <c r="AU155" s="330"/>
      <c r="AV155" s="330"/>
      <c r="AW155" s="330"/>
      <c r="AX155" s="330"/>
      <c r="AY155" s="330"/>
      <c r="AZ155" s="330"/>
      <c r="BA155" s="330"/>
      <c r="BB155" s="330"/>
    </row>
    <row r="156" spans="1:54" x14ac:dyDescent="0.25">
      <c r="A156" s="313">
        <v>25</v>
      </c>
      <c r="B156" s="86" t="str">
        <f t="shared" si="5"/>
        <v>GE2.1 - 300 - T5 - 93m²</v>
      </c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>
        <v>630.25000000000023</v>
      </c>
      <c r="W156" s="330"/>
      <c r="X156" s="330"/>
      <c r="Y156" s="330"/>
      <c r="Z156" s="330"/>
      <c r="AA156" s="330"/>
      <c r="AB156" s="330"/>
      <c r="AC156" s="330"/>
      <c r="AD156" s="330"/>
      <c r="AE156" s="330"/>
      <c r="AF156" s="330"/>
      <c r="AG156" s="330"/>
      <c r="AH156" s="330"/>
      <c r="AI156" s="330"/>
      <c r="AJ156" s="330"/>
      <c r="AK156" s="330"/>
      <c r="AL156" s="330"/>
      <c r="AM156" s="330"/>
      <c r="AN156" s="330"/>
      <c r="AO156" s="330"/>
      <c r="AP156" s="330"/>
      <c r="AQ156" s="330"/>
      <c r="AR156" s="330"/>
      <c r="AS156" s="330"/>
      <c r="AT156" s="330"/>
      <c r="AU156" s="330"/>
      <c r="AV156" s="330"/>
      <c r="AW156" s="330"/>
      <c r="AX156" s="330"/>
      <c r="AY156" s="330"/>
      <c r="AZ156" s="330"/>
      <c r="BA156" s="330"/>
      <c r="BB156" s="330"/>
    </row>
    <row r="157" spans="1:54" x14ac:dyDescent="0.25">
      <c r="A157" s="313">
        <v>26</v>
      </c>
      <c r="B157" s="86" t="str">
        <f t="shared" si="5"/>
        <v>GE2.1 - 302 - T5 - 93m²</v>
      </c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>
        <v>643.00000000000068</v>
      </c>
      <c r="W157" s="330"/>
      <c r="X157" s="330"/>
      <c r="Y157" s="330"/>
      <c r="Z157" s="330"/>
      <c r="AA157" s="330"/>
      <c r="AB157" s="330"/>
      <c r="AC157" s="330"/>
      <c r="AD157" s="330"/>
      <c r="AE157" s="330"/>
      <c r="AF157" s="330"/>
      <c r="AG157" s="330"/>
      <c r="AH157" s="330"/>
      <c r="AI157" s="330"/>
      <c r="AJ157" s="330"/>
      <c r="AK157" s="330"/>
      <c r="AL157" s="330"/>
      <c r="AM157" s="330"/>
      <c r="AN157" s="330"/>
      <c r="AO157" s="330"/>
      <c r="AP157" s="330"/>
      <c r="AQ157" s="330"/>
      <c r="AR157" s="330"/>
      <c r="AS157" s="330"/>
      <c r="AT157" s="330"/>
      <c r="AU157" s="330"/>
      <c r="AV157" s="330"/>
      <c r="AW157" s="330"/>
      <c r="AX157" s="330"/>
      <c r="AY157" s="330"/>
      <c r="AZ157" s="330"/>
      <c r="BA157" s="330"/>
      <c r="BB157" s="330"/>
    </row>
    <row r="158" spans="1:54" x14ac:dyDescent="0.25">
      <c r="A158" s="313">
        <v>27</v>
      </c>
      <c r="B158" s="86" t="str">
        <f t="shared" si="5"/>
        <v>GE2.1 - 312 - T4 - 75m²</v>
      </c>
      <c r="C158" s="330"/>
      <c r="D158" s="330"/>
      <c r="E158" s="330"/>
      <c r="F158" s="330"/>
      <c r="G158" s="330"/>
      <c r="H158" s="330"/>
      <c r="I158" s="330"/>
      <c r="J158" s="330"/>
      <c r="K158" s="330"/>
      <c r="L158" s="330"/>
      <c r="M158" s="330"/>
      <c r="N158" s="330"/>
      <c r="O158" s="330"/>
      <c r="P158" s="330"/>
      <c r="Q158" s="330"/>
      <c r="R158" s="330"/>
      <c r="S158" s="330"/>
      <c r="T158" s="330"/>
      <c r="U158" s="330"/>
      <c r="V158" s="330">
        <v>1079.4999999999995</v>
      </c>
      <c r="W158" s="330"/>
      <c r="X158" s="330"/>
      <c r="Y158" s="330"/>
      <c r="Z158" s="330"/>
      <c r="AA158" s="330"/>
      <c r="AB158" s="330"/>
      <c r="AC158" s="330"/>
      <c r="AD158" s="330"/>
      <c r="AE158" s="330"/>
      <c r="AF158" s="330"/>
      <c r="AG158" s="330"/>
      <c r="AH158" s="330"/>
      <c r="AI158" s="330"/>
      <c r="AJ158" s="330"/>
      <c r="AK158" s="330"/>
      <c r="AL158" s="330"/>
      <c r="AM158" s="330"/>
      <c r="AN158" s="330"/>
      <c r="AO158" s="330"/>
      <c r="AP158" s="330"/>
      <c r="AQ158" s="330"/>
      <c r="AR158" s="330"/>
      <c r="AS158" s="330"/>
      <c r="AT158" s="330"/>
      <c r="AU158" s="330"/>
      <c r="AV158" s="330"/>
      <c r="AW158" s="330"/>
      <c r="AX158" s="330"/>
      <c r="AY158" s="330"/>
      <c r="AZ158" s="330"/>
      <c r="BA158" s="330"/>
      <c r="BB158" s="330"/>
    </row>
    <row r="159" spans="1:54" x14ac:dyDescent="0.25">
      <c r="A159" s="313">
        <v>28</v>
      </c>
      <c r="B159" s="86"/>
      <c r="C159" s="331"/>
      <c r="D159" s="331"/>
      <c r="E159" s="331"/>
      <c r="F159" s="331"/>
      <c r="G159" s="331"/>
      <c r="H159" s="331"/>
      <c r="I159" s="331"/>
      <c r="J159" s="331"/>
      <c r="K159" s="331"/>
      <c r="L159" s="331"/>
      <c r="M159" s="331"/>
      <c r="N159" s="331"/>
      <c r="O159" s="331"/>
      <c r="P159" s="331"/>
      <c r="Q159" s="331"/>
      <c r="R159" s="331"/>
      <c r="S159" s="331"/>
      <c r="T159" s="331"/>
      <c r="U159" s="331"/>
      <c r="V159" s="331"/>
      <c r="W159" s="331"/>
      <c r="X159" s="331"/>
      <c r="Y159" s="331"/>
      <c r="Z159" s="331"/>
      <c r="AA159" s="331"/>
      <c r="AB159" s="331"/>
      <c r="AC159" s="331"/>
      <c r="AD159" s="331"/>
      <c r="AE159" s="331"/>
      <c r="AF159" s="331"/>
      <c r="AG159" s="331"/>
      <c r="AH159" s="331"/>
      <c r="AI159" s="331"/>
      <c r="AJ159" s="331"/>
      <c r="AK159" s="331"/>
      <c r="AL159" s="331"/>
      <c r="AM159" s="331"/>
      <c r="AN159" s="331"/>
      <c r="AO159" s="331"/>
      <c r="AP159" s="331"/>
      <c r="AQ159" s="331"/>
      <c r="AR159" s="331"/>
      <c r="AS159" s="331"/>
      <c r="AT159" s="331"/>
      <c r="AU159" s="331"/>
      <c r="AV159" s="331"/>
      <c r="AW159" s="331"/>
      <c r="AX159" s="331"/>
      <c r="AY159" s="331"/>
      <c r="AZ159" s="331"/>
      <c r="BA159" s="331"/>
      <c r="BB159" s="331"/>
    </row>
    <row r="160" spans="1:54" x14ac:dyDescent="0.25">
      <c r="A160" s="313">
        <v>29</v>
      </c>
      <c r="B160" s="86" t="str">
        <f t="shared" ref="B160:B172" si="6">B106</f>
        <v>GE2.2 - 271 - T3 - 74m²</v>
      </c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0"/>
      <c r="P160" s="330"/>
      <c r="Q160" s="330"/>
      <c r="R160" s="330"/>
      <c r="S160" s="330"/>
      <c r="T160" s="330"/>
      <c r="U160" s="330"/>
      <c r="V160" s="330">
        <v>922.99999999999829</v>
      </c>
      <c r="W160" s="330"/>
      <c r="X160" s="330"/>
      <c r="Y160" s="330"/>
      <c r="Z160" s="330"/>
      <c r="AA160" s="330"/>
      <c r="AB160" s="330"/>
      <c r="AC160" s="330"/>
      <c r="AD160" s="330"/>
      <c r="AE160" s="330"/>
      <c r="AF160" s="330"/>
      <c r="AG160" s="330"/>
      <c r="AH160" s="330"/>
      <c r="AI160" s="330"/>
      <c r="AJ160" s="330"/>
      <c r="AK160" s="330"/>
      <c r="AL160" s="330"/>
      <c r="AM160" s="330"/>
      <c r="AN160" s="330"/>
      <c r="AO160" s="330"/>
      <c r="AP160" s="330"/>
      <c r="AQ160" s="330"/>
      <c r="AR160" s="330"/>
      <c r="AS160" s="330"/>
      <c r="AT160" s="330"/>
      <c r="AU160" s="330"/>
      <c r="AV160" s="330"/>
      <c r="AW160" s="330"/>
      <c r="AX160" s="330"/>
      <c r="AY160" s="330"/>
      <c r="AZ160" s="330"/>
      <c r="BA160" s="330"/>
      <c r="BB160" s="330"/>
    </row>
    <row r="161" spans="1:54" x14ac:dyDescent="0.25">
      <c r="A161" s="313">
        <v>30</v>
      </c>
      <c r="B161" s="86" t="str">
        <f t="shared" si="6"/>
        <v>GE2.2 - 272 - T3 - 74m²</v>
      </c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30"/>
      <c r="P161" s="330"/>
      <c r="Q161" s="330"/>
      <c r="R161" s="330"/>
      <c r="S161" s="330"/>
      <c r="T161" s="330"/>
      <c r="U161" s="330"/>
      <c r="V161" s="330">
        <v>2026.0000000000034</v>
      </c>
      <c r="W161" s="330"/>
      <c r="X161" s="330"/>
      <c r="Y161" s="330"/>
      <c r="Z161" s="330"/>
      <c r="AA161" s="330"/>
      <c r="AB161" s="330"/>
      <c r="AC161" s="330"/>
      <c r="AD161" s="330"/>
      <c r="AE161" s="330"/>
      <c r="AF161" s="330"/>
      <c r="AG161" s="330"/>
      <c r="AH161" s="330"/>
      <c r="AI161" s="330"/>
      <c r="AJ161" s="330"/>
      <c r="AK161" s="330"/>
      <c r="AL161" s="330"/>
      <c r="AM161" s="330"/>
      <c r="AN161" s="330"/>
      <c r="AO161" s="330"/>
      <c r="AP161" s="330"/>
      <c r="AQ161" s="330"/>
      <c r="AR161" s="330"/>
      <c r="AS161" s="330"/>
      <c r="AT161" s="330"/>
      <c r="AU161" s="330"/>
      <c r="AV161" s="330"/>
      <c r="AW161" s="330"/>
      <c r="AX161" s="330"/>
      <c r="AY161" s="330"/>
      <c r="AZ161" s="330"/>
      <c r="BA161" s="330"/>
      <c r="BB161" s="330"/>
    </row>
    <row r="162" spans="1:54" x14ac:dyDescent="0.25">
      <c r="A162" s="313">
        <v>31</v>
      </c>
      <c r="B162" s="86" t="str">
        <f t="shared" si="6"/>
        <v>GE2.2 - 273 - T3 - 74m²</v>
      </c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30"/>
      <c r="P162" s="330"/>
      <c r="Q162" s="330"/>
      <c r="R162" s="330"/>
      <c r="S162" s="330"/>
      <c r="T162" s="330"/>
      <c r="U162" s="330"/>
      <c r="V162" s="330">
        <v>1059.5</v>
      </c>
      <c r="W162" s="330"/>
      <c r="X162" s="330"/>
      <c r="Y162" s="330"/>
      <c r="Z162" s="330"/>
      <c r="AA162" s="330"/>
      <c r="AB162" s="330"/>
      <c r="AC162" s="330"/>
      <c r="AD162" s="330"/>
      <c r="AE162" s="330"/>
      <c r="AF162" s="330"/>
      <c r="AG162" s="330"/>
      <c r="AH162" s="330"/>
      <c r="AI162" s="330"/>
      <c r="AJ162" s="330"/>
      <c r="AK162" s="330"/>
      <c r="AL162" s="330"/>
      <c r="AM162" s="330"/>
      <c r="AN162" s="330"/>
      <c r="AO162" s="330"/>
      <c r="AP162" s="330"/>
      <c r="AQ162" s="330"/>
      <c r="AR162" s="330"/>
      <c r="AS162" s="330"/>
      <c r="AT162" s="330"/>
      <c r="AU162" s="330"/>
      <c r="AV162" s="330"/>
      <c r="AW162" s="330"/>
      <c r="AX162" s="330"/>
      <c r="AY162" s="330"/>
      <c r="AZ162" s="330"/>
      <c r="BA162" s="330"/>
      <c r="BB162" s="330"/>
    </row>
    <row r="163" spans="1:54" x14ac:dyDescent="0.25">
      <c r="A163" s="313">
        <v>32</v>
      </c>
      <c r="B163" s="86" t="str">
        <f t="shared" si="6"/>
        <v>GE2.2 - 276 - T4 - 83m²</v>
      </c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>
        <v>965.50000000000227</v>
      </c>
      <c r="W163" s="330"/>
      <c r="X163" s="330"/>
      <c r="Y163" s="330"/>
      <c r="Z163" s="330"/>
      <c r="AA163" s="330"/>
      <c r="AB163" s="330"/>
      <c r="AC163" s="330"/>
      <c r="AD163" s="330"/>
      <c r="AE163" s="330"/>
      <c r="AF163" s="330"/>
      <c r="AG163" s="330"/>
      <c r="AH163" s="330"/>
      <c r="AI163" s="330"/>
      <c r="AJ163" s="330"/>
      <c r="AK163" s="330"/>
      <c r="AL163" s="330"/>
      <c r="AM163" s="330"/>
      <c r="AN163" s="330"/>
      <c r="AO163" s="330"/>
      <c r="AP163" s="330"/>
      <c r="AQ163" s="330"/>
      <c r="AR163" s="330"/>
      <c r="AS163" s="330"/>
      <c r="AT163" s="330"/>
      <c r="AU163" s="330"/>
      <c r="AV163" s="330"/>
      <c r="AW163" s="330"/>
      <c r="AX163" s="330"/>
      <c r="AY163" s="330"/>
      <c r="AZ163" s="330"/>
      <c r="BA163" s="330"/>
      <c r="BB163" s="330"/>
    </row>
    <row r="164" spans="1:54" x14ac:dyDescent="0.25">
      <c r="A164" s="313">
        <v>33</v>
      </c>
      <c r="B164" s="86" t="str">
        <f t="shared" si="6"/>
        <v>GE2.2 - 279 - T3 - 70m²</v>
      </c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>
        <v>695.99999999999977</v>
      </c>
      <c r="W164" s="330"/>
      <c r="X164" s="330"/>
      <c r="Y164" s="330"/>
      <c r="Z164" s="330"/>
      <c r="AA164" s="330"/>
      <c r="AB164" s="330"/>
      <c r="AC164" s="330"/>
      <c r="AD164" s="330"/>
      <c r="AE164" s="330"/>
      <c r="AF164" s="330"/>
      <c r="AG164" s="330"/>
      <c r="AH164" s="330"/>
      <c r="AI164" s="330"/>
      <c r="AJ164" s="330"/>
      <c r="AK164" s="330"/>
      <c r="AL164" s="330"/>
      <c r="AM164" s="330"/>
      <c r="AN164" s="330"/>
      <c r="AO164" s="330"/>
      <c r="AP164" s="330"/>
      <c r="AQ164" s="330"/>
      <c r="AR164" s="330"/>
      <c r="AS164" s="330"/>
      <c r="AT164" s="330"/>
      <c r="AU164" s="330"/>
      <c r="AV164" s="330"/>
      <c r="AW164" s="330"/>
      <c r="AX164" s="330"/>
      <c r="AY164" s="330"/>
      <c r="AZ164" s="330"/>
      <c r="BA164" s="330"/>
      <c r="BB164" s="330"/>
    </row>
    <row r="165" spans="1:54" x14ac:dyDescent="0.25">
      <c r="A165" s="313">
        <v>34</v>
      </c>
      <c r="B165" s="86" t="str">
        <f t="shared" si="6"/>
        <v>GE2.2 - 288 - T3 - 68m²</v>
      </c>
      <c r="C165" s="330"/>
      <c r="D165" s="330"/>
      <c r="E165" s="330"/>
      <c r="F165" s="330"/>
      <c r="G165" s="330"/>
      <c r="H165" s="330"/>
      <c r="I165" s="330"/>
      <c r="J165" s="330"/>
      <c r="K165" s="330"/>
      <c r="L165" s="330"/>
      <c r="M165" s="330"/>
      <c r="N165" s="330"/>
      <c r="O165" s="330"/>
      <c r="P165" s="330"/>
      <c r="Q165" s="330"/>
      <c r="R165" s="330"/>
      <c r="S165" s="330"/>
      <c r="T165" s="330"/>
      <c r="U165" s="330"/>
      <c r="V165" s="330">
        <v>217.24999999999994</v>
      </c>
      <c r="W165" s="330"/>
      <c r="X165" s="330"/>
      <c r="Y165" s="330"/>
      <c r="Z165" s="330"/>
      <c r="AA165" s="330"/>
      <c r="AB165" s="330"/>
      <c r="AC165" s="330"/>
      <c r="AD165" s="330"/>
      <c r="AE165" s="330"/>
      <c r="AF165" s="330"/>
      <c r="AG165" s="330"/>
      <c r="AH165" s="330"/>
      <c r="AI165" s="330"/>
      <c r="AJ165" s="330"/>
      <c r="AK165" s="330"/>
      <c r="AL165" s="330"/>
      <c r="AM165" s="330"/>
      <c r="AN165" s="330"/>
      <c r="AO165" s="330"/>
      <c r="AP165" s="330"/>
      <c r="AQ165" s="330"/>
      <c r="AR165" s="330"/>
      <c r="AS165" s="330"/>
      <c r="AT165" s="330"/>
      <c r="AU165" s="330"/>
      <c r="AV165" s="330"/>
      <c r="AW165" s="330"/>
      <c r="AX165" s="330"/>
      <c r="AY165" s="330"/>
      <c r="AZ165" s="330"/>
      <c r="BA165" s="330"/>
      <c r="BB165" s="330"/>
    </row>
    <row r="166" spans="1:54" x14ac:dyDescent="0.25">
      <c r="A166" s="313">
        <v>35</v>
      </c>
      <c r="B166" s="86" t="str">
        <f t="shared" si="6"/>
        <v>GE2.2 - 291 - T3 - 62m²</v>
      </c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0"/>
      <c r="N166" s="330"/>
      <c r="O166" s="330"/>
      <c r="P166" s="330"/>
      <c r="Q166" s="330"/>
      <c r="R166" s="330"/>
      <c r="S166" s="330"/>
      <c r="T166" s="330"/>
      <c r="U166" s="330"/>
      <c r="V166" s="330">
        <v>59.499999999999886</v>
      </c>
      <c r="W166" s="330"/>
      <c r="X166" s="330"/>
      <c r="Y166" s="330"/>
      <c r="Z166" s="330"/>
      <c r="AA166" s="330"/>
      <c r="AB166" s="330"/>
      <c r="AC166" s="330"/>
      <c r="AD166" s="330"/>
      <c r="AE166" s="330"/>
      <c r="AF166" s="330"/>
      <c r="AG166" s="330"/>
      <c r="AH166" s="330"/>
      <c r="AI166" s="330"/>
      <c r="AJ166" s="330"/>
      <c r="AK166" s="330"/>
      <c r="AL166" s="330"/>
      <c r="AM166" s="330"/>
      <c r="AN166" s="330"/>
      <c r="AO166" s="330"/>
      <c r="AP166" s="330"/>
      <c r="AQ166" s="330"/>
      <c r="AR166" s="330"/>
      <c r="AS166" s="330"/>
      <c r="AT166" s="330"/>
      <c r="AU166" s="330"/>
      <c r="AV166" s="330"/>
      <c r="AW166" s="330"/>
      <c r="AX166" s="330"/>
      <c r="AY166" s="330"/>
      <c r="AZ166" s="330"/>
      <c r="BA166" s="330"/>
      <c r="BB166" s="330"/>
    </row>
    <row r="167" spans="1:54" x14ac:dyDescent="0.25">
      <c r="A167" s="313">
        <v>36</v>
      </c>
      <c r="B167" s="86" t="str">
        <f t="shared" si="6"/>
        <v>GE2.2 - 294 - T3 - 63m²</v>
      </c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>
        <v>704.99999999999829</v>
      </c>
      <c r="W167" s="330"/>
      <c r="X167" s="330"/>
      <c r="Y167" s="330"/>
      <c r="Z167" s="330"/>
      <c r="AA167" s="330"/>
      <c r="AB167" s="330"/>
      <c r="AC167" s="330"/>
      <c r="AD167" s="330"/>
      <c r="AE167" s="330"/>
      <c r="AF167" s="330"/>
      <c r="AG167" s="330"/>
      <c r="AH167" s="330"/>
      <c r="AI167" s="330"/>
      <c r="AJ167" s="330"/>
      <c r="AK167" s="330"/>
      <c r="AL167" s="330"/>
      <c r="AM167" s="330"/>
      <c r="AN167" s="330"/>
      <c r="AO167" s="330"/>
      <c r="AP167" s="330"/>
      <c r="AQ167" s="330"/>
      <c r="AR167" s="330"/>
      <c r="AS167" s="330"/>
      <c r="AT167" s="330"/>
      <c r="AU167" s="330"/>
      <c r="AV167" s="330"/>
      <c r="AW167" s="330"/>
      <c r="AX167" s="330"/>
      <c r="AY167" s="330"/>
      <c r="AZ167" s="330"/>
      <c r="BA167" s="330"/>
      <c r="BB167" s="330"/>
    </row>
    <row r="168" spans="1:54" x14ac:dyDescent="0.25">
      <c r="A168" s="313">
        <v>37</v>
      </c>
      <c r="B168" s="86" t="str">
        <f t="shared" si="6"/>
        <v>GE2.2 - 298 - T5 - 93m²</v>
      </c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30"/>
      <c r="P168" s="330"/>
      <c r="Q168" s="330"/>
      <c r="R168" s="330"/>
      <c r="S168" s="330"/>
      <c r="T168" s="330"/>
      <c r="U168" s="330"/>
      <c r="V168" s="330">
        <v>4917.9999999999918</v>
      </c>
      <c r="W168" s="330"/>
      <c r="X168" s="330"/>
      <c r="Y168" s="330"/>
      <c r="Z168" s="330"/>
      <c r="AA168" s="330"/>
      <c r="AB168" s="330"/>
      <c r="AC168" s="330"/>
      <c r="AD168" s="330"/>
      <c r="AE168" s="330"/>
      <c r="AF168" s="330"/>
      <c r="AG168" s="330"/>
      <c r="AH168" s="330"/>
      <c r="AI168" s="330"/>
      <c r="AJ168" s="330"/>
      <c r="AK168" s="330"/>
      <c r="AL168" s="330"/>
      <c r="AM168" s="330"/>
      <c r="AN168" s="330"/>
      <c r="AO168" s="330"/>
      <c r="AP168" s="330"/>
      <c r="AQ168" s="330"/>
      <c r="AR168" s="330"/>
      <c r="AS168" s="330"/>
      <c r="AT168" s="330"/>
      <c r="AU168" s="330"/>
      <c r="AV168" s="330"/>
      <c r="AW168" s="330"/>
      <c r="AX168" s="330"/>
      <c r="AY168" s="330"/>
      <c r="AZ168" s="330"/>
      <c r="BA168" s="330"/>
      <c r="BB168" s="330"/>
    </row>
    <row r="169" spans="1:54" x14ac:dyDescent="0.25">
      <c r="A169" s="313">
        <v>38</v>
      </c>
      <c r="B169" s="86" t="str">
        <f t="shared" si="6"/>
        <v>GE2.2 - 301 - T4 - 79m²</v>
      </c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0"/>
      <c r="P169" s="330"/>
      <c r="Q169" s="330"/>
      <c r="R169" s="330"/>
      <c r="S169" s="330"/>
      <c r="T169" s="330"/>
      <c r="U169" s="330"/>
      <c r="V169" s="330">
        <v>716.66666666666617</v>
      </c>
      <c r="W169" s="330"/>
      <c r="X169" s="330"/>
      <c r="Y169" s="330"/>
      <c r="Z169" s="330"/>
      <c r="AA169" s="330"/>
      <c r="AB169" s="330"/>
      <c r="AC169" s="330"/>
      <c r="AD169" s="330"/>
      <c r="AE169" s="330"/>
      <c r="AF169" s="330"/>
      <c r="AG169" s="330"/>
      <c r="AH169" s="330"/>
      <c r="AI169" s="330"/>
      <c r="AJ169" s="330"/>
      <c r="AK169" s="330"/>
      <c r="AL169" s="330"/>
      <c r="AM169" s="330"/>
      <c r="AN169" s="330"/>
      <c r="AO169" s="330"/>
      <c r="AP169" s="330"/>
      <c r="AQ169" s="330"/>
      <c r="AR169" s="330"/>
      <c r="AS169" s="330"/>
      <c r="AT169" s="330"/>
      <c r="AU169" s="330"/>
      <c r="AV169" s="330"/>
      <c r="AW169" s="330"/>
      <c r="AX169" s="330"/>
      <c r="AY169" s="330"/>
      <c r="AZ169" s="330"/>
      <c r="BA169" s="330"/>
      <c r="BB169" s="330"/>
    </row>
    <row r="170" spans="1:54" x14ac:dyDescent="0.25">
      <c r="A170" s="313">
        <v>39</v>
      </c>
      <c r="B170" s="86" t="str">
        <f t="shared" si="6"/>
        <v>GE2.2 - 311 - T4 - 74m²</v>
      </c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>
        <v>1048.9999999999995</v>
      </c>
      <c r="W170" s="330"/>
      <c r="X170" s="330"/>
      <c r="Y170" s="330"/>
      <c r="Z170" s="330"/>
      <c r="AA170" s="330"/>
      <c r="AB170" s="330"/>
      <c r="AC170" s="330"/>
      <c r="AD170" s="330"/>
      <c r="AE170" s="330"/>
      <c r="AF170" s="330"/>
      <c r="AG170" s="330"/>
      <c r="AH170" s="330"/>
      <c r="AI170" s="330"/>
      <c r="AJ170" s="330"/>
      <c r="AK170" s="330"/>
      <c r="AL170" s="330"/>
      <c r="AM170" s="330"/>
      <c r="AN170" s="330"/>
      <c r="AO170" s="330"/>
      <c r="AP170" s="330"/>
      <c r="AQ170" s="330"/>
      <c r="AR170" s="330"/>
      <c r="AS170" s="330"/>
      <c r="AT170" s="330"/>
      <c r="AU170" s="330"/>
      <c r="AV170" s="330"/>
      <c r="AW170" s="330"/>
      <c r="AX170" s="330"/>
      <c r="AY170" s="330"/>
      <c r="AZ170" s="330"/>
      <c r="BA170" s="330"/>
      <c r="BB170" s="330"/>
    </row>
    <row r="171" spans="1:54" x14ac:dyDescent="0.25">
      <c r="A171" s="313">
        <v>40</v>
      </c>
      <c r="B171" s="86" t="str">
        <f t="shared" si="6"/>
        <v>GE2.2 - 313 - T4 - 75m²</v>
      </c>
      <c r="C171" s="330"/>
      <c r="D171" s="330"/>
      <c r="E171" s="330"/>
      <c r="F171" s="330"/>
      <c r="G171" s="330"/>
      <c r="H171" s="330"/>
      <c r="I171" s="330"/>
      <c r="J171" s="330"/>
      <c r="K171" s="330"/>
      <c r="L171" s="330"/>
      <c r="M171" s="330"/>
      <c r="N171" s="330"/>
      <c r="O171" s="330"/>
      <c r="P171" s="330"/>
      <c r="Q171" s="330"/>
      <c r="R171" s="330"/>
      <c r="S171" s="330"/>
      <c r="T171" s="330"/>
      <c r="U171" s="330"/>
      <c r="V171" s="330">
        <v>615.00000000000023</v>
      </c>
      <c r="W171" s="330"/>
      <c r="X171" s="330"/>
      <c r="Y171" s="330"/>
      <c r="Z171" s="330"/>
      <c r="AA171" s="330"/>
      <c r="AB171" s="330"/>
      <c r="AC171" s="330"/>
      <c r="AD171" s="330"/>
      <c r="AE171" s="330"/>
      <c r="AF171" s="330"/>
      <c r="AG171" s="330"/>
      <c r="AH171" s="330"/>
      <c r="AI171" s="330"/>
      <c r="AJ171" s="330"/>
      <c r="AK171" s="330"/>
      <c r="AL171" s="330"/>
      <c r="AM171" s="330"/>
      <c r="AN171" s="330"/>
      <c r="AO171" s="330"/>
      <c r="AP171" s="330"/>
      <c r="AQ171" s="330"/>
      <c r="AR171" s="330"/>
      <c r="AS171" s="330"/>
      <c r="AT171" s="330"/>
      <c r="AU171" s="330"/>
      <c r="AV171" s="330"/>
      <c r="AW171" s="330"/>
      <c r="AX171" s="330"/>
      <c r="AY171" s="330"/>
      <c r="AZ171" s="330"/>
      <c r="BA171" s="330"/>
      <c r="BB171" s="330"/>
    </row>
    <row r="172" spans="1:54" x14ac:dyDescent="0.25">
      <c r="A172" s="313">
        <v>41</v>
      </c>
      <c r="B172" s="86" t="str">
        <f t="shared" si="6"/>
        <v>GE2.2 - 315 - T4 - 75m²</v>
      </c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0"/>
      <c r="N172" s="330"/>
      <c r="O172" s="330"/>
      <c r="P172" s="330"/>
      <c r="Q172" s="330"/>
      <c r="R172" s="330"/>
      <c r="S172" s="330"/>
      <c r="T172" s="330"/>
      <c r="U172" s="330"/>
      <c r="V172" s="330">
        <v>2076.0000000000005</v>
      </c>
      <c r="W172" s="330"/>
      <c r="X172" s="330"/>
      <c r="Y172" s="330"/>
      <c r="Z172" s="330"/>
      <c r="AA172" s="330"/>
      <c r="AB172" s="330"/>
      <c r="AC172" s="330"/>
      <c r="AD172" s="330"/>
      <c r="AE172" s="330"/>
      <c r="AF172" s="330"/>
      <c r="AG172" s="330"/>
      <c r="AH172" s="330"/>
      <c r="AI172" s="330"/>
      <c r="AJ172" s="330"/>
      <c r="AK172" s="330"/>
      <c r="AL172" s="330"/>
      <c r="AM172" s="330"/>
      <c r="AN172" s="330"/>
      <c r="AO172" s="330"/>
      <c r="AP172" s="330"/>
      <c r="AQ172" s="330"/>
      <c r="AR172" s="330"/>
      <c r="AS172" s="330"/>
      <c r="AT172" s="330"/>
      <c r="AU172" s="330"/>
      <c r="AV172" s="330"/>
      <c r="AW172" s="330"/>
      <c r="AX172" s="330"/>
      <c r="AY172" s="330"/>
      <c r="AZ172" s="330"/>
      <c r="BA172" s="330"/>
      <c r="BB172" s="330"/>
    </row>
    <row r="173" spans="1:54" x14ac:dyDescent="0.25">
      <c r="A173" s="313">
        <v>42</v>
      </c>
      <c r="B173" s="86"/>
      <c r="C173" s="331"/>
      <c r="D173" s="331"/>
      <c r="E173" s="331"/>
      <c r="F173" s="331"/>
      <c r="G173" s="331"/>
      <c r="H173" s="331"/>
      <c r="I173" s="331"/>
      <c r="J173" s="331"/>
      <c r="K173" s="331"/>
      <c r="L173" s="331"/>
      <c r="M173" s="331"/>
      <c r="N173" s="331"/>
      <c r="O173" s="331"/>
      <c r="P173" s="331"/>
      <c r="Q173" s="331"/>
      <c r="R173" s="331"/>
      <c r="S173" s="331"/>
      <c r="T173" s="331"/>
      <c r="U173" s="331"/>
      <c r="V173" s="331"/>
      <c r="W173" s="331"/>
      <c r="X173" s="331"/>
      <c r="Y173" s="331"/>
      <c r="Z173" s="331"/>
      <c r="AA173" s="331"/>
      <c r="AB173" s="331"/>
      <c r="AC173" s="331"/>
      <c r="AD173" s="331"/>
      <c r="AE173" s="331"/>
      <c r="AF173" s="331"/>
      <c r="AG173" s="331"/>
      <c r="AH173" s="331"/>
      <c r="AI173" s="331"/>
      <c r="AJ173" s="331"/>
      <c r="AK173" s="331"/>
      <c r="AL173" s="331"/>
      <c r="AM173" s="331"/>
      <c r="AN173" s="331"/>
      <c r="AO173" s="331"/>
      <c r="AP173" s="331"/>
      <c r="AQ173" s="331"/>
      <c r="AR173" s="331"/>
      <c r="AS173" s="331"/>
      <c r="AT173" s="331"/>
      <c r="AU173" s="331"/>
      <c r="AV173" s="331"/>
      <c r="AW173" s="331"/>
      <c r="AX173" s="331"/>
      <c r="AY173" s="331"/>
      <c r="AZ173" s="331"/>
      <c r="BA173" s="331"/>
      <c r="BB173" s="331"/>
    </row>
    <row r="174" spans="1:54" x14ac:dyDescent="0.25">
      <c r="A174" s="313">
        <v>43</v>
      </c>
      <c r="B174" s="86" t="str">
        <f t="shared" ref="B174:B179" si="7">B120</f>
        <v>SO - 284 - T - 64m²</v>
      </c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>
        <v>176.9999999999996</v>
      </c>
      <c r="W174" s="330"/>
      <c r="X174" s="330"/>
      <c r="Y174" s="330"/>
      <c r="Z174" s="330"/>
      <c r="AA174" s="330"/>
      <c r="AB174" s="330"/>
      <c r="AC174" s="330"/>
      <c r="AD174" s="330"/>
      <c r="AE174" s="330"/>
      <c r="AF174" s="330"/>
      <c r="AG174" s="330"/>
      <c r="AH174" s="330"/>
      <c r="AI174" s="330"/>
      <c r="AJ174" s="330"/>
      <c r="AK174" s="330"/>
      <c r="AL174" s="330"/>
      <c r="AM174" s="330"/>
      <c r="AN174" s="330"/>
      <c r="AO174" s="330"/>
      <c r="AP174" s="330"/>
      <c r="AQ174" s="330"/>
      <c r="AR174" s="330"/>
      <c r="AS174" s="330"/>
      <c r="AT174" s="330"/>
      <c r="AU174" s="330"/>
      <c r="AV174" s="330"/>
      <c r="AW174" s="330"/>
      <c r="AX174" s="330"/>
      <c r="AY174" s="330"/>
      <c r="AZ174" s="330"/>
      <c r="BA174" s="330"/>
      <c r="BB174" s="330"/>
    </row>
    <row r="175" spans="1:54" x14ac:dyDescent="0.25">
      <c r="A175" s="313">
        <v>44</v>
      </c>
      <c r="B175" s="86" t="str">
        <f t="shared" si="7"/>
        <v>SO - 287 - T - 81m²</v>
      </c>
      <c r="C175" s="330"/>
      <c r="D175" s="330"/>
      <c r="E175" s="330"/>
      <c r="F175" s="330"/>
      <c r="G175" s="330"/>
      <c r="H175" s="330"/>
      <c r="I175" s="330"/>
      <c r="J175" s="330"/>
      <c r="K175" s="330"/>
      <c r="L175" s="330"/>
      <c r="M175" s="330"/>
      <c r="N175" s="330"/>
      <c r="O175" s="330"/>
      <c r="P175" s="330"/>
      <c r="Q175" s="330"/>
      <c r="R175" s="330"/>
      <c r="S175" s="330"/>
      <c r="T175" s="330"/>
      <c r="U175" s="330"/>
      <c r="V175" s="330">
        <v>966.00000000000114</v>
      </c>
      <c r="W175" s="330"/>
      <c r="X175" s="330"/>
      <c r="Y175" s="330"/>
      <c r="Z175" s="330"/>
      <c r="AA175" s="330"/>
      <c r="AB175" s="330"/>
      <c r="AC175" s="330"/>
      <c r="AD175" s="330"/>
      <c r="AE175" s="330"/>
      <c r="AF175" s="330"/>
      <c r="AG175" s="330"/>
      <c r="AH175" s="330"/>
      <c r="AI175" s="330"/>
      <c r="AJ175" s="330"/>
      <c r="AK175" s="330"/>
      <c r="AL175" s="330"/>
      <c r="AM175" s="330"/>
      <c r="AN175" s="330"/>
      <c r="AO175" s="330"/>
      <c r="AP175" s="330"/>
      <c r="AQ175" s="330"/>
      <c r="AR175" s="330"/>
      <c r="AS175" s="330"/>
      <c r="AT175" s="330"/>
      <c r="AU175" s="330"/>
      <c r="AV175" s="330"/>
      <c r="AW175" s="330"/>
      <c r="AX175" s="330"/>
      <c r="AY175" s="330"/>
      <c r="AZ175" s="330"/>
      <c r="BA175" s="330"/>
      <c r="BB175" s="330"/>
    </row>
    <row r="176" spans="1:54" x14ac:dyDescent="0.25">
      <c r="A176" s="313">
        <v>45</v>
      </c>
      <c r="B176" s="86" t="str">
        <f t="shared" si="7"/>
        <v>SO - 290 - T - 40m²</v>
      </c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>
        <v>1115.9999999999995</v>
      </c>
      <c r="W176" s="330"/>
      <c r="X176" s="330"/>
      <c r="Y176" s="330"/>
      <c r="Z176" s="330"/>
      <c r="AA176" s="330"/>
      <c r="AB176" s="330"/>
      <c r="AC176" s="330"/>
      <c r="AD176" s="330"/>
      <c r="AE176" s="330"/>
      <c r="AF176" s="330"/>
      <c r="AG176" s="330"/>
      <c r="AH176" s="330"/>
      <c r="AI176" s="330"/>
      <c r="AJ176" s="330"/>
      <c r="AK176" s="330"/>
      <c r="AL176" s="330"/>
      <c r="AM176" s="330"/>
      <c r="AN176" s="330"/>
      <c r="AO176" s="330"/>
      <c r="AP176" s="330"/>
      <c r="AQ176" s="330"/>
      <c r="AR176" s="330"/>
      <c r="AS176" s="330"/>
      <c r="AT176" s="330"/>
      <c r="AU176" s="330"/>
      <c r="AV176" s="330"/>
      <c r="AW176" s="330"/>
      <c r="AX176" s="330"/>
      <c r="AY176" s="330"/>
      <c r="AZ176" s="330"/>
      <c r="BA176" s="330"/>
      <c r="BB176" s="330"/>
    </row>
    <row r="177" spans="1:54" x14ac:dyDescent="0.25">
      <c r="A177" s="313">
        <v>46</v>
      </c>
      <c r="B177" s="86" t="str">
        <f t="shared" si="7"/>
        <v>SO - 305 - T - 66m²</v>
      </c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30"/>
      <c r="P177" s="330"/>
      <c r="Q177" s="330"/>
      <c r="R177" s="330"/>
      <c r="S177" s="330"/>
      <c r="T177" s="330"/>
      <c r="U177" s="330"/>
      <c r="V177" s="330">
        <v>366.33333333333343</v>
      </c>
      <c r="W177" s="330"/>
      <c r="X177" s="330"/>
      <c r="Y177" s="330"/>
      <c r="Z177" s="330"/>
      <c r="AA177" s="330"/>
      <c r="AB177" s="330"/>
      <c r="AC177" s="330"/>
      <c r="AD177" s="330"/>
      <c r="AE177" s="330"/>
      <c r="AF177" s="330"/>
      <c r="AG177" s="330"/>
      <c r="AH177" s="330"/>
      <c r="AI177" s="330"/>
      <c r="AJ177" s="330"/>
      <c r="AK177" s="330"/>
      <c r="AL177" s="330"/>
      <c r="AM177" s="330"/>
      <c r="AN177" s="330"/>
      <c r="AO177" s="330"/>
      <c r="AP177" s="330"/>
      <c r="AQ177" s="330"/>
      <c r="AR177" s="330"/>
      <c r="AS177" s="330"/>
      <c r="AT177" s="330"/>
      <c r="AU177" s="330"/>
      <c r="AV177" s="330"/>
      <c r="AW177" s="330"/>
      <c r="AX177" s="330"/>
      <c r="AY177" s="330"/>
      <c r="AZ177" s="330"/>
      <c r="BA177" s="330"/>
      <c r="BB177" s="330"/>
    </row>
    <row r="178" spans="1:54" x14ac:dyDescent="0.25">
      <c r="A178" s="313">
        <v>47</v>
      </c>
      <c r="B178" s="86" t="str">
        <f t="shared" si="7"/>
        <v>SO - 309 - T - 66m²</v>
      </c>
      <c r="C178" s="330"/>
      <c r="D178" s="330"/>
      <c r="E178" s="330"/>
      <c r="F178" s="330"/>
      <c r="G178" s="330"/>
      <c r="H178" s="330"/>
      <c r="I178" s="330"/>
      <c r="J178" s="330"/>
      <c r="K178" s="330"/>
      <c r="L178" s="330"/>
      <c r="M178" s="330"/>
      <c r="N178" s="330"/>
      <c r="O178" s="330"/>
      <c r="P178" s="330"/>
      <c r="Q178" s="330"/>
      <c r="R178" s="330"/>
      <c r="S178" s="330"/>
      <c r="T178" s="330"/>
      <c r="U178" s="330"/>
      <c r="V178" s="330">
        <v>1141.0000000000018</v>
      </c>
      <c r="W178" s="330"/>
      <c r="X178" s="330"/>
      <c r="Y178" s="330"/>
      <c r="Z178" s="330"/>
      <c r="AA178" s="330"/>
      <c r="AB178" s="330"/>
      <c r="AC178" s="330"/>
      <c r="AD178" s="330"/>
      <c r="AE178" s="330"/>
      <c r="AF178" s="330"/>
      <c r="AG178" s="330"/>
      <c r="AH178" s="330"/>
      <c r="AI178" s="330"/>
      <c r="AJ178" s="330"/>
      <c r="AK178" s="330"/>
      <c r="AL178" s="330"/>
      <c r="AM178" s="330"/>
      <c r="AN178" s="330"/>
      <c r="AO178" s="330"/>
      <c r="AP178" s="330"/>
      <c r="AQ178" s="330"/>
      <c r="AR178" s="330"/>
      <c r="AS178" s="330"/>
      <c r="AT178" s="330"/>
      <c r="AU178" s="330"/>
      <c r="AV178" s="330"/>
      <c r="AW178" s="330"/>
      <c r="AX178" s="330"/>
      <c r="AY178" s="330"/>
      <c r="AZ178" s="330"/>
      <c r="BA178" s="330"/>
      <c r="BB178" s="330"/>
    </row>
    <row r="179" spans="1:54" x14ac:dyDescent="0.25">
      <c r="A179" s="313">
        <v>48</v>
      </c>
      <c r="B179" s="86" t="str">
        <f t="shared" si="7"/>
        <v>SO - 310 - T - 54m²</v>
      </c>
      <c r="C179" s="330"/>
      <c r="D179" s="330"/>
      <c r="E179" s="330"/>
      <c r="F179" s="330"/>
      <c r="G179" s="330"/>
      <c r="H179" s="330"/>
      <c r="I179" s="330"/>
      <c r="J179" s="330"/>
      <c r="K179" s="330"/>
      <c r="L179" s="330"/>
      <c r="M179" s="330"/>
      <c r="N179" s="330"/>
      <c r="O179" s="330"/>
      <c r="P179" s="330"/>
      <c r="Q179" s="330"/>
      <c r="R179" s="330"/>
      <c r="S179" s="330"/>
      <c r="T179" s="330"/>
      <c r="U179" s="330"/>
      <c r="V179" s="330">
        <v>1754.0000000000014</v>
      </c>
      <c r="W179" s="330"/>
      <c r="X179" s="330"/>
      <c r="Y179" s="330"/>
      <c r="Z179" s="330"/>
      <c r="AA179" s="330"/>
      <c r="AB179" s="330"/>
      <c r="AC179" s="330"/>
      <c r="AD179" s="330"/>
      <c r="AE179" s="330"/>
      <c r="AF179" s="330"/>
      <c r="AG179" s="330"/>
      <c r="AH179" s="330"/>
      <c r="AI179" s="330"/>
      <c r="AJ179" s="330"/>
      <c r="AK179" s="330"/>
      <c r="AL179" s="330"/>
      <c r="AM179" s="330"/>
      <c r="AN179" s="330"/>
      <c r="AO179" s="330"/>
      <c r="AP179" s="330"/>
      <c r="AQ179" s="330"/>
      <c r="AR179" s="330"/>
      <c r="AS179" s="330"/>
      <c r="AT179" s="330"/>
      <c r="AU179" s="330"/>
      <c r="AV179" s="330"/>
      <c r="AW179" s="330"/>
      <c r="AX179" s="330"/>
      <c r="AY179" s="330"/>
      <c r="AZ179" s="330"/>
      <c r="BA179" s="330"/>
      <c r="BB179" s="330"/>
    </row>
    <row r="180" spans="1:54" x14ac:dyDescent="0.25">
      <c r="A180" s="314"/>
    </row>
    <row r="181" spans="1:54" x14ac:dyDescent="0.25">
      <c r="A181" s="314"/>
    </row>
    <row r="182" spans="1:54" x14ac:dyDescent="0.25">
      <c r="A182" s="314"/>
    </row>
    <row r="183" spans="1:54" x14ac:dyDescent="0.25">
      <c r="A183" s="314"/>
      <c r="B183" s="340" t="s">
        <v>205</v>
      </c>
      <c r="C183" s="341"/>
    </row>
    <row r="184" spans="1:54" x14ac:dyDescent="0.25">
      <c r="A184" s="314"/>
    </row>
    <row r="185" spans="1:54" x14ac:dyDescent="0.25">
      <c r="A185" s="314"/>
      <c r="B185" s="352" t="s">
        <v>262</v>
      </c>
      <c r="C185" s="342">
        <v>31</v>
      </c>
      <c r="D185" s="342">
        <v>28</v>
      </c>
      <c r="E185" s="342">
        <v>31</v>
      </c>
      <c r="F185" s="342">
        <v>30</v>
      </c>
      <c r="G185" s="342">
        <v>31</v>
      </c>
      <c r="H185" s="342">
        <v>30</v>
      </c>
      <c r="I185" s="342">
        <v>31</v>
      </c>
      <c r="J185" s="342">
        <v>31</v>
      </c>
      <c r="K185" s="342">
        <v>30</v>
      </c>
      <c r="L185" s="342">
        <v>31</v>
      </c>
      <c r="M185" s="342">
        <v>30</v>
      </c>
      <c r="N185" s="343">
        <v>31</v>
      </c>
    </row>
    <row r="186" spans="1:54" x14ac:dyDescent="0.25">
      <c r="A186" s="314"/>
      <c r="B186" s="344" t="s">
        <v>261</v>
      </c>
      <c r="C186" s="345" t="s">
        <v>46</v>
      </c>
      <c r="D186" s="344" t="s">
        <v>47</v>
      </c>
      <c r="E186" s="344" t="s">
        <v>48</v>
      </c>
      <c r="F186" s="344" t="s">
        <v>43</v>
      </c>
      <c r="G186" s="344" t="s">
        <v>49</v>
      </c>
      <c r="H186" s="344" t="s">
        <v>50</v>
      </c>
      <c r="I186" s="344" t="s">
        <v>51</v>
      </c>
      <c r="J186" s="344" t="s">
        <v>52</v>
      </c>
      <c r="K186" s="344" t="s">
        <v>53</v>
      </c>
      <c r="L186" s="344" t="s">
        <v>54</v>
      </c>
      <c r="M186" s="344" t="s">
        <v>55</v>
      </c>
      <c r="N186" s="346" t="s">
        <v>56</v>
      </c>
    </row>
    <row r="187" spans="1:54" x14ac:dyDescent="0.25">
      <c r="A187" s="314"/>
      <c r="B187" s="351" t="s">
        <v>170</v>
      </c>
      <c r="C187" s="327">
        <v>339.1</v>
      </c>
      <c r="D187" s="328">
        <v>266.60000000000002</v>
      </c>
      <c r="E187" s="328">
        <v>217.4</v>
      </c>
      <c r="F187" s="328">
        <v>69</v>
      </c>
      <c r="G187" s="328">
        <v>7.9</v>
      </c>
      <c r="H187" s="328">
        <v>0</v>
      </c>
      <c r="I187" s="328">
        <v>0</v>
      </c>
      <c r="J187" s="328">
        <v>0</v>
      </c>
      <c r="K187" s="328">
        <v>0</v>
      </c>
      <c r="L187" s="328">
        <v>9.6</v>
      </c>
      <c r="M187" s="328">
        <v>172.7</v>
      </c>
      <c r="N187" s="329">
        <v>271</v>
      </c>
      <c r="BA187" s="32"/>
      <c r="BB187" s="32"/>
    </row>
    <row r="188" spans="1:54" x14ac:dyDescent="0.25">
      <c r="A188" s="314"/>
      <c r="B188" s="351" t="s">
        <v>171</v>
      </c>
      <c r="C188" s="327">
        <v>302.7</v>
      </c>
      <c r="D188" s="328">
        <v>425.6</v>
      </c>
      <c r="E188" s="328">
        <v>183.6</v>
      </c>
      <c r="F188" s="328">
        <v>120.9</v>
      </c>
      <c r="G188" s="328">
        <v>17.2</v>
      </c>
      <c r="H188" s="328">
        <v>0</v>
      </c>
      <c r="I188" s="328">
        <v>0</v>
      </c>
      <c r="J188" s="328">
        <v>0</v>
      </c>
      <c r="K188" s="328">
        <v>0</v>
      </c>
      <c r="L188" s="328">
        <v>44.5</v>
      </c>
      <c r="M188" s="328">
        <v>154</v>
      </c>
      <c r="N188" s="329">
        <v>299.89999999999998</v>
      </c>
    </row>
    <row r="189" spans="1:54" x14ac:dyDescent="0.25">
      <c r="A189" s="314"/>
      <c r="B189" s="351" t="s">
        <v>172</v>
      </c>
      <c r="C189" s="327">
        <v>364.3</v>
      </c>
      <c r="D189" s="328">
        <v>351.1</v>
      </c>
      <c r="E189" s="328">
        <v>229.5</v>
      </c>
      <c r="F189" s="328">
        <v>131</v>
      </c>
      <c r="G189" s="328">
        <v>70.8</v>
      </c>
      <c r="H189" s="328">
        <v>0</v>
      </c>
      <c r="I189" s="328">
        <v>0</v>
      </c>
      <c r="J189" s="328">
        <v>0</v>
      </c>
      <c r="K189" s="328">
        <v>0</v>
      </c>
      <c r="L189" s="328">
        <v>5.9</v>
      </c>
      <c r="M189" s="328">
        <v>220.5</v>
      </c>
      <c r="N189" s="329">
        <v>284.8</v>
      </c>
    </row>
    <row r="190" spans="1:54" x14ac:dyDescent="0.25">
      <c r="A190" s="314"/>
      <c r="B190" s="351" t="s">
        <v>189</v>
      </c>
      <c r="C190" s="327"/>
      <c r="D190" s="328"/>
      <c r="E190" s="328"/>
      <c r="F190" s="328"/>
      <c r="G190" s="328"/>
      <c r="H190" s="328"/>
      <c r="I190" s="328"/>
      <c r="J190" s="328"/>
      <c r="K190" s="328"/>
      <c r="L190" s="328"/>
      <c r="M190" s="328"/>
      <c r="N190" s="329"/>
    </row>
    <row r="191" spans="1:54" x14ac:dyDescent="0.25">
      <c r="A191" s="314"/>
      <c r="B191" s="351" t="s">
        <v>190</v>
      </c>
      <c r="C191" s="327"/>
      <c r="D191" s="328"/>
      <c r="E191" s="328"/>
      <c r="F191" s="328"/>
      <c r="G191" s="328"/>
      <c r="H191" s="328"/>
      <c r="I191" s="328"/>
      <c r="J191" s="328"/>
      <c r="K191" s="328"/>
      <c r="L191" s="328"/>
      <c r="M191" s="328"/>
      <c r="N191" s="329"/>
    </row>
    <row r="192" spans="1:54" s="21" customFormat="1" x14ac:dyDescent="0.25">
      <c r="A192" s="319"/>
      <c r="B192" s="347" t="s">
        <v>173</v>
      </c>
      <c r="C192" s="348">
        <f>C185/7</f>
        <v>4.4285714285714288</v>
      </c>
      <c r="D192" s="349">
        <f t="shared" ref="D192:N192" si="8">D185/7</f>
        <v>4</v>
      </c>
      <c r="E192" s="349">
        <f t="shared" si="8"/>
        <v>4.4285714285714288</v>
      </c>
      <c r="F192" s="349">
        <f t="shared" si="8"/>
        <v>4.2857142857142856</v>
      </c>
      <c r="G192" s="349">
        <f t="shared" si="8"/>
        <v>4.4285714285714288</v>
      </c>
      <c r="H192" s="349">
        <f t="shared" si="8"/>
        <v>4.2857142857142856</v>
      </c>
      <c r="I192" s="349">
        <f t="shared" si="8"/>
        <v>4.4285714285714288</v>
      </c>
      <c r="J192" s="349">
        <f t="shared" si="8"/>
        <v>4.4285714285714288</v>
      </c>
      <c r="K192" s="349">
        <f t="shared" si="8"/>
        <v>4.2857142857142856</v>
      </c>
      <c r="L192" s="349">
        <f t="shared" si="8"/>
        <v>4.4285714285714288</v>
      </c>
      <c r="M192" s="349">
        <f t="shared" si="8"/>
        <v>4.2857142857142856</v>
      </c>
      <c r="N192" s="350">
        <f t="shared" si="8"/>
        <v>4.4285714285714288</v>
      </c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</row>
    <row r="193" spans="1:14" x14ac:dyDescent="0.25">
      <c r="A193" s="314"/>
      <c r="B193" s="353" t="s">
        <v>174</v>
      </c>
      <c r="C193" s="233">
        <f>AVERAGE(C187:C191)/C192</f>
        <v>75.727956989247303</v>
      </c>
      <c r="D193" s="234">
        <f>AVERAGE(D187:D191)/D192</f>
        <v>86.941666666666677</v>
      </c>
      <c r="E193" s="234">
        <f t="shared" ref="E193:M193" si="9">AVERAGE(E187:E191)/E192</f>
        <v>47.456989247311824</v>
      </c>
      <c r="F193" s="234">
        <f t="shared" si="9"/>
        <v>24.958888888888886</v>
      </c>
      <c r="G193" s="234">
        <f t="shared" si="9"/>
        <v>7.2182795698924735</v>
      </c>
      <c r="H193" s="234">
        <f t="shared" si="9"/>
        <v>0</v>
      </c>
      <c r="I193" s="234">
        <f t="shared" si="9"/>
        <v>0</v>
      </c>
      <c r="J193" s="234">
        <f t="shared" si="9"/>
        <v>0</v>
      </c>
      <c r="K193" s="234">
        <f t="shared" si="9"/>
        <v>0</v>
      </c>
      <c r="L193" s="234">
        <f t="shared" si="9"/>
        <v>4.5161290322580641</v>
      </c>
      <c r="M193" s="234">
        <f t="shared" si="9"/>
        <v>42.56</v>
      </c>
      <c r="N193" s="235">
        <f>AVERAGE(N187:N191)/N192</f>
        <v>64.407526881720429</v>
      </c>
    </row>
    <row r="194" spans="1:14" x14ac:dyDescent="0.25">
      <c r="A194" s="314"/>
    </row>
  </sheetData>
  <sortState ref="A26:F70">
    <sortCondition ref="B26:B70"/>
  </sortState>
  <mergeCells count="3">
    <mergeCell ref="A1:D1"/>
    <mergeCell ref="D3:F3"/>
    <mergeCell ref="G3:H3"/>
  </mergeCells>
  <hyperlinks>
    <hyperlink ref="E14" r:id="rId1"/>
  </hyperlinks>
  <pageMargins left="0.70866141732283472" right="0.70866141732283472" top="0.74803149606299213" bottom="0.74803149606299213" header="0.31496062992125984" footer="0.31496062992125984"/>
  <pageSetup paperSize="8" scale="42" orientation="portrait" r:id="rId2"/>
  <headerFooter>
    <oddFooter>&amp;L&amp;F&amp;CSOLAIR&amp;R&amp;A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T118"/>
  <sheetViews>
    <sheetView zoomScaleNormal="100" workbookViewId="0">
      <selection activeCell="D38" sqref="D38"/>
    </sheetView>
  </sheetViews>
  <sheetFormatPr baseColWidth="10" defaultRowHeight="12.75" x14ac:dyDescent="0.25"/>
  <cols>
    <col min="1" max="1" width="15.7109375" style="1" customWidth="1"/>
    <col min="2" max="2" width="40.7109375" style="1" customWidth="1"/>
    <col min="3" max="9" width="20.7109375" style="1" customWidth="1"/>
    <col min="10" max="12" width="15.7109375" style="1" customWidth="1"/>
    <col min="13" max="20" width="13.28515625" style="1" customWidth="1"/>
    <col min="21" max="21" width="18.5703125" style="1" customWidth="1"/>
    <col min="22" max="16384" width="11.42578125" style="1"/>
  </cols>
  <sheetData>
    <row r="1" spans="1:11" s="18" customFormat="1" ht="26.25" thickBot="1" x14ac:dyDescent="0.3">
      <c r="A1" s="466" t="str">
        <f>CONCATENATE("ENCERTICUS - ",B4," - ",B5," - ",B7)</f>
        <v>ENCERTICUS - Traitement données GAZ - 2014 - S20</v>
      </c>
      <c r="B1" s="467"/>
      <c r="C1" s="467"/>
      <c r="D1" s="468"/>
      <c r="E1" s="28"/>
      <c r="F1" s="312" t="s">
        <v>94</v>
      </c>
      <c r="G1" s="173" t="s">
        <v>95</v>
      </c>
      <c r="H1" s="28"/>
      <c r="I1" s="28"/>
    </row>
    <row r="2" spans="1:11" s="18" customFormat="1" ht="13.5" thickBot="1" x14ac:dyDescent="0.3">
      <c r="E2" s="23"/>
      <c r="F2" s="13"/>
      <c r="G2" s="161"/>
      <c r="H2" s="13"/>
      <c r="I2" s="28"/>
    </row>
    <row r="3" spans="1:11" s="18" customFormat="1" x14ac:dyDescent="0.25">
      <c r="A3" s="137" t="s">
        <v>9</v>
      </c>
      <c r="B3" s="138" t="s">
        <v>10</v>
      </c>
      <c r="D3" s="469" t="s">
        <v>68</v>
      </c>
      <c r="E3" s="470"/>
      <c r="F3" s="471"/>
      <c r="G3" s="469" t="str">
        <f>CONCATENATE("Correction DJU - ",B6)</f>
        <v>Correction DJU - Mai</v>
      </c>
      <c r="H3" s="471"/>
      <c r="I3" s="28"/>
    </row>
    <row r="4" spans="1:11" s="18" customFormat="1" x14ac:dyDescent="0.25">
      <c r="A4" s="139" t="s">
        <v>11</v>
      </c>
      <c r="B4" s="140" t="s">
        <v>71</v>
      </c>
      <c r="C4" s="209" t="s">
        <v>160</v>
      </c>
      <c r="D4" s="145" t="s">
        <v>23</v>
      </c>
      <c r="E4" s="155">
        <f>'0_ENTREE LOGICIEL'!E4</f>
        <v>4.3452380952380958</v>
      </c>
      <c r="F4" s="147"/>
      <c r="G4" s="145" t="str">
        <f>'0_ENTREE LOGICIEL'!G4</f>
        <v>DJU REEL - 2014 - Mai</v>
      </c>
      <c r="H4" s="157">
        <f>'0_ENTREE LOGICIEL'!H4</f>
        <v>20</v>
      </c>
      <c r="I4" s="28"/>
    </row>
    <row r="5" spans="1:11" s="18" customFormat="1" ht="14.25" x14ac:dyDescent="0.25">
      <c r="A5" s="139" t="s">
        <v>40</v>
      </c>
      <c r="B5" s="147">
        <f>'0_ENTREE LOGICIEL'!B5</f>
        <v>2014</v>
      </c>
      <c r="C5" s="209"/>
      <c r="D5" s="145" t="s">
        <v>69</v>
      </c>
      <c r="E5" s="148">
        <f>'0_ENTREE LOGICIEL'!E5</f>
        <v>11.628</v>
      </c>
      <c r="F5" s="149" t="s">
        <v>33</v>
      </c>
      <c r="G5" s="145" t="str">
        <f>'0_ENTREE LOGICIEL'!G5</f>
        <v>DJU MODELE - Mai</v>
      </c>
      <c r="H5" s="157">
        <f>'0_ENTREE LOGICIEL'!H5</f>
        <v>7.2182795698924735</v>
      </c>
      <c r="I5" s="28"/>
    </row>
    <row r="6" spans="1:11" s="18" customFormat="1" x14ac:dyDescent="0.25">
      <c r="A6" s="139" t="s">
        <v>41</v>
      </c>
      <c r="B6" s="147" t="str">
        <f>'0_ENTREE LOGICIEL'!B6</f>
        <v>Mai</v>
      </c>
      <c r="C6" s="239">
        <f>'0_ENTREE LOGICIEL'!C6</f>
        <v>7</v>
      </c>
      <c r="D6" s="145" t="s">
        <v>69</v>
      </c>
      <c r="E6" s="156">
        <f>'0_ENTREE LOGICIEL'!E6</f>
        <v>0.9009009009009008</v>
      </c>
      <c r="F6" s="149" t="s">
        <v>15</v>
      </c>
      <c r="G6" s="145" t="str">
        <f>'0_ENTREE LOGICIEL'!G6</f>
        <v>DJU REF - 2013 - Mai</v>
      </c>
      <c r="H6" s="157">
        <f>'1_Valeur_Référence'!H6</f>
        <v>15.987096774193548</v>
      </c>
      <c r="I6" s="28"/>
    </row>
    <row r="7" spans="1:11" s="18" customFormat="1" x14ac:dyDescent="0.25">
      <c r="A7" s="139" t="s">
        <v>67</v>
      </c>
      <c r="B7" s="147" t="str">
        <f>'0_ENTREE LOGICIEL'!B7</f>
        <v>S20</v>
      </c>
      <c r="C7" s="239">
        <f>'0_ENTREE LOGICIEL'!C7</f>
        <v>22</v>
      </c>
      <c r="D7" s="150"/>
      <c r="E7" s="151"/>
      <c r="F7" s="152"/>
      <c r="G7" s="145"/>
      <c r="H7" s="149"/>
      <c r="I7" s="28"/>
    </row>
    <row r="8" spans="1:11" s="18" customFormat="1" ht="13.5" thickBot="1" x14ac:dyDescent="0.3">
      <c r="A8" s="141" t="s">
        <v>36</v>
      </c>
      <c r="B8" s="165" t="str">
        <f>'0_ENTREE LOGICIEL'!B8</f>
        <v>Semaine</v>
      </c>
      <c r="D8" s="203" t="s">
        <v>157</v>
      </c>
      <c r="E8" s="204">
        <f>'0_ENTREE LOGICIEL'!E8</f>
        <v>1</v>
      </c>
      <c r="F8" s="154"/>
      <c r="G8" s="153"/>
      <c r="H8" s="158"/>
      <c r="I8" s="28"/>
    </row>
    <row r="9" spans="1:11" s="18" customFormat="1" ht="13.5" thickBot="1" x14ac:dyDescent="0.3">
      <c r="A9" s="4"/>
      <c r="B9" s="24"/>
      <c r="C9" s="29"/>
      <c r="D9" s="29"/>
      <c r="E9" s="29"/>
      <c r="F9" s="29"/>
      <c r="G9" s="29"/>
      <c r="H9" s="4"/>
      <c r="I9" s="30"/>
      <c r="J9" s="29"/>
      <c r="K9" s="29"/>
    </row>
    <row r="10" spans="1:11" s="19" customFormat="1" x14ac:dyDescent="0.25">
      <c r="B10" s="123"/>
      <c r="C10" s="124" t="s">
        <v>63</v>
      </c>
      <c r="D10" s="124" t="s">
        <v>66</v>
      </c>
      <c r="E10" s="125" t="s">
        <v>70</v>
      </c>
      <c r="H10" s="14"/>
      <c r="I10" s="26"/>
    </row>
    <row r="11" spans="1:11" s="18" customFormat="1" x14ac:dyDescent="0.25">
      <c r="B11" s="136" t="s">
        <v>58</v>
      </c>
      <c r="C11" s="130">
        <f>'0_ENTREE LOGICIEL'!C11</f>
        <v>20</v>
      </c>
      <c r="D11" s="131" t="s">
        <v>39</v>
      </c>
      <c r="E11" s="132"/>
      <c r="G11" s="13"/>
      <c r="H11" s="28"/>
      <c r="I11" s="28"/>
    </row>
    <row r="12" spans="1:11" s="18" customFormat="1" x14ac:dyDescent="0.25">
      <c r="B12" s="129" t="s">
        <v>57</v>
      </c>
      <c r="C12" s="134">
        <f>'0_ENTREE LOGICIEL'!C12</f>
        <v>7</v>
      </c>
      <c r="D12" s="133" t="s">
        <v>64</v>
      </c>
      <c r="E12" s="135"/>
      <c r="G12" s="13"/>
      <c r="H12" s="28"/>
      <c r="I12" s="28"/>
    </row>
    <row r="13" spans="1:11" s="18" customFormat="1" x14ac:dyDescent="0.25">
      <c r="B13" s="136" t="s">
        <v>60</v>
      </c>
      <c r="C13" s="162">
        <f>'0_ENTREE LOGICIEL'!C13</f>
        <v>52.42307692307692</v>
      </c>
      <c r="D13" s="131" t="s">
        <v>62</v>
      </c>
      <c r="E13" s="132" t="s">
        <v>24</v>
      </c>
      <c r="G13" s="13"/>
      <c r="H13" s="28"/>
      <c r="I13" s="28"/>
    </row>
    <row r="14" spans="1:11" s="18" customFormat="1" x14ac:dyDescent="0.25">
      <c r="B14" s="129" t="s">
        <v>61</v>
      </c>
      <c r="C14" s="134">
        <f>'0_ENTREE LOGICIEL'!C14</f>
        <v>1050</v>
      </c>
      <c r="D14" s="133" t="s">
        <v>65</v>
      </c>
      <c r="E14" s="160" t="s">
        <v>29</v>
      </c>
      <c r="G14" s="28"/>
      <c r="H14" s="28"/>
      <c r="I14" s="28"/>
    </row>
    <row r="15" spans="1:11" s="18" customFormat="1" ht="14.25" x14ac:dyDescent="0.25">
      <c r="B15" s="136" t="s">
        <v>59</v>
      </c>
      <c r="C15" s="162">
        <f>'0_ENTREE LOGICIEL'!C15</f>
        <v>45.111111111111107</v>
      </c>
      <c r="D15" s="131" t="s">
        <v>34</v>
      </c>
      <c r="E15" s="132" t="s">
        <v>37</v>
      </c>
      <c r="G15" s="28"/>
      <c r="H15" s="28"/>
      <c r="I15" s="28"/>
    </row>
    <row r="16" spans="1:11" ht="14.25" x14ac:dyDescent="0.25">
      <c r="B16" s="129" t="s">
        <v>91</v>
      </c>
      <c r="C16" s="163">
        <f>'0_ENTREE LOGICIEL'!C16</f>
        <v>0.52500000000000002</v>
      </c>
      <c r="D16" s="133" t="s">
        <v>73</v>
      </c>
      <c r="E16" s="135"/>
    </row>
    <row r="17" spans="1:14" x14ac:dyDescent="0.25">
      <c r="A17" s="13"/>
      <c r="B17" s="16"/>
      <c r="C17" s="13"/>
      <c r="D17" s="22"/>
      <c r="G17" s="9"/>
      <c r="H17" s="9"/>
      <c r="I17" s="9"/>
      <c r="J17" s="9"/>
      <c r="K17" s="9"/>
      <c r="L17" s="9"/>
      <c r="M17" s="10"/>
      <c r="N17" s="8"/>
    </row>
    <row r="18" spans="1:14" x14ac:dyDescent="0.25">
      <c r="A18" s="13"/>
      <c r="B18" s="16"/>
      <c r="C18" s="13"/>
      <c r="D18" s="22"/>
      <c r="G18" s="9"/>
      <c r="H18" s="9"/>
      <c r="I18" s="9"/>
      <c r="J18" s="9"/>
      <c r="K18" s="9"/>
      <c r="L18" s="9"/>
      <c r="M18" s="10"/>
      <c r="N18" s="8"/>
    </row>
    <row r="19" spans="1:14" x14ac:dyDescent="0.25">
      <c r="A19" s="13"/>
      <c r="B19" s="16"/>
      <c r="C19" s="13"/>
      <c r="D19" s="22"/>
      <c r="G19" s="9"/>
      <c r="H19" s="9"/>
      <c r="I19" s="9"/>
      <c r="J19" s="9"/>
      <c r="K19" s="9"/>
      <c r="L19" s="9"/>
      <c r="M19" s="10"/>
      <c r="N19" s="8"/>
    </row>
    <row r="20" spans="1:14" x14ac:dyDescent="0.25">
      <c r="A20" s="13"/>
      <c r="B20" s="321" t="s">
        <v>263</v>
      </c>
      <c r="C20" s="13"/>
      <c r="D20" s="22"/>
      <c r="G20" s="9"/>
      <c r="H20" s="9"/>
      <c r="I20" s="9"/>
      <c r="J20" s="9"/>
      <c r="K20" s="9"/>
      <c r="L20" s="9"/>
      <c r="M20" s="10"/>
      <c r="N20" s="8"/>
    </row>
    <row r="21" spans="1:14" x14ac:dyDescent="0.25">
      <c r="A21" s="13"/>
      <c r="B21" s="16"/>
      <c r="C21" s="211" t="s">
        <v>162</v>
      </c>
      <c r="D21" s="22"/>
      <c r="G21" s="9"/>
      <c r="H21" s="9"/>
      <c r="I21" s="9"/>
      <c r="J21" s="9"/>
      <c r="K21" s="9"/>
      <c r="L21" s="9"/>
      <c r="M21" s="10"/>
      <c r="N21" s="8"/>
    </row>
    <row r="22" spans="1:14" x14ac:dyDescent="0.25">
      <c r="A22" s="13"/>
      <c r="B22" s="16"/>
      <c r="D22" s="210"/>
      <c r="F22" s="9"/>
      <c r="G22" s="9"/>
      <c r="H22" s="9"/>
      <c r="I22" s="9"/>
      <c r="K22" s="9"/>
      <c r="L22" s="9"/>
      <c r="M22" s="10"/>
      <c r="N22" s="8"/>
    </row>
    <row r="23" spans="1:14" s="61" customFormat="1" ht="38.25" x14ac:dyDescent="0.25">
      <c r="A23" s="55"/>
      <c r="B23" s="62" t="s">
        <v>12</v>
      </c>
      <c r="C23" s="56" t="s">
        <v>25</v>
      </c>
      <c r="D23" s="57" t="s">
        <v>268</v>
      </c>
      <c r="E23" s="56" t="s">
        <v>76</v>
      </c>
      <c r="F23" s="57" t="s">
        <v>76</v>
      </c>
      <c r="G23" s="59" t="s">
        <v>77</v>
      </c>
      <c r="H23" s="60" t="s">
        <v>77</v>
      </c>
      <c r="I23" s="55"/>
      <c r="J23" s="58" t="s">
        <v>90</v>
      </c>
    </row>
    <row r="24" spans="1:14" s="2" customFormat="1" ht="38.25" x14ac:dyDescent="0.25">
      <c r="A24" s="366" t="s">
        <v>159</v>
      </c>
      <c r="B24" s="47" t="s">
        <v>78</v>
      </c>
      <c r="C24" s="37" t="str">
        <f>CONCATENATE(C23," - ",B7)</f>
        <v>Ratio CHAUFFAGE corrigé - S20</v>
      </c>
      <c r="D24" s="33" t="str">
        <f>CONCATENATE(D23," - ",$B$6)</f>
        <v>Ratio CHAUFFAGE réf - Mai</v>
      </c>
      <c r="E24" s="103" t="str">
        <f>'0_ENTREE LOGICIEL'!I23</f>
        <v>INDICE GDF [N-1]</v>
      </c>
      <c r="F24" s="104" t="str">
        <f>'0_ENTREE LOGICIEL'!J23</f>
        <v>INDICE GDF [N]</v>
      </c>
      <c r="G24" s="105" t="str">
        <f>'0_ENTREE LOGICIEL'!K23</f>
        <v>INDICE GDF [N-1]</v>
      </c>
      <c r="H24" s="106" t="str">
        <f>'0_ENTREE LOGICIEL'!L23</f>
        <v>INDICE GDF [N]</v>
      </c>
      <c r="I24" s="14"/>
      <c r="J24" s="41" t="str">
        <f>CONCATENATE(J23," - ",$B$6)</f>
        <v>Ratio CHAUFFAGE type - Mai</v>
      </c>
    </row>
    <row r="25" spans="1:14" s="3" customFormat="1" ht="14.25" x14ac:dyDescent="0.25">
      <c r="A25" s="367"/>
      <c r="B25" s="48"/>
      <c r="C25" s="38" t="s">
        <v>17</v>
      </c>
      <c r="D25" s="34" t="s">
        <v>17</v>
      </c>
      <c r="E25" s="107" t="s">
        <v>38</v>
      </c>
      <c r="F25" s="108" t="s">
        <v>38</v>
      </c>
      <c r="G25" s="109" t="s">
        <v>38</v>
      </c>
      <c r="H25" s="110" t="s">
        <v>38</v>
      </c>
      <c r="I25" s="15"/>
      <c r="J25" s="42" t="s">
        <v>17</v>
      </c>
    </row>
    <row r="26" spans="1:14" x14ac:dyDescent="0.25">
      <c r="A26" s="368">
        <v>1</v>
      </c>
      <c r="B26" s="39" t="str">
        <f>CONCATENATE("Ratio Chauffage - ",'0_ENTREE LOGICIEL'!B25)</f>
        <v>Ratio Chauffage - GC - 274 - T4 - 83m²</v>
      </c>
      <c r="C26" s="355">
        <f>(((F26-E26)*$E$5)-$C$12-((H26-G26)*$C$15)*($H$4/$H$5))/'0_ENTREE LOGICIEL'!F25</f>
        <v>-0.5323836896700368</v>
      </c>
      <c r="D26" s="355">
        <f>VLOOKUP(A26,'1_Valeur_Référence'!$A$23:$N$71,$C$6,FALSE)/$E$4</f>
        <v>1.0259118666446607</v>
      </c>
      <c r="E26" s="111">
        <f>'0_ENTREE LOGICIEL'!I25</f>
        <v>515.51</v>
      </c>
      <c r="F26" s="112">
        <f>'0_ENTREE LOGICIEL'!J25</f>
        <v>520.32000000000005</v>
      </c>
      <c r="G26" s="113">
        <f>'0_ENTREE LOGICIEL'!K25</f>
        <v>13.032</v>
      </c>
      <c r="H26" s="114">
        <f>'0_ENTREE LOGICIEL'!L25</f>
        <v>13.776999999999999</v>
      </c>
      <c r="I26" s="13"/>
      <c r="J26" s="92">
        <f t="shared" ref="J26:J38" si="0">$C$11/$E$4</f>
        <v>4.602739726027397</v>
      </c>
    </row>
    <row r="27" spans="1:14" x14ac:dyDescent="0.25">
      <c r="A27" s="368">
        <v>2</v>
      </c>
      <c r="B27" s="40" t="str">
        <f>CONCATENATE("Ratio Chauffage - ",'0_ENTREE LOGICIEL'!B26)</f>
        <v>Ratio Chauffage - GC - 277 - T2 - 53m²</v>
      </c>
      <c r="C27" s="356">
        <f>(((F27-E27)*$E$5)-$C$12-((H27-G27)*$C$15)*($H$4/$H$5))/'0_ENTREE LOGICIEL'!F26</f>
        <v>0.48138416642073761</v>
      </c>
      <c r="D27" s="356">
        <f>VLOOKUP(A27,'1_Valeur_Référence'!$A$23:$N$71,$C$6,FALSE)/$E$4</f>
        <v>1.2071336262600154</v>
      </c>
      <c r="E27" s="115">
        <f>'0_ENTREE LOGICIEL'!I26</f>
        <v>498.48</v>
      </c>
      <c r="F27" s="116">
        <f>'0_ENTREE LOGICIEL'!J26</f>
        <v>502.91</v>
      </c>
      <c r="G27" s="117">
        <f>'0_ENTREE LOGICIEL'!K26</f>
        <v>8.7949999999999999</v>
      </c>
      <c r="H27" s="118">
        <f>'0_ENTREE LOGICIEL'!L26</f>
        <v>8.9469999999999992</v>
      </c>
      <c r="I27" s="13"/>
      <c r="J27" s="93">
        <f t="shared" si="0"/>
        <v>4.602739726027397</v>
      </c>
    </row>
    <row r="28" spans="1:14" x14ac:dyDescent="0.25">
      <c r="A28" s="368">
        <v>3</v>
      </c>
      <c r="B28" s="40" t="str">
        <f>CONCATENATE("Ratio Chauffage - ",'0_ENTREE LOGICIEL'!B27)</f>
        <v>Ratio Chauffage - GC - 281 - T3 - 71m²</v>
      </c>
      <c r="C28" s="356">
        <f>(((F28-E28)*$E$5)-$C$12-((H28-G28)*$C$15)*($H$4/$H$5))/'0_ENTREE LOGICIEL'!F27</f>
        <v>-1.9806773920408023</v>
      </c>
      <c r="D28" s="356">
        <f>VLOOKUP(A28,'1_Valeur_Référence'!$A$23:$N$71,$C$6,FALSE)/$E$4</f>
        <v>1.0177889253328187</v>
      </c>
      <c r="E28" s="115">
        <f>'0_ENTREE LOGICIEL'!I27</f>
        <v>559.91999999999996</v>
      </c>
      <c r="F28" s="116">
        <f>'0_ENTREE LOGICIEL'!J27</f>
        <v>565.53</v>
      </c>
      <c r="G28" s="117">
        <f>'0_ENTREE LOGICIEL'!K27</f>
        <v>23.161000000000001</v>
      </c>
      <c r="H28" s="118">
        <f>'0_ENTREE LOGICIEL'!L27</f>
        <v>24.751999999999999</v>
      </c>
      <c r="I28" s="13"/>
      <c r="J28" s="93">
        <f t="shared" si="0"/>
        <v>4.602739726027397</v>
      </c>
    </row>
    <row r="29" spans="1:14" x14ac:dyDescent="0.25">
      <c r="A29" s="368">
        <v>4</v>
      </c>
      <c r="B29" s="40" t="str">
        <f>CONCATENATE("Ratio Chauffage - ",'0_ENTREE LOGICIEL'!B28)</f>
        <v>Ratio Chauffage - GC - 283 - T3 - 70m²</v>
      </c>
      <c r="C29" s="356">
        <f>(((F29-E29)*$E$5)-$C$12-((H29-G29)*$C$15)*($H$4/$H$5))/'0_ENTREE LOGICIEL'!F28</f>
        <v>-0.34983048890213159</v>
      </c>
      <c r="D29" s="356">
        <f>VLOOKUP(A29,'1_Valeur_Référence'!$A$23:$N$71,$C$6,FALSE)/$E$4</f>
        <v>0.52273972602739716</v>
      </c>
      <c r="E29" s="115">
        <f>'0_ENTREE LOGICIEL'!I28</f>
        <v>642.16</v>
      </c>
      <c r="F29" s="116">
        <f>'0_ENTREE LOGICIEL'!J28</f>
        <v>644.29999999999995</v>
      </c>
      <c r="G29" s="117">
        <f>'0_ENTREE LOGICIEL'!K28</f>
        <v>6.6890000000000001</v>
      </c>
      <c r="H29" s="118">
        <f>'0_ENTREE LOGICIEL'!L28</f>
        <v>7.0279999999999996</v>
      </c>
      <c r="I29" s="13"/>
      <c r="J29" s="93">
        <f t="shared" si="0"/>
        <v>4.602739726027397</v>
      </c>
    </row>
    <row r="30" spans="1:14" x14ac:dyDescent="0.25">
      <c r="A30" s="368">
        <v>5</v>
      </c>
      <c r="B30" s="40" t="str">
        <f>CONCATENATE("Ratio Chauffage - ",'0_ENTREE LOGICIEL'!B29)</f>
        <v>Ratio Chauffage - GC - 285 - T3 - 64m²</v>
      </c>
      <c r="C30" s="356">
        <f>(((F30-E30)*$E$5)-$C$12-((H30-G30)*$C$15)*($H$4/$H$5))/'0_ENTREE LOGICIEL'!F29</f>
        <v>1.4266526123149954</v>
      </c>
      <c r="D30" s="356">
        <f>VLOOKUP(A30,'1_Valeur_Référence'!$A$23:$N$71,$C$6,FALSE)/$E$4</f>
        <v>0.8486301369863013</v>
      </c>
      <c r="E30" s="115">
        <f>'0_ENTREE LOGICIEL'!I29</f>
        <v>229.39</v>
      </c>
      <c r="F30" s="116">
        <f>'0_ENTREE LOGICIEL'!J29</f>
        <v>234.34</v>
      </c>
      <c r="G30" s="117">
        <f>'0_ENTREE LOGICIEL'!K29</f>
        <v>999994.45499999996</v>
      </c>
      <c r="H30" s="118">
        <f>'0_ENTREE LOGICIEL'!L29</f>
        <v>999994.12899999996</v>
      </c>
      <c r="I30" s="13"/>
      <c r="J30" s="93">
        <f t="shared" si="0"/>
        <v>4.602739726027397</v>
      </c>
    </row>
    <row r="31" spans="1:14" x14ac:dyDescent="0.25">
      <c r="A31" s="368">
        <v>6</v>
      </c>
      <c r="B31" s="40" t="str">
        <f>CONCATENATE("Ratio Chauffage - ",'0_ENTREE LOGICIEL'!B30)</f>
        <v>Ratio Chauffage - GC - 286 - T3 - 68m²</v>
      </c>
      <c r="C31" s="356">
        <f>(((F31-E31)*$E$5)-$C$12-((H31-G31)*$C$15)*($H$4/$H$5))/'0_ENTREE LOGICIEL'!F30</f>
        <v>-0.11596055245455386</v>
      </c>
      <c r="D31" s="356">
        <f>VLOOKUP(A31,'1_Valeur_Référence'!$A$23:$N$71,$C$6,FALSE)/$E$4</f>
        <v>0.90362610797743737</v>
      </c>
      <c r="E31" s="115">
        <f>'0_ENTREE LOGICIEL'!I30</f>
        <v>494.84</v>
      </c>
      <c r="F31" s="116">
        <f>'0_ENTREE LOGICIEL'!J30</f>
        <v>505.9</v>
      </c>
      <c r="G31" s="117">
        <f>'0_ENTREE LOGICIEL'!K30</f>
        <v>24.437000000000001</v>
      </c>
      <c r="H31" s="118">
        <f>'0_ENTREE LOGICIEL'!L30</f>
        <v>25.472999999999999</v>
      </c>
      <c r="I31" s="13"/>
      <c r="J31" s="93">
        <f t="shared" si="0"/>
        <v>4.602739726027397</v>
      </c>
    </row>
    <row r="32" spans="1:14" x14ac:dyDescent="0.25">
      <c r="A32" s="368">
        <v>7</v>
      </c>
      <c r="B32" s="40" t="str">
        <f>CONCATENATE("Ratio Chauffage - ",'0_ENTREE LOGICIEL'!B31)</f>
        <v>Ratio Chauffage - GC - 289 - T3 - 76m²</v>
      </c>
      <c r="C32" s="356">
        <f>(((F32-E32)*$E$5)-$C$12-((H32-G32)*$C$15)*($H$4/$H$5))/'0_ENTREE LOGICIEL'!F31</f>
        <v>-0.2373550491191507</v>
      </c>
      <c r="D32" s="356">
        <f>VLOOKUP(A32,'1_Valeur_Référence'!$A$23:$N$71,$C$6,FALSE)/$E$4</f>
        <v>1.0658976207642392</v>
      </c>
      <c r="E32" s="115">
        <f>'0_ENTREE LOGICIEL'!I31</f>
        <v>255.47</v>
      </c>
      <c r="F32" s="116">
        <f>'0_ENTREE LOGICIEL'!J31</f>
        <v>256.52</v>
      </c>
      <c r="G32" s="117">
        <f>'0_ENTREE LOGICIEL'!K31</f>
        <v>4.5259999999999998</v>
      </c>
      <c r="H32" s="118">
        <f>'0_ENTREE LOGICIEL'!L31</f>
        <v>4.7119999999999997</v>
      </c>
      <c r="I32" s="13"/>
      <c r="J32" s="93">
        <f t="shared" si="0"/>
        <v>4.602739726027397</v>
      </c>
    </row>
    <row r="33" spans="1:10" x14ac:dyDescent="0.25">
      <c r="A33" s="368">
        <v>8</v>
      </c>
      <c r="B33" s="40" t="str">
        <f>CONCATENATE("Ratio Chauffage - ",'0_ENTREE LOGICIEL'!B32)</f>
        <v>Ratio Chauffage - GC - 303 - T4 - 81m²</v>
      </c>
      <c r="C33" s="356">
        <f>(((F33-E33)*$E$5)-$C$12-((H33-G33)*$C$15)*($H$4/$H$5))/'0_ENTREE LOGICIEL'!F32</f>
        <v>-0.12735773203397055</v>
      </c>
      <c r="D33" s="356">
        <f>VLOOKUP(A33,'1_Valeur_Référence'!$A$23:$N$71,$C$6,FALSE)/$E$4</f>
        <v>0.86088280060882794</v>
      </c>
      <c r="E33" s="115">
        <f>'0_ENTREE LOGICIEL'!I32</f>
        <v>136.53</v>
      </c>
      <c r="F33" s="116">
        <f>'0_ENTREE LOGICIEL'!J32</f>
        <v>140.47999999999999</v>
      </c>
      <c r="G33" s="117">
        <f>'0_ENTREE LOGICIEL'!K32</f>
        <v>9.798</v>
      </c>
      <c r="H33" s="118">
        <f>'0_ENTREE LOGICIEL'!L32</f>
        <v>10.192</v>
      </c>
      <c r="I33" s="13"/>
      <c r="J33" s="93">
        <f t="shared" si="0"/>
        <v>4.602739726027397</v>
      </c>
    </row>
    <row r="34" spans="1:10" x14ac:dyDescent="0.25">
      <c r="A34" s="368">
        <v>9</v>
      </c>
      <c r="B34" s="40" t="str">
        <f>CONCATENATE("Ratio Chauffage - ",'0_ENTREE LOGICIEL'!B33)</f>
        <v>Ratio Chauffage - GC - 304 - T3 - 66m²</v>
      </c>
      <c r="C34" s="356">
        <f>(((F34-E34)*$E$5)-$C$12-((H34-G34)*$C$15)*($H$4/$H$5))/'0_ENTREE LOGICIEL'!F33</f>
        <v>-1.8870003983526733</v>
      </c>
      <c r="D34" s="356">
        <f>VLOOKUP(A34,'1_Valeur_Référence'!$A$23:$N$71,$C$6,FALSE)/$E$4</f>
        <v>1.1855541718555416</v>
      </c>
      <c r="E34" s="115">
        <f>'0_ENTREE LOGICIEL'!I33</f>
        <v>593.85</v>
      </c>
      <c r="F34" s="116">
        <f>'0_ENTREE LOGICIEL'!J33</f>
        <v>602.66</v>
      </c>
      <c r="G34" s="117">
        <f>'0_ENTREE LOGICIEL'!K33</f>
        <v>30.3</v>
      </c>
      <c r="H34" s="118">
        <f>'0_ENTREE LOGICIEL'!L33</f>
        <v>32.06</v>
      </c>
      <c r="I34" s="13"/>
      <c r="J34" s="93">
        <f t="shared" si="0"/>
        <v>4.602739726027397</v>
      </c>
    </row>
    <row r="35" spans="1:10" x14ac:dyDescent="0.25">
      <c r="A35" s="368">
        <v>10</v>
      </c>
      <c r="B35" s="40" t="str">
        <f>CONCATENATE("Ratio Chauffage - ",'0_ENTREE LOGICIEL'!B34)</f>
        <v>Ratio Chauffage - GC - 306 - T3 - 66m²</v>
      </c>
      <c r="C35" s="356">
        <f>(((F35-E35)*$E$5)-$C$12-((H35-G35)*$C$15)*($H$4/$H$5))/'0_ENTREE LOGICIEL'!F34</f>
        <v>-0.34090348405853094</v>
      </c>
      <c r="D35" s="356">
        <f>VLOOKUP(A35,'1_Valeur_Référence'!$A$23:$N$71,$C$6,FALSE)/$E$4</f>
        <v>-2.4408468244084679E-2</v>
      </c>
      <c r="E35" s="115">
        <f>'0_ENTREE LOGICIEL'!I34</f>
        <v>571.69000000000005</v>
      </c>
      <c r="F35" s="116">
        <f>'0_ENTREE LOGICIEL'!J34</f>
        <v>574.13</v>
      </c>
      <c r="G35" s="117">
        <f>'0_ENTREE LOGICIEL'!K34</f>
        <v>7.9089999999999998</v>
      </c>
      <c r="H35" s="118">
        <f>'0_ENTREE LOGICIEL'!L34</f>
        <v>8.26</v>
      </c>
      <c r="I35" s="13"/>
      <c r="J35" s="93">
        <f t="shared" si="0"/>
        <v>4.602739726027397</v>
      </c>
    </row>
    <row r="36" spans="1:10" x14ac:dyDescent="0.25">
      <c r="A36" s="368">
        <v>11</v>
      </c>
      <c r="B36" s="40" t="str">
        <f>CONCATENATE("Ratio Chauffage - ",'0_ENTREE LOGICIEL'!B35)</f>
        <v>Ratio Chauffage - GC - 307 - T3 - 66m²</v>
      </c>
      <c r="C36" s="356">
        <f>(((F36-E36)*$E$5)-$C$12-((H36-G36)*$C$15)*($H$4/$H$5))/'0_ENTREE LOGICIEL'!F35</f>
        <v>0.87351030303029331</v>
      </c>
      <c r="D36" s="356">
        <f>VLOOKUP(A36,'1_Valeur_Référence'!$A$23:$N$71,$C$6,FALSE)/$E$4</f>
        <v>0.68692403486924025</v>
      </c>
      <c r="E36" s="115">
        <f>'0_ENTREE LOGICIEL'!I35</f>
        <v>548.82000000000005</v>
      </c>
      <c r="F36" s="116">
        <f>'0_ENTREE LOGICIEL'!J35</f>
        <v>554.38</v>
      </c>
      <c r="G36" s="117">
        <f>'0_ENTREE LOGICIEL'!K35</f>
        <v>0</v>
      </c>
      <c r="H36" s="118">
        <f>'0_ENTREE LOGICIEL'!L35</f>
        <v>0</v>
      </c>
      <c r="I36" s="13"/>
      <c r="J36" s="93">
        <f t="shared" si="0"/>
        <v>4.602739726027397</v>
      </c>
    </row>
    <row r="37" spans="1:10" x14ac:dyDescent="0.25">
      <c r="A37" s="368">
        <v>12</v>
      </c>
      <c r="B37" s="40" t="str">
        <f>CONCATENATE("Ratio Chauffage - ",'0_ENTREE LOGICIEL'!B36)</f>
        <v>Ratio Chauffage - GC - 308 - T3 - 66m²</v>
      </c>
      <c r="C37" s="356">
        <f>(((F37-E37)*$E$5)-$C$12-((H37-G37)*$C$15)*($H$4/$H$5))/'0_ENTREE LOGICIEL'!F36</f>
        <v>-0.69336974752740677</v>
      </c>
      <c r="D37" s="356">
        <f>VLOOKUP(A37,'1_Valeur_Référence'!$A$23:$N$71,$C$6,FALSE)/$E$4</f>
        <v>2.1514321295143208</v>
      </c>
      <c r="E37" s="115">
        <f>'0_ENTREE LOGICIEL'!I36</f>
        <v>594.47</v>
      </c>
      <c r="F37" s="116">
        <f>'0_ENTREE LOGICIEL'!J36</f>
        <v>597.07000000000005</v>
      </c>
      <c r="G37" s="117">
        <f>'0_ENTREE LOGICIEL'!K36</f>
        <v>10.228</v>
      </c>
      <c r="H37" s="118">
        <f>'0_ENTREE LOGICIEL'!L36</f>
        <v>10.78</v>
      </c>
      <c r="I37" s="13"/>
      <c r="J37" s="93">
        <f t="shared" si="0"/>
        <v>4.602739726027397</v>
      </c>
    </row>
    <row r="38" spans="1:10" x14ac:dyDescent="0.25">
      <c r="A38" s="368">
        <v>13</v>
      </c>
      <c r="B38" s="40" t="str">
        <f>CONCATENATE("Ratio Chauffage - ",'0_ENTREE LOGICIEL'!B37)</f>
        <v>Ratio Chauffage - GC - 314 - T4 - 75m²</v>
      </c>
      <c r="C38" s="356">
        <f>(((F38-E38)*$E$5)-$C$12-((H38-G38)*$C$15)*($H$4/$H$5))/'0_ENTREE LOGICIEL'!F37</f>
        <v>-2.3300835399837725</v>
      </c>
      <c r="D38" s="356">
        <f>VLOOKUP(A38,'1_Valeur_Référence'!$A$23:$N$71,$C$6,FALSE)/$E$4</f>
        <v>-2.1479452054794519E-2</v>
      </c>
      <c r="E38" s="115">
        <f>'0_ENTREE LOGICIEL'!I37</f>
        <v>680.54</v>
      </c>
      <c r="F38" s="116">
        <f>'0_ENTREE LOGICIEL'!J37</f>
        <v>692.9</v>
      </c>
      <c r="G38" s="117">
        <f>'0_ENTREE LOGICIEL'!K37</f>
        <v>32.527000000000001</v>
      </c>
      <c r="H38" s="118">
        <f>'0_ENTREE LOGICIEL'!L37</f>
        <v>35.018999999999998</v>
      </c>
      <c r="I38" s="13"/>
      <c r="J38" s="93">
        <f t="shared" si="0"/>
        <v>4.602739726027397</v>
      </c>
    </row>
    <row r="39" spans="1:10" s="51" customFormat="1" ht="13.5" thickBot="1" x14ac:dyDescent="0.3">
      <c r="A39" s="368">
        <v>14</v>
      </c>
      <c r="B39" s="87" t="str">
        <f>CONCATENATE("Ratio Chauffage - ",'0_ENTREE LOGICIEL'!B38)</f>
        <v>Ratio Chauffage - MOYENNE GC</v>
      </c>
      <c r="C39" s="357">
        <f>AVERAGE(C26:C38)</f>
        <v>-0.44718269172130792</v>
      </c>
      <c r="D39" s="357">
        <f t="shared" ref="D39" si="1">AVERAGE(D26:D38)</f>
        <v>0.87927947896476333</v>
      </c>
      <c r="E39" s="359"/>
      <c r="F39" s="360"/>
      <c r="G39" s="361"/>
      <c r="H39" s="362"/>
      <c r="I39" s="31"/>
      <c r="J39" s="94">
        <f>AVERAGE(J26:J38)</f>
        <v>4.6027397260273961</v>
      </c>
    </row>
    <row r="40" spans="1:10" x14ac:dyDescent="0.25">
      <c r="A40" s="368">
        <v>15</v>
      </c>
      <c r="B40" s="54" t="str">
        <f>CONCATENATE("Ratio Chauffage - ",'0_ENTREE LOGICIEL'!B39)</f>
        <v>Ratio Chauffage - GE2.1 - 275 - T3 - 74m²</v>
      </c>
      <c r="C40" s="355">
        <f>(((F40-E40)*$E$5)-$C$12-((H40-G40)*$C$15)*($H$4/$H$5))/'0_ENTREE LOGICIEL'!F39</f>
        <v>-1.0075112363667114</v>
      </c>
      <c r="D40" s="358">
        <f>VLOOKUP(A40,'1_Valeur_Référence'!$A$23:$N$71,$C$6,FALSE)/$E$4</f>
        <v>1.0947056645686781</v>
      </c>
      <c r="E40" s="119">
        <f>'0_ENTREE LOGICIEL'!I39</f>
        <v>76.55</v>
      </c>
      <c r="F40" s="120">
        <f>'0_ENTREE LOGICIEL'!J39</f>
        <v>80.349999999999994</v>
      </c>
      <c r="G40" s="121">
        <f>'0_ENTREE LOGICIEL'!K39</f>
        <v>14.762</v>
      </c>
      <c r="H40" s="122">
        <f>'0_ENTREE LOGICIEL'!L39</f>
        <v>15.656000000000001</v>
      </c>
      <c r="I40" s="13"/>
      <c r="J40" s="95">
        <f t="shared" ref="J40:J52" si="2">$C$11/$E$4</f>
        <v>4.602739726027397</v>
      </c>
    </row>
    <row r="41" spans="1:10" x14ac:dyDescent="0.25">
      <c r="A41" s="368">
        <v>16</v>
      </c>
      <c r="B41" s="40" t="str">
        <f>CONCATENATE("Ratio Chauffage - ",'0_ENTREE LOGICIEL'!B40)</f>
        <v>Ratio Chauffage - GE2.1 - 278 - T2 - 57m²</v>
      </c>
      <c r="C41" s="356">
        <f>(((F41-E41)*$E$5)-$C$12-((H41-G41)*$C$15)*($H$4/$H$5))/'0_ENTREE LOGICIEL'!F40</f>
        <v>0.14204771198068594</v>
      </c>
      <c r="D41" s="356">
        <f>VLOOKUP(A41,'1_Valeur_Référence'!$A$23:$N$71,$C$6,FALSE)/$E$4</f>
        <v>-2.8262436914203312E-2</v>
      </c>
      <c r="E41" s="115">
        <f>'0_ENTREE LOGICIEL'!I40</f>
        <v>446.77</v>
      </c>
      <c r="F41" s="116">
        <f>'0_ENTREE LOGICIEL'!J40</f>
        <v>448.81</v>
      </c>
      <c r="G41" s="117">
        <f>'0_ENTREE LOGICIEL'!K40</f>
        <v>2.286</v>
      </c>
      <c r="H41" s="118">
        <f>'0_ENTREE LOGICIEL'!L40</f>
        <v>2.355</v>
      </c>
      <c r="I41" s="13"/>
      <c r="J41" s="93">
        <f t="shared" si="2"/>
        <v>4.602739726027397</v>
      </c>
    </row>
    <row r="42" spans="1:10" x14ac:dyDescent="0.25">
      <c r="A42" s="368">
        <v>17</v>
      </c>
      <c r="B42" s="40" t="str">
        <f>CONCATENATE("Ratio Chauffage - ",'0_ENTREE LOGICIEL'!B41)</f>
        <v>Ratio Chauffage - GE2.1 - 280 - T3 - 66m²</v>
      </c>
      <c r="C42" s="356">
        <f>(((F42-E42)*$E$5)-$C$12-((H42-G42)*$C$15)*($H$4/$H$5))/'0_ENTREE LOGICIEL'!F41</f>
        <v>-0.10606060606060606</v>
      </c>
      <c r="D42" s="356">
        <f>VLOOKUP(A42,'1_Valeur_Référence'!$A$23:$N$71,$C$6,FALSE)/$E$4</f>
        <v>0.8996264009962639</v>
      </c>
      <c r="E42" s="115">
        <f>'0_ENTREE LOGICIEL'!I41</f>
        <v>0.24</v>
      </c>
      <c r="F42" s="116">
        <f>'0_ENTREE LOGICIEL'!J41</f>
        <v>0.24</v>
      </c>
      <c r="G42" s="117">
        <f>'0_ENTREE LOGICIEL'!K41</f>
        <v>0.26100000000000001</v>
      </c>
      <c r="H42" s="118">
        <f>'0_ENTREE LOGICIEL'!L41</f>
        <v>0.26100000000000001</v>
      </c>
      <c r="I42" s="13"/>
      <c r="J42" s="93">
        <f t="shared" si="2"/>
        <v>4.602739726027397</v>
      </c>
    </row>
    <row r="43" spans="1:10" x14ac:dyDescent="0.25">
      <c r="A43" s="368">
        <v>18</v>
      </c>
      <c r="B43" s="40" t="str">
        <f>CONCATENATE("Ratio Chauffage - ",'0_ENTREE LOGICIEL'!B42)</f>
        <v>Ratio Chauffage - GE2.1 - 282 - T4 - 78m²</v>
      </c>
      <c r="C43" s="356">
        <f>(((F43-E43)*$E$5)-$C$12-((H43-G43)*$C$15)*($H$4/$H$5))/'0_ENTREE LOGICIEL'!F42</f>
        <v>-7.6330767626533361E-2</v>
      </c>
      <c r="D43" s="356">
        <f>VLOOKUP(A43,'1_Valeur_Référence'!$A$23:$N$71,$C$6,FALSE)/$E$4</f>
        <v>0.30389884088514219</v>
      </c>
      <c r="E43" s="115">
        <f>'0_ENTREE LOGICIEL'!I42</f>
        <v>169.31</v>
      </c>
      <c r="F43" s="116">
        <f>'0_ENTREE LOGICIEL'!J42</f>
        <v>172.27</v>
      </c>
      <c r="G43" s="117">
        <f>'0_ENTREE LOGICIEL'!K42</f>
        <v>5.5609999999999999</v>
      </c>
      <c r="H43" s="118">
        <f>'0_ENTREE LOGICIEL'!L42</f>
        <v>5.8280000000000003</v>
      </c>
      <c r="I43" s="13"/>
      <c r="J43" s="93">
        <f t="shared" si="2"/>
        <v>4.602739726027397</v>
      </c>
    </row>
    <row r="44" spans="1:10" x14ac:dyDescent="0.25">
      <c r="A44" s="368">
        <v>19</v>
      </c>
      <c r="B44" s="40" t="str">
        <f>CONCATENATE("Ratio Chauffage - ",'0_ENTREE LOGICIEL'!B43)</f>
        <v>Ratio Chauffage - GE2.1 - 292 - T3 - 63m²</v>
      </c>
      <c r="C44" s="356">
        <f>(((F44-E44)*$E$5)-$C$12-((H44-G44)*$C$15)*($H$4/$H$5))/'0_ENTREE LOGICIEL'!F43</f>
        <v>7.8277475324268056E-2</v>
      </c>
      <c r="D44" s="356">
        <f>VLOOKUP(A44,'1_Valeur_Référence'!$A$23:$N$71,$C$6,FALSE)/$E$4</f>
        <v>0.69041095890410953</v>
      </c>
      <c r="E44" s="115">
        <f>'0_ENTREE LOGICIEL'!I43</f>
        <v>374.6</v>
      </c>
      <c r="F44" s="116">
        <f>'0_ENTREE LOGICIEL'!J43</f>
        <v>380.13</v>
      </c>
      <c r="G44" s="117">
        <f>'0_ENTREE LOGICIEL'!K43</f>
        <v>7.8680000000000003</v>
      </c>
      <c r="H44" s="118">
        <f>'0_ENTREE LOGICIEL'!L43</f>
        <v>8.2870000000000008</v>
      </c>
      <c r="I44" s="13"/>
      <c r="J44" s="93">
        <f t="shared" si="2"/>
        <v>4.602739726027397</v>
      </c>
    </row>
    <row r="45" spans="1:10" x14ac:dyDescent="0.25">
      <c r="A45" s="368">
        <v>20</v>
      </c>
      <c r="B45" s="40" t="str">
        <f>CONCATENATE("Ratio Chauffage - ",'0_ENTREE LOGICIEL'!B44)</f>
        <v>Ratio Chauffage - GE2.1 - 293 - T3 - 63m²</v>
      </c>
      <c r="C45" s="356">
        <f>(((F45-E45)*$E$5)-$C$12-((H45-G45)*$C$15)*($H$4/$H$5))/'0_ENTREE LOGICIEL'!F44</f>
        <v>-1.361864018405416</v>
      </c>
      <c r="D45" s="356">
        <f>VLOOKUP(A45,'1_Valeur_Référence'!$A$23:$N$71,$C$6,FALSE)/$E$4</f>
        <v>1.5086757990867579</v>
      </c>
      <c r="E45" s="115">
        <f>'0_ENTREE LOGICIEL'!I44</f>
        <v>125.46</v>
      </c>
      <c r="F45" s="116">
        <f>'0_ENTREE LOGICIEL'!J44</f>
        <v>131.26</v>
      </c>
      <c r="G45" s="117">
        <f>'0_ENTREE LOGICIEL'!K44</f>
        <v>14.159000000000001</v>
      </c>
      <c r="H45" s="118">
        <f>'0_ENTREE LOGICIEL'!L44</f>
        <v>15.329000000000001</v>
      </c>
      <c r="I45" s="13"/>
      <c r="J45" s="93">
        <f t="shared" si="2"/>
        <v>4.602739726027397</v>
      </c>
    </row>
    <row r="46" spans="1:10" x14ac:dyDescent="0.25">
      <c r="A46" s="368">
        <v>21</v>
      </c>
      <c r="B46" s="40" t="str">
        <f>CONCATENATE("Ratio Chauffage - ",'0_ENTREE LOGICIEL'!B45)</f>
        <v>Ratio Chauffage - GE2.1 - 295 - T3 - 63m²</v>
      </c>
      <c r="C46" s="356">
        <f>(((F46-E46)*$E$5)-$C$12-((H46-G46)*$C$15)*($H$4/$H$5))/'0_ENTREE LOGICIEL'!F45</f>
        <v>-1.4388472262222118</v>
      </c>
      <c r="D46" s="356">
        <f>VLOOKUP(A46,'1_Valeur_Référence'!$A$23:$N$71,$C$6,FALSE)/$E$4</f>
        <v>-2.5570776255707757E-2</v>
      </c>
      <c r="E46" s="115">
        <f>'0_ENTREE LOGICIEL'!I45</f>
        <v>647.21</v>
      </c>
      <c r="F46" s="116">
        <f>'0_ENTREE LOGICIEL'!J45</f>
        <v>657.86</v>
      </c>
      <c r="G46" s="117">
        <f>'0_ENTREE LOGICIEL'!K45</f>
        <v>33.098999999999997</v>
      </c>
      <c r="H46" s="118">
        <f>'0_ENTREE LOGICIEL'!L45</f>
        <v>34.759</v>
      </c>
      <c r="I46" s="13"/>
      <c r="J46" s="93">
        <f t="shared" si="2"/>
        <v>4.602739726027397</v>
      </c>
    </row>
    <row r="47" spans="1:10" x14ac:dyDescent="0.25">
      <c r="A47" s="368">
        <v>22</v>
      </c>
      <c r="B47" s="40" t="str">
        <f>CONCATENATE("Ratio Chauffage - ",'0_ENTREE LOGICIEL'!B46)</f>
        <v>Ratio Chauffage - GE2.1 - 296 - T4 - 78m²</v>
      </c>
      <c r="C47" s="356">
        <f>(((F47-E47)*$E$5)-$C$12-((H47-G47)*$C$15)*($H$4/$H$5))/'0_ENTREE LOGICIEL'!F46</f>
        <v>-0.54402855734694355</v>
      </c>
      <c r="D47" s="356">
        <f>VLOOKUP(A47,'1_Valeur_Référence'!$A$23:$N$71,$C$6,FALSE)/$E$4</f>
        <v>0.98545837723919905</v>
      </c>
      <c r="E47" s="115">
        <f>'0_ENTREE LOGICIEL'!I46</f>
        <v>331.03</v>
      </c>
      <c r="F47" s="116">
        <f>'0_ENTREE LOGICIEL'!J46</f>
        <v>333.54</v>
      </c>
      <c r="G47" s="117">
        <f>'0_ENTREE LOGICIEL'!K46</f>
        <v>9.0549999999999997</v>
      </c>
      <c r="H47" s="118">
        <f>'0_ENTREE LOGICIEL'!L46</f>
        <v>9.5719999999999992</v>
      </c>
      <c r="I47" s="13"/>
      <c r="J47" s="93">
        <f t="shared" si="2"/>
        <v>4.602739726027397</v>
      </c>
    </row>
    <row r="48" spans="1:10" x14ac:dyDescent="0.25">
      <c r="A48" s="368">
        <v>23</v>
      </c>
      <c r="B48" s="40" t="str">
        <f>CONCATENATE("Ratio Chauffage - ",'0_ENTREE LOGICIEL'!B47)</f>
        <v>Ratio Chauffage - GE2.1 - 297 - T4 - 79m²</v>
      </c>
      <c r="C48" s="356">
        <f>(((F48-E48)*$E$5)-$C$12-((H48-G48)*$C$15)*($H$4/$H$5))/'0_ENTREE LOGICIEL'!F47</f>
        <v>1.722049481043465</v>
      </c>
      <c r="D48" s="356">
        <f>VLOOKUP(A48,'1_Valeur_Référence'!$A$23:$N$71,$C$6,FALSE)/$E$4</f>
        <v>0.54184151205132647</v>
      </c>
      <c r="E48" s="115">
        <f>'0_ENTREE LOGICIEL'!I47</f>
        <v>1004.29</v>
      </c>
      <c r="F48" s="116">
        <f>'0_ENTREE LOGICIEL'!J47</f>
        <v>1039.24</v>
      </c>
      <c r="G48" s="117">
        <f>'0_ENTREE LOGICIEL'!K47</f>
        <v>46.472000000000001</v>
      </c>
      <c r="H48" s="118">
        <f>'0_ENTREE LOGICIEL'!L47</f>
        <v>48.579000000000001</v>
      </c>
      <c r="I48" s="13"/>
      <c r="J48" s="93">
        <f t="shared" si="2"/>
        <v>4.602739726027397</v>
      </c>
    </row>
    <row r="49" spans="1:10" x14ac:dyDescent="0.25">
      <c r="A49" s="368">
        <v>24</v>
      </c>
      <c r="B49" s="40" t="str">
        <f>CONCATENATE("Ratio Chauffage - ",'0_ENTREE LOGICIEL'!B48)</f>
        <v>Ratio Chauffage - GE2.1 - 299 - T4 - 79m²</v>
      </c>
      <c r="C49" s="356">
        <f>(((F49-E49)*$E$5)-$C$12-((H49-G49)*$C$15)*($H$4/$H$5))/'0_ENTREE LOGICIEL'!F48</f>
        <v>-0.46416550362323694</v>
      </c>
      <c r="D49" s="356">
        <f>VLOOKUP(A49,'1_Valeur_Référence'!$A$23:$N$71,$C$6,FALSE)/$E$4</f>
        <v>0.58553840818449787</v>
      </c>
      <c r="E49" s="115">
        <f>'0_ENTREE LOGICIEL'!I48</f>
        <v>104.83</v>
      </c>
      <c r="F49" s="116">
        <f>'0_ENTREE LOGICIEL'!J48</f>
        <v>108.47</v>
      </c>
      <c r="G49" s="117">
        <f>'0_ENTREE LOGICIEL'!K48</f>
        <v>13.24</v>
      </c>
      <c r="H49" s="118">
        <f>'0_ENTREE LOGICIEL'!L48</f>
        <v>13.816000000000001</v>
      </c>
      <c r="I49" s="13"/>
      <c r="J49" s="93">
        <f t="shared" si="2"/>
        <v>4.602739726027397</v>
      </c>
    </row>
    <row r="50" spans="1:10" x14ac:dyDescent="0.25">
      <c r="A50" s="368">
        <v>25</v>
      </c>
      <c r="B50" s="40" t="str">
        <f>CONCATENATE("Ratio Chauffage - ",'0_ENTREE LOGICIEL'!B49)</f>
        <v>Ratio Chauffage - GE2.1 - 300 - T5 - 93m²</v>
      </c>
      <c r="C50" s="356">
        <f>(((F50-E50)*$E$5)-$C$12-((H50-G50)*$C$15)*($H$4/$H$5))/'0_ENTREE LOGICIEL'!F49</f>
        <v>-0.96909599022278325</v>
      </c>
      <c r="D50" s="356">
        <f>VLOOKUP(A50,'1_Valeur_Référence'!$A$23:$N$71,$C$6,FALSE)/$E$4</f>
        <v>0.70525850640742371</v>
      </c>
      <c r="E50" s="115">
        <f>'0_ENTREE LOGICIEL'!I49</f>
        <v>338.65</v>
      </c>
      <c r="F50" s="116">
        <f>'0_ENTREE LOGICIEL'!J49</f>
        <v>344.11</v>
      </c>
      <c r="G50" s="117">
        <f>'0_ENTREE LOGICIEL'!K49</f>
        <v>22.67</v>
      </c>
      <c r="H50" s="118">
        <f>'0_ENTREE LOGICIEL'!L49</f>
        <v>23.843</v>
      </c>
      <c r="I50" s="13"/>
      <c r="J50" s="93">
        <f t="shared" si="2"/>
        <v>4.602739726027397</v>
      </c>
    </row>
    <row r="51" spans="1:10" x14ac:dyDescent="0.25">
      <c r="A51" s="368">
        <v>26</v>
      </c>
      <c r="B51" s="40" t="str">
        <f>CONCATENATE("Ratio Chauffage - ",'0_ENTREE LOGICIEL'!B50)</f>
        <v>Ratio Chauffage - GE2.1 - 302 - T5 - 93m²</v>
      </c>
      <c r="C51" s="356">
        <f>(((F51-E51)*$E$5)-$C$12-((H51-G51)*$C$15)*($H$4/$H$5))/'0_ENTREE LOGICIEL'!F50</f>
        <v>-0.49142493771512957</v>
      </c>
      <c r="D51" s="356">
        <f>VLOOKUP(A51,'1_Valeur_Référence'!$A$23:$N$71,$C$6,FALSE)/$E$4</f>
        <v>0.35139195757843567</v>
      </c>
      <c r="E51" s="115">
        <f>'0_ENTREE LOGICIEL'!I50</f>
        <v>777.06</v>
      </c>
      <c r="F51" s="116">
        <f>'0_ENTREE LOGICIEL'!J50</f>
        <v>781.6</v>
      </c>
      <c r="G51" s="117">
        <f>'0_ENTREE LOGICIEL'!K50</f>
        <v>14.68</v>
      </c>
      <c r="H51" s="118">
        <f>'0_ENTREE LOGICIEL'!L50</f>
        <v>15.412000000000001</v>
      </c>
      <c r="I51" s="13"/>
      <c r="J51" s="93">
        <f t="shared" si="2"/>
        <v>4.602739726027397</v>
      </c>
    </row>
    <row r="52" spans="1:10" x14ac:dyDescent="0.25">
      <c r="A52" s="368">
        <v>27</v>
      </c>
      <c r="B52" s="40" t="str">
        <f>CONCATENATE("Ratio Chauffage - ",'0_ENTREE LOGICIEL'!B51)</f>
        <v>Ratio Chauffage - GE2.1 - 312 - T4 - 75m²</v>
      </c>
      <c r="C52" s="356">
        <f>(((F52-E52)*$E$5)-$C$12-((H52-G52)*$C$15)*($H$4/$H$5))/'0_ENTREE LOGICIEL'!F51</f>
        <v>-1.2659070609662868</v>
      </c>
      <c r="D52" s="356">
        <f>VLOOKUP(A52,'1_Valeur_Référence'!$A$23:$N$71,$C$6,FALSE)/$E$4</f>
        <v>-2.1479452054794519E-2</v>
      </c>
      <c r="E52" s="115">
        <f>'0_ENTREE LOGICIEL'!I51</f>
        <v>119.64</v>
      </c>
      <c r="F52" s="116">
        <f>'0_ENTREE LOGICIEL'!J51</f>
        <v>124.46</v>
      </c>
      <c r="G52" s="117">
        <f>'0_ENTREE LOGICIEL'!K51</f>
        <v>22.975999999999999</v>
      </c>
      <c r="H52" s="118">
        <f>'0_ENTREE LOGICIEL'!L51</f>
        <v>24.128</v>
      </c>
      <c r="I52" s="13"/>
      <c r="J52" s="93">
        <f t="shared" si="2"/>
        <v>4.602739726027397</v>
      </c>
    </row>
    <row r="53" spans="1:10" s="51" customFormat="1" ht="13.5" thickBot="1" x14ac:dyDescent="0.3">
      <c r="A53" s="368">
        <v>28</v>
      </c>
      <c r="B53" s="87" t="str">
        <f>CONCATENATE("Ratio Chauffage - ",'0_ENTREE LOGICIEL'!B52)</f>
        <v>Ratio Chauffage - MOYENNE GE2.1</v>
      </c>
      <c r="C53" s="357">
        <f>AVERAGE(C40:C52)</f>
        <v>-0.44483547970826459</v>
      </c>
      <c r="D53" s="357">
        <f t="shared" ref="D53" si="3">AVERAGE(D40:D52)</f>
        <v>0.58396105851362523</v>
      </c>
      <c r="E53" s="359"/>
      <c r="F53" s="360"/>
      <c r="G53" s="361"/>
      <c r="H53" s="362"/>
      <c r="I53" s="31"/>
      <c r="J53" s="94">
        <f t="shared" ref="J53" si="4">AVERAGE(J40:J52)</f>
        <v>4.6027397260273961</v>
      </c>
    </row>
    <row r="54" spans="1:10" x14ac:dyDescent="0.25">
      <c r="A54" s="368">
        <v>29</v>
      </c>
      <c r="B54" s="54" t="str">
        <f>CONCATENATE("Ratio Chauffage - ",'0_ENTREE LOGICIEL'!B53)</f>
        <v>Ratio Chauffage - GE2.2 - 271 - T3 - 74m²</v>
      </c>
      <c r="C54" s="355">
        <f>(((F54-E54)*$E$5)-$C$12-((H54-G54)*$C$15)*($H$4/$H$5))/'0_ENTREE LOGICIEL'!F53</f>
        <v>-1.2588498031921374</v>
      </c>
      <c r="D54" s="358">
        <f>VLOOKUP(A54,'1_Valeur_Référence'!$A$23:$N$71,$C$6,FALSE)/$E$4</f>
        <v>0.57223250647908175</v>
      </c>
      <c r="E54" s="119">
        <f>'0_ENTREE LOGICIEL'!I53</f>
        <v>264.77999999999997</v>
      </c>
      <c r="F54" s="120">
        <f>'0_ENTREE LOGICIEL'!J53</f>
        <v>270.13</v>
      </c>
      <c r="G54" s="121">
        <f>'0_ENTREE LOGICIEL'!K53</f>
        <v>23.119</v>
      </c>
      <c r="H54" s="122">
        <f>'0_ENTREE LOGICIEL'!L53</f>
        <v>24.306000000000001</v>
      </c>
      <c r="I54" s="13"/>
      <c r="J54" s="95">
        <f>$C$11/$E$4</f>
        <v>4.602739726027397</v>
      </c>
    </row>
    <row r="55" spans="1:10" x14ac:dyDescent="0.25">
      <c r="A55" s="368">
        <v>30</v>
      </c>
      <c r="B55" s="40" t="str">
        <f>CONCATENATE("Ratio Chauffage - ",'0_ENTREE LOGICIEL'!B54)</f>
        <v>Ratio Chauffage - GE2.2 - 272 - T3 - 74m²</v>
      </c>
      <c r="C55" s="356">
        <f>(((F55-E55)*$E$5)-$C$12-((H55-G55)*$C$15)*($H$4/$H$5))/'0_ENTREE LOGICIEL'!F54</f>
        <v>-0.21973413615909662</v>
      </c>
      <c r="D55" s="356">
        <f>VLOOKUP(A55,'1_Valeur_Référence'!$A$23:$N$71,$C$6,FALSE)/$E$4</f>
        <v>0.89255831173639388</v>
      </c>
      <c r="E55" s="115">
        <f>'0_ENTREE LOGICIEL'!I54</f>
        <v>302.32</v>
      </c>
      <c r="F55" s="116">
        <f>'0_ENTREE LOGICIEL'!J54</f>
        <v>303.05</v>
      </c>
      <c r="G55" s="117">
        <f>'0_ENTREE LOGICIEL'!K54</f>
        <v>3.4510000000000001</v>
      </c>
      <c r="H55" s="118">
        <f>'0_ENTREE LOGICIEL'!L54</f>
        <v>3.593</v>
      </c>
      <c r="I55" s="13"/>
      <c r="J55" s="93">
        <f t="shared" ref="J55:J66" si="5">$C$11/$E$4</f>
        <v>4.602739726027397</v>
      </c>
    </row>
    <row r="56" spans="1:10" x14ac:dyDescent="0.25">
      <c r="A56" s="368">
        <v>31</v>
      </c>
      <c r="B56" s="40" t="str">
        <f>CONCATENATE("Ratio Chauffage - ",'0_ENTREE LOGICIEL'!B55)</f>
        <v>Ratio Chauffage - GE2.2 - 273 - T3 - 74m²</v>
      </c>
      <c r="C56" s="356">
        <f>(((F56-E56)*$E$5)-$C$12-((H56-G56)*$C$15)*($H$4/$H$5))/'0_ENTREE LOGICIEL'!F55</f>
        <v>-0.9111826846659028</v>
      </c>
      <c r="D56" s="356">
        <f>VLOOKUP(A56,'1_Valeur_Référence'!$A$23:$N$71,$C$6,FALSE)/$E$4</f>
        <v>0.5318030359126249</v>
      </c>
      <c r="E56" s="115">
        <f>'0_ENTREE LOGICIEL'!I55</f>
        <v>679.33</v>
      </c>
      <c r="F56" s="116">
        <f>'0_ENTREE LOGICIEL'!J55</f>
        <v>684.13</v>
      </c>
      <c r="G56" s="117">
        <f>'0_ENTREE LOGICIEL'!K55</f>
        <v>15.936</v>
      </c>
      <c r="H56" s="118">
        <f>'0_ENTREE LOGICIEL'!L55</f>
        <v>16.866</v>
      </c>
      <c r="I56" s="13"/>
      <c r="J56" s="93">
        <f t="shared" si="5"/>
        <v>4.602739726027397</v>
      </c>
    </row>
    <row r="57" spans="1:10" x14ac:dyDescent="0.25">
      <c r="A57" s="368">
        <v>32</v>
      </c>
      <c r="B57" s="40" t="str">
        <f>CONCATENATE("Ratio Chauffage - ",'0_ENTREE LOGICIEL'!B56)</f>
        <v>Ratio Chauffage - GE2.2 - 276 - T4 - 83m²</v>
      </c>
      <c r="C57" s="356">
        <f>(((F57-E57)*$E$5)-$C$12-((H57-G57)*$C$15)*($H$4/$H$5))/'0_ENTREE LOGICIEL'!F56</f>
        <v>-0.77747461118719119</v>
      </c>
      <c r="D57" s="356">
        <f>VLOOKUP(A57,'1_Valeur_Référence'!$A$23:$N$71,$C$6,FALSE)/$E$4</f>
        <v>1.4251856742036637</v>
      </c>
      <c r="E57" s="115">
        <f>'0_ENTREE LOGICIEL'!I56</f>
        <v>267.72000000000003</v>
      </c>
      <c r="F57" s="116">
        <f>'0_ENTREE LOGICIEL'!J56</f>
        <v>271.49</v>
      </c>
      <c r="G57" s="117">
        <f>'0_ENTREE LOGICIEL'!K56</f>
        <v>16.216999999999999</v>
      </c>
      <c r="H57" s="118">
        <f>'0_ENTREE LOGICIEL'!L56</f>
        <v>17.027999999999999</v>
      </c>
      <c r="I57" s="13"/>
      <c r="J57" s="93">
        <f t="shared" si="5"/>
        <v>4.602739726027397</v>
      </c>
    </row>
    <row r="58" spans="1:10" x14ac:dyDescent="0.25">
      <c r="A58" s="368">
        <v>33</v>
      </c>
      <c r="B58" s="40" t="str">
        <f>CONCATENATE("Ratio Chauffage - ",'0_ENTREE LOGICIEL'!B57)</f>
        <v>Ratio Chauffage - GE2.2 - 279 - T3 - 70m²</v>
      </c>
      <c r="C58" s="356">
        <f>(((F58-E58)*$E$5)-$C$12-((H58-G58)*$C$15)*($H$4/$H$5))/'0_ENTREE LOGICIEL'!F57</f>
        <v>1.7591996704900938</v>
      </c>
      <c r="D58" s="356">
        <f>VLOOKUP(A58,'1_Valeur_Référence'!$A$23:$N$71,$C$6,FALSE)/$E$4</f>
        <v>0.69041095890410953</v>
      </c>
      <c r="E58" s="115">
        <f>'0_ENTREE LOGICIEL'!I57</f>
        <v>447.88</v>
      </c>
      <c r="F58" s="116">
        <f>'0_ENTREE LOGICIEL'!J57</f>
        <v>466.07</v>
      </c>
      <c r="G58" s="117">
        <f>'0_ENTREE LOGICIEL'!K57</f>
        <v>12.909000000000001</v>
      </c>
      <c r="H58" s="118">
        <f>'0_ENTREE LOGICIEL'!L57</f>
        <v>13.56</v>
      </c>
      <c r="I58" s="13"/>
      <c r="J58" s="93">
        <f t="shared" si="5"/>
        <v>4.602739726027397</v>
      </c>
    </row>
    <row r="59" spans="1:10" x14ac:dyDescent="0.25">
      <c r="A59" s="368">
        <v>34</v>
      </c>
      <c r="B59" s="40" t="str">
        <f>CONCATENATE("Ratio Chauffage - ",'0_ENTREE LOGICIEL'!B58)</f>
        <v>Ratio Chauffage - GE2.2 - 288 - T3 - 68m²</v>
      </c>
      <c r="C59" s="356">
        <f>(((F59-E59)*$E$5)-$C$12-((H59-G59)*$C$15)*($H$4/$H$5))/'0_ENTREE LOGICIEL'!F58</f>
        <v>0.13724456787094344</v>
      </c>
      <c r="D59" s="356">
        <f>VLOOKUP(A59,'1_Valeur_Référence'!$A$23:$N$71,$C$6,FALSE)/$E$4</f>
        <v>0.47381144238517314</v>
      </c>
      <c r="E59" s="115">
        <f>'0_ENTREE LOGICIEL'!I58</f>
        <v>70.14</v>
      </c>
      <c r="F59" s="116">
        <f>'0_ENTREE LOGICIEL'!J58</f>
        <v>72.77</v>
      </c>
      <c r="G59" s="117">
        <f>'0_ENTREE LOGICIEL'!K58</f>
        <v>3.2930000000000001</v>
      </c>
      <c r="H59" s="118">
        <f>'0_ENTREE LOGICIEL'!L58</f>
        <v>3.407</v>
      </c>
      <c r="I59" s="13"/>
      <c r="J59" s="93">
        <f t="shared" si="5"/>
        <v>4.602739726027397</v>
      </c>
    </row>
    <row r="60" spans="1:10" x14ac:dyDescent="0.25">
      <c r="A60" s="368">
        <v>35</v>
      </c>
      <c r="B60" s="40" t="str">
        <f>CONCATENATE("Ratio Chauffage - ",'0_ENTREE LOGICIEL'!B59)</f>
        <v>Ratio Chauffage - GE2.2 - 291 - T3 - 62m²</v>
      </c>
      <c r="C60" s="356">
        <f>(((F60-E60)*$E$5)-$C$12-((H60-G60)*$C$15)*($H$4/$H$5))/'0_ENTREE LOGICIEL'!F59</f>
        <v>-0.11290322580645161</v>
      </c>
      <c r="D60" s="356">
        <f>VLOOKUP(A60,'1_Valeur_Référence'!$A$23:$N$71,$C$6,FALSE)/$E$4</f>
        <v>2.074944763588157</v>
      </c>
      <c r="E60" s="115">
        <f>'0_ENTREE LOGICIEL'!I59</f>
        <v>303.52</v>
      </c>
      <c r="F60" s="116">
        <f>'0_ENTREE LOGICIEL'!J59</f>
        <v>303.52</v>
      </c>
      <c r="G60" s="117">
        <f>'0_ENTREE LOGICIEL'!K59</f>
        <v>0</v>
      </c>
      <c r="H60" s="118">
        <f>'0_ENTREE LOGICIEL'!L59</f>
        <v>0</v>
      </c>
      <c r="I60" s="13"/>
      <c r="J60" s="93">
        <f t="shared" si="5"/>
        <v>4.602739726027397</v>
      </c>
    </row>
    <row r="61" spans="1:10" x14ac:dyDescent="0.25">
      <c r="A61" s="368">
        <v>36</v>
      </c>
      <c r="B61" s="40" t="str">
        <f>CONCATENATE("Ratio Chauffage - ",'0_ENTREE LOGICIEL'!B60)</f>
        <v>Ratio Chauffage - GE2.2 - 294 - T3 - 63m²</v>
      </c>
      <c r="C61" s="356">
        <f>(((F61-E61)*$E$5)-$C$12-((H61-G61)*$C$15)*($H$4/$H$5))/'0_ENTREE LOGICIEL'!F60</f>
        <v>-0.18451870610369028</v>
      </c>
      <c r="D61" s="356">
        <f>VLOOKUP(A61,'1_Valeur_Référence'!$A$23:$N$71,$C$6,FALSE)/$E$4</f>
        <v>0.74520547945205473</v>
      </c>
      <c r="E61" s="115">
        <f>'0_ENTREE LOGICIEL'!I60</f>
        <v>699.64</v>
      </c>
      <c r="F61" s="116">
        <f>'0_ENTREE LOGICIEL'!J60</f>
        <v>699.64</v>
      </c>
      <c r="G61" s="117">
        <f>'0_ENTREE LOGICIEL'!K60</f>
        <v>7.88</v>
      </c>
      <c r="H61" s="118">
        <f>'0_ENTREE LOGICIEL'!L60</f>
        <v>7.9169999999999998</v>
      </c>
      <c r="I61" s="13"/>
      <c r="J61" s="93">
        <f t="shared" si="5"/>
        <v>4.602739726027397</v>
      </c>
    </row>
    <row r="62" spans="1:10" x14ac:dyDescent="0.25">
      <c r="A62" s="368">
        <v>37</v>
      </c>
      <c r="B62" s="40" t="str">
        <f>CONCATENATE("Ratio Chauffage - ",'0_ENTREE LOGICIEL'!B61)</f>
        <v>Ratio Chauffage - GE2.2 - 298 - T5 - 93m²</v>
      </c>
      <c r="C62" s="356">
        <f>(((F62-E62)*$E$5)-$C$12-((H62-G62)*$C$15)*($H$4/$H$5))/'0_ENTREE LOGICIEL'!F61</f>
        <v>-0.4432096902014882</v>
      </c>
      <c r="D62" s="356">
        <f>VLOOKUP(A62,'1_Valeur_Référence'!$A$23:$N$71,$C$6,FALSE)/$E$4</f>
        <v>0.92054794520547933</v>
      </c>
      <c r="E62" s="115">
        <f>'0_ENTREE LOGICIEL'!I61</f>
        <v>540.95000000000005</v>
      </c>
      <c r="F62" s="116">
        <f>'0_ENTREE LOGICIEL'!J61</f>
        <v>557.13</v>
      </c>
      <c r="G62" s="117">
        <f>'0_ENTREE LOGICIEL'!K61</f>
        <v>32.628</v>
      </c>
      <c r="H62" s="118">
        <f>'0_ENTREE LOGICIEL'!L61</f>
        <v>34.406999999999996</v>
      </c>
      <c r="I62" s="13"/>
      <c r="J62" s="93">
        <f t="shared" si="5"/>
        <v>4.602739726027397</v>
      </c>
    </row>
    <row r="63" spans="1:10" x14ac:dyDescent="0.25">
      <c r="A63" s="368">
        <v>38</v>
      </c>
      <c r="B63" s="40" t="str">
        <f>CONCATENATE("Ratio Chauffage - ",'0_ENTREE LOGICIEL'!B62)</f>
        <v>Ratio Chauffage - GE2.2 - 301 - T4 - 79m²</v>
      </c>
      <c r="C63" s="356">
        <f>(((F63-E63)*$E$5)-$C$12-((H63-G63)*$C$15)*($H$4/$H$5))/'0_ENTREE LOGICIEL'!F62</f>
        <v>-0.74510620204765798</v>
      </c>
      <c r="D63" s="356">
        <f>VLOOKUP(A63,'1_Valeur_Référence'!$A$23:$N$71,$C$6,FALSE)/$E$4</f>
        <v>0.66419282122420653</v>
      </c>
      <c r="E63" s="115">
        <f>'0_ENTREE LOGICIEL'!I62</f>
        <v>596.53</v>
      </c>
      <c r="F63" s="116">
        <f>'0_ENTREE LOGICIEL'!J62</f>
        <v>598.96</v>
      </c>
      <c r="G63" s="117">
        <f>'0_ENTREE LOGICIEL'!K62</f>
        <v>14.103</v>
      </c>
      <c r="H63" s="118">
        <f>'0_ENTREE LOGICIEL'!L62</f>
        <v>14.744</v>
      </c>
      <c r="I63" s="13"/>
      <c r="J63" s="93">
        <f t="shared" si="5"/>
        <v>4.602739726027397</v>
      </c>
    </row>
    <row r="64" spans="1:10" x14ac:dyDescent="0.25">
      <c r="A64" s="368">
        <v>39</v>
      </c>
      <c r="B64" s="40" t="str">
        <f>CONCATENATE("Ratio Chauffage - ",'0_ENTREE LOGICIEL'!B63)</f>
        <v>Ratio Chauffage - GE2.2 - 311 - T4 - 74m²</v>
      </c>
      <c r="C64" s="356">
        <f>(((F64-E64)*$E$5)-$C$12-((H64-G64)*$C$15)*($H$4/$H$5))/'0_ENTREE LOGICIEL'!F63</f>
        <v>-0.46986839575759703</v>
      </c>
      <c r="D64" s="356">
        <f>VLOOKUP(A64,'1_Valeur_Référence'!$A$23:$N$71,$C$6,FALSE)/$E$4</f>
        <v>-2.1769714920399849E-2</v>
      </c>
      <c r="E64" s="115">
        <f>'0_ENTREE LOGICIEL'!I63</f>
        <v>383.11</v>
      </c>
      <c r="F64" s="116">
        <f>'0_ENTREE LOGICIEL'!J63</f>
        <v>390.74</v>
      </c>
      <c r="G64" s="117">
        <f>'0_ENTREE LOGICIEL'!K63</f>
        <v>17.95</v>
      </c>
      <c r="H64" s="118">
        <f>'0_ENTREE LOGICIEL'!L63</f>
        <v>18.882000000000001</v>
      </c>
      <c r="I64" s="13"/>
      <c r="J64" s="93">
        <f t="shared" si="5"/>
        <v>4.602739726027397</v>
      </c>
    </row>
    <row r="65" spans="1:20" x14ac:dyDescent="0.25">
      <c r="A65" s="368">
        <v>40</v>
      </c>
      <c r="B65" s="40" t="str">
        <f>CONCATENATE("Ratio Chauffage - ",'0_ENTREE LOGICIEL'!B64)</f>
        <v>Ratio Chauffage - GE2.2 - 313 - T4 - 75m²</v>
      </c>
      <c r="C65" s="356">
        <f>(((F65-E65)*$E$5)-$C$12-((H65-G65)*$C$15)*($H$4/$H$5))/'0_ENTREE LOGICIEL'!F64</f>
        <v>-0.72965199304831752</v>
      </c>
      <c r="D65" s="356">
        <f>VLOOKUP(A65,'1_Valeur_Référence'!$A$23:$N$71,$C$6,FALSE)/$E$4</f>
        <v>-2.1479452054794519E-2</v>
      </c>
      <c r="E65" s="115">
        <f>'0_ENTREE LOGICIEL'!I64</f>
        <v>288.39</v>
      </c>
      <c r="F65" s="116">
        <f>'0_ENTREE LOGICIEL'!J64</f>
        <v>291.08999999999997</v>
      </c>
      <c r="G65" s="117">
        <f>'0_ENTREE LOGICIEL'!K64</f>
        <v>8.5269999999999992</v>
      </c>
      <c r="H65" s="118">
        <f>'0_ENTREE LOGICIEL'!L64</f>
        <v>9.16</v>
      </c>
      <c r="I65" s="13"/>
      <c r="J65" s="93">
        <f t="shared" si="5"/>
        <v>4.602739726027397</v>
      </c>
    </row>
    <row r="66" spans="1:20" x14ac:dyDescent="0.25">
      <c r="A66" s="368">
        <v>41</v>
      </c>
      <c r="B66" s="40" t="str">
        <f>CONCATENATE("Ratio Chauffage - ",'0_ENTREE LOGICIEL'!B65)</f>
        <v>Ratio Chauffage - GE2.2 - 315 - T4 - 75m²</v>
      </c>
      <c r="C66" s="356">
        <f>(((F66-E66)*$E$5)-$C$12-((H66-G66)*$C$15)*($H$4/$H$5))/'0_ENTREE LOGICIEL'!F65</f>
        <v>-0.59112517576178281</v>
      </c>
      <c r="D66" s="356">
        <f>VLOOKUP(A66,'1_Valeur_Référence'!$A$23:$N$71,$C$6,FALSE)/$E$4</f>
        <v>-2.1479452054794519E-2</v>
      </c>
      <c r="E66" s="115">
        <f>'0_ENTREE LOGICIEL'!I65</f>
        <v>443.84</v>
      </c>
      <c r="F66" s="116">
        <f>'0_ENTREE LOGICIEL'!J65</f>
        <v>450.54</v>
      </c>
      <c r="G66" s="117">
        <f>'0_ENTREE LOGICIEL'!K65</f>
        <v>18.253</v>
      </c>
      <c r="H66" s="118">
        <f>'0_ENTREE LOGICIEL'!L65</f>
        <v>19.175000000000001</v>
      </c>
      <c r="I66" s="13"/>
      <c r="J66" s="93">
        <f t="shared" si="5"/>
        <v>4.602739726027397</v>
      </c>
    </row>
    <row r="67" spans="1:20" s="51" customFormat="1" ht="13.5" thickBot="1" x14ac:dyDescent="0.3">
      <c r="A67" s="368">
        <v>42</v>
      </c>
      <c r="B67" s="87" t="str">
        <f>CONCATENATE("Ratio Chauffage - ",'0_ENTREE LOGICIEL'!B66)</f>
        <v>Ratio Chauffage - MOYENNE GE2.2</v>
      </c>
      <c r="C67" s="357">
        <f>AVERAGE(C54:C66)</f>
        <v>-0.34978310658232886</v>
      </c>
      <c r="D67" s="357">
        <f t="shared" ref="D67" si="6">AVERAGE(D54:D66)</f>
        <v>0.68662802462007366</v>
      </c>
      <c r="E67" s="359"/>
      <c r="F67" s="360"/>
      <c r="G67" s="361"/>
      <c r="H67" s="362"/>
      <c r="I67" s="31"/>
      <c r="J67" s="94">
        <f t="shared" ref="J67" si="7">AVERAGE(J54:J66)</f>
        <v>4.6027397260273961</v>
      </c>
    </row>
    <row r="68" spans="1:20" x14ac:dyDescent="0.25">
      <c r="A68" s="368">
        <v>43</v>
      </c>
      <c r="B68" s="54" t="str">
        <f>CONCATENATE("Ratio Chauffage - ",'0_ENTREE LOGICIEL'!B67)</f>
        <v>Ratio Chauffage - SO - 284 - T - 64m²</v>
      </c>
      <c r="C68" s="355">
        <f>(((F68-E68)*$E$5)-$C$12-((H68-G68)*$C$15)*($H$4/$H$5))/'0_ENTREE LOGICIEL'!F67</f>
        <v>0.21770989007646899</v>
      </c>
      <c r="D68" s="358">
        <f>VLOOKUP(A68,'1_Valeur_Référence'!$A$23:$N$71,$C$6,FALSE)/$E$4</f>
        <v>0.39554794520547942</v>
      </c>
      <c r="E68" s="119">
        <f>'0_ENTREE LOGICIEL'!I67</f>
        <v>24.61</v>
      </c>
      <c r="F68" s="120">
        <f>'0_ENTREE LOGICIEL'!J67</f>
        <v>26.55</v>
      </c>
      <c r="G68" s="121">
        <f>'0_ENTREE LOGICIEL'!K67</f>
        <v>1.032</v>
      </c>
      <c r="H68" s="122">
        <f>'0_ENTREE LOGICIEL'!L67</f>
        <v>1.0449999999999999</v>
      </c>
      <c r="I68" s="13"/>
      <c r="J68" s="95">
        <f t="shared" ref="J68:J73" si="8">$C$11/$E$4</f>
        <v>4.602739726027397</v>
      </c>
    </row>
    <row r="69" spans="1:20" x14ac:dyDescent="0.25">
      <c r="A69" s="368">
        <v>44</v>
      </c>
      <c r="B69" s="40" t="str">
        <f>CONCATENATE("Ratio Chauffage - ",'0_ENTREE LOGICIEL'!B68)</f>
        <v>Ratio Chauffage - SO - 287 - T - 81m²</v>
      </c>
      <c r="C69" s="356">
        <f>(((F69-E69)*$E$5)-$C$12-((H69-G69)*$C$15)*($H$4/$H$5))/'0_ENTREE LOGICIEL'!F68</f>
        <v>-0.17786428455567196</v>
      </c>
      <c r="D69" s="356">
        <f>VLOOKUP(A69,'1_Valeur_Référence'!$A$23:$N$71,$C$6,FALSE)/$E$4</f>
        <v>0.42617960426179596</v>
      </c>
      <c r="E69" s="115">
        <f>'0_ENTREE LOGICIEL'!I68</f>
        <v>395.88</v>
      </c>
      <c r="F69" s="116">
        <f>'0_ENTREE LOGICIEL'!J68</f>
        <v>398.5</v>
      </c>
      <c r="G69" s="117">
        <f>'0_ENTREE LOGICIEL'!K68</f>
        <v>12.298999999999999</v>
      </c>
      <c r="H69" s="118">
        <f>'0_ENTREE LOGICIEL'!L68</f>
        <v>12.602</v>
      </c>
      <c r="I69" s="13"/>
      <c r="J69" s="93">
        <f t="shared" si="8"/>
        <v>4.602739726027397</v>
      </c>
    </row>
    <row r="70" spans="1:20" x14ac:dyDescent="0.25">
      <c r="A70" s="368">
        <v>45</v>
      </c>
      <c r="B70" s="40" t="str">
        <f>CONCATENATE("Ratio Chauffage - ",'0_ENTREE LOGICIEL'!B69)</f>
        <v>Ratio Chauffage - SO - 290 - T - 40m²</v>
      </c>
      <c r="C70" s="356">
        <f>(((F70-E70)*$E$5)-$C$12-((H70-G70)*$C$15)*($H$4/$H$5))/'0_ENTREE LOGICIEL'!F69</f>
        <v>0.70582100000000025</v>
      </c>
      <c r="D70" s="356">
        <f>VLOOKUP(A70,'1_Valeur_Référence'!$A$23:$N$71,$C$6,FALSE)/$E$4</f>
        <v>2.66958904109589</v>
      </c>
      <c r="E70" s="115">
        <f>'0_ENTREE LOGICIEL'!I69</f>
        <v>70.7</v>
      </c>
      <c r="F70" s="116">
        <f>'0_ENTREE LOGICIEL'!J69</f>
        <v>73.73</v>
      </c>
      <c r="G70" s="117">
        <f>'0_ENTREE LOGICIEL'!K69</f>
        <v>0</v>
      </c>
      <c r="H70" s="118">
        <f>'0_ENTREE LOGICIEL'!L69</f>
        <v>0</v>
      </c>
      <c r="I70" s="13"/>
      <c r="J70" s="93">
        <f t="shared" si="8"/>
        <v>4.602739726027397</v>
      </c>
    </row>
    <row r="71" spans="1:20" x14ac:dyDescent="0.25">
      <c r="A71" s="368">
        <v>46</v>
      </c>
      <c r="B71" s="40" t="str">
        <f>CONCATENATE("Ratio Chauffage - ",'0_ENTREE LOGICIEL'!B70)</f>
        <v>Ratio Chauffage - SO - 305 - T - 66m²</v>
      </c>
      <c r="C71" s="356">
        <f>(((F71-E71)*$E$5)-$C$12-((H71-G71)*$C$15)*($H$4/$H$5))/'0_ENTREE LOGICIEL'!F70</f>
        <v>0.48943393939393859</v>
      </c>
      <c r="D71" s="356">
        <f>VLOOKUP(A71,'1_Valeur_Référence'!$A$23:$N$71,$C$6,FALSE)/$E$4</f>
        <v>0.63113325031133238</v>
      </c>
      <c r="E71" s="115">
        <f>'0_ENTREE LOGICIEL'!I70</f>
        <v>423.69</v>
      </c>
      <c r="F71" s="116">
        <f>'0_ENTREE LOGICIEL'!J70</f>
        <v>427.07</v>
      </c>
      <c r="G71" s="117">
        <f>'0_ENTREE LOGICIEL'!K70</f>
        <v>0</v>
      </c>
      <c r="H71" s="118">
        <f>'0_ENTREE LOGICIEL'!L70</f>
        <v>0</v>
      </c>
      <c r="I71" s="13"/>
      <c r="J71" s="93">
        <f t="shared" si="8"/>
        <v>4.602739726027397</v>
      </c>
    </row>
    <row r="72" spans="1:20" x14ac:dyDescent="0.25">
      <c r="A72" s="368">
        <v>47</v>
      </c>
      <c r="B72" s="40" t="str">
        <f>CONCATENATE("Ratio Chauffage - ",'0_ENTREE LOGICIEL'!B71)</f>
        <v>Ratio Chauffage - SO - 309 - T - 66m²</v>
      </c>
      <c r="C72" s="356">
        <f>(((F72-E72)*$E$5)-$C$12-((H72-G72)*$C$15)*($H$4/$H$5))/'0_ENTREE LOGICIEL'!F71</f>
        <v>3.1272620330520953</v>
      </c>
      <c r="D72" s="356">
        <f>VLOOKUP(A72,'1_Valeur_Référence'!$A$23:$N$71,$C$6,FALSE)/$E$4</f>
        <v>1.6144458281444583</v>
      </c>
      <c r="E72" s="115">
        <f>'0_ENTREE LOGICIEL'!I71</f>
        <v>788.6</v>
      </c>
      <c r="F72" s="116">
        <f>'0_ENTREE LOGICIEL'!J71</f>
        <v>812.66</v>
      </c>
      <c r="G72" s="117">
        <f>'0_ENTREE LOGICIEL'!K71</f>
        <v>11.161</v>
      </c>
      <c r="H72" s="118">
        <f>'0_ENTREE LOGICIEL'!L71</f>
        <v>11.692</v>
      </c>
      <c r="I72" s="13"/>
      <c r="J72" s="93">
        <f t="shared" si="8"/>
        <v>4.602739726027397</v>
      </c>
    </row>
    <row r="73" spans="1:20" x14ac:dyDescent="0.25">
      <c r="A73" s="368">
        <v>48</v>
      </c>
      <c r="B73" s="40" t="str">
        <f>CONCATENATE("Ratio Chauffage - ",'0_ENTREE LOGICIEL'!B72)</f>
        <v>Ratio Chauffage - SO - 310 - T - 54m²</v>
      </c>
      <c r="C73" s="356">
        <f>(((F73-E73)*$E$5)-$C$12-((H73-G73)*$C$15)*($H$4/$H$5))/'0_ENTREE LOGICIEL'!F72</f>
        <v>-0.20936505258823607</v>
      </c>
      <c r="D73" s="356">
        <f>VLOOKUP(A73,'1_Valeur_Référence'!$A$23:$N$71,$C$6,FALSE)/$E$4</f>
        <v>-2.9832572298325716E-2</v>
      </c>
      <c r="E73" s="115">
        <f>'0_ENTREE LOGICIEL'!I72</f>
        <v>692.32</v>
      </c>
      <c r="F73" s="116">
        <f>'0_ENTREE LOGICIEL'!J72</f>
        <v>694.68</v>
      </c>
      <c r="G73" s="117">
        <f>'0_ENTREE LOGICIEL'!K72</f>
        <v>5.8620000000000001</v>
      </c>
      <c r="H73" s="118">
        <f>'0_ENTREE LOGICIEL'!L72</f>
        <v>6.1159999999999997</v>
      </c>
      <c r="I73" s="13"/>
      <c r="J73" s="93">
        <f t="shared" si="8"/>
        <v>4.602739726027397</v>
      </c>
    </row>
    <row r="74" spans="1:20" s="51" customFormat="1" ht="13.5" thickBot="1" x14ac:dyDescent="0.3">
      <c r="A74" s="368"/>
      <c r="B74" s="87" t="str">
        <f>CONCATENATE("Ratio Chauffage - ",'0_ENTREE LOGICIEL'!B73)</f>
        <v>Ratio Chauffage - MOYENNE SO</v>
      </c>
      <c r="C74" s="357">
        <f>AVERAGE(C61:C73)</f>
        <v>4.9210327375056373E-2</v>
      </c>
      <c r="D74" s="357">
        <f t="shared" ref="D74" si="9">AVERAGE(D61:D73)</f>
        <v>0.66606990370711194</v>
      </c>
      <c r="E74" s="359"/>
      <c r="F74" s="360"/>
      <c r="G74" s="361"/>
      <c r="H74" s="362"/>
      <c r="I74" s="31"/>
      <c r="J74" s="94">
        <f t="shared" ref="J74" si="10">AVERAGE(J61:J73)</f>
        <v>4.6027397260273961</v>
      </c>
    </row>
    <row r="75" spans="1:20" s="4" customFormat="1" x14ac:dyDescent="0.25"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 s="4" customFormat="1" x14ac:dyDescent="0.25"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s="4" customFormat="1" x14ac:dyDescent="0.25"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s="4" customFormat="1" x14ac:dyDescent="0.25"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s="4" customFormat="1" x14ac:dyDescent="0.25"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s="4" customFormat="1" x14ac:dyDescent="0.25"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9:20" s="4" customFormat="1" x14ac:dyDescent="0.25"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9:20" s="4" customFormat="1" x14ac:dyDescent="0.25"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9:20" s="4" customFormat="1" x14ac:dyDescent="0.25"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9:20" s="4" customFormat="1" x14ac:dyDescent="0.25"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9:20" s="4" customFormat="1" x14ac:dyDescent="0.25"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9:20" s="4" customFormat="1" x14ac:dyDescent="0.25"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9:20" s="4" customFormat="1" x14ac:dyDescent="0.25"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9:20" s="4" customFormat="1" x14ac:dyDescent="0.25"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9:20" s="4" customFormat="1" x14ac:dyDescent="0.25"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9:20" s="4" customFormat="1" x14ac:dyDescent="0.25"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9:20" s="4" customFormat="1" x14ac:dyDescent="0.25"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9:20" s="4" customFormat="1" x14ac:dyDescent="0.25"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9:20" s="4" customFormat="1" x14ac:dyDescent="0.25"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9:20" s="4" customFormat="1" x14ac:dyDescent="0.25"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9:20" s="4" customFormat="1" x14ac:dyDescent="0.25"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9:20" s="4" customFormat="1" x14ac:dyDescent="0.25"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9:20" s="4" customFormat="1" x14ac:dyDescent="0.25"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9:20" s="4" customFormat="1" x14ac:dyDescent="0.25"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9:20" s="4" customFormat="1" x14ac:dyDescent="0.25"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9:20" s="4" customFormat="1" x14ac:dyDescent="0.25"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9:20" s="4" customFormat="1" x14ac:dyDescent="0.25"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9:20" s="4" customFormat="1" x14ac:dyDescent="0.25"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9:20" s="4" customFormat="1" x14ac:dyDescent="0.25"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9:20" s="4" customFormat="1" x14ac:dyDescent="0.25"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9:20" s="4" customFormat="1" x14ac:dyDescent="0.25"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9:20" s="4" customFormat="1" x14ac:dyDescent="0.25"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9:20" s="4" customFormat="1" x14ac:dyDescent="0.25"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9:20" s="4" customFormat="1" x14ac:dyDescent="0.25"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9:20" s="4" customFormat="1" x14ac:dyDescent="0.25"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9:20" s="4" customFormat="1" x14ac:dyDescent="0.25"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9:20" s="4" customFormat="1" x14ac:dyDescent="0.25"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9:20" s="4" customFormat="1" x14ac:dyDescent="0.25"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9:20" s="4" customFormat="1" x14ac:dyDescent="0.25"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9:20" s="4" customFormat="1" x14ac:dyDescent="0.25"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9:20" s="4" customFormat="1" x14ac:dyDescent="0.25"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9:20" s="4" customFormat="1" x14ac:dyDescent="0.25"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9:20" s="4" customFormat="1" x14ac:dyDescent="0.25"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9:20" s="4" customFormat="1" x14ac:dyDescent="0.25"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</sheetData>
  <mergeCells count="3">
    <mergeCell ref="A1:D1"/>
    <mergeCell ref="D3:F3"/>
    <mergeCell ref="G3:H3"/>
  </mergeCells>
  <hyperlinks>
    <hyperlink ref="E14" r:id="rId1"/>
  </hyperlinks>
  <pageMargins left="0.23622047244094491" right="0.23622047244094491" top="0.74803149606299213" bottom="0.74803149606299213" header="0.31496062992125984" footer="0.31496062992125984"/>
  <pageSetup paperSize="8" scale="79" orientation="landscape" r:id="rId2"/>
  <headerFooter>
    <oddFooter>&amp;L&amp;F&amp;CSOLAIR&amp;R&amp;A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T76"/>
  <sheetViews>
    <sheetView topLeftCell="A4" zoomScaleNormal="100" workbookViewId="0">
      <selection activeCell="D24" sqref="D24"/>
    </sheetView>
  </sheetViews>
  <sheetFormatPr baseColWidth="10" defaultRowHeight="12.75" x14ac:dyDescent="0.25"/>
  <cols>
    <col min="1" max="1" width="15.7109375" style="1" customWidth="1"/>
    <col min="2" max="2" width="40.7109375" style="1" customWidth="1"/>
    <col min="3" max="9" width="20.7109375" style="1" customWidth="1"/>
    <col min="10" max="12" width="15.7109375" style="1" customWidth="1"/>
    <col min="13" max="20" width="13.28515625" style="1" customWidth="1"/>
    <col min="21" max="21" width="18.5703125" style="1" customWidth="1"/>
    <col min="22" max="16384" width="11.42578125" style="1"/>
  </cols>
  <sheetData>
    <row r="1" spans="1:11" s="18" customFormat="1" ht="26.25" thickBot="1" x14ac:dyDescent="0.3">
      <c r="A1" s="466" t="str">
        <f>CONCATENATE("ENCERTICUS - ",B4," - ",B5," - ",B7)</f>
        <v>ENCERTICUS - Traitement données ELEC - 2014 - S20</v>
      </c>
      <c r="B1" s="467"/>
      <c r="C1" s="467"/>
      <c r="D1" s="468"/>
      <c r="E1" s="28"/>
      <c r="F1" s="312" t="s">
        <v>94</v>
      </c>
      <c r="G1" s="173" t="s">
        <v>95</v>
      </c>
      <c r="H1" s="28"/>
      <c r="I1" s="28"/>
    </row>
    <row r="2" spans="1:11" s="18" customFormat="1" ht="13.5" thickBot="1" x14ac:dyDescent="0.3">
      <c r="E2" s="23"/>
      <c r="F2" s="13"/>
      <c r="G2" s="161"/>
      <c r="H2" s="13"/>
      <c r="I2" s="28"/>
    </row>
    <row r="3" spans="1:11" s="18" customFormat="1" x14ac:dyDescent="0.25">
      <c r="A3" s="137" t="s">
        <v>9</v>
      </c>
      <c r="B3" s="138" t="s">
        <v>10</v>
      </c>
      <c r="D3" s="469" t="s">
        <v>68</v>
      </c>
      <c r="E3" s="470"/>
      <c r="F3" s="471"/>
      <c r="G3" s="469" t="str">
        <f>CONCATENATE("Correction DJU - ",B6)</f>
        <v>Correction DJU - Mai</v>
      </c>
      <c r="H3" s="471"/>
      <c r="I3" s="28"/>
    </row>
    <row r="4" spans="1:11" s="18" customFormat="1" x14ac:dyDescent="0.25">
      <c r="A4" s="139" t="s">
        <v>11</v>
      </c>
      <c r="B4" s="140" t="s">
        <v>96</v>
      </c>
      <c r="D4" s="145" t="s">
        <v>23</v>
      </c>
      <c r="E4" s="155">
        <f>'0_ENTREE LOGICIEL'!E4</f>
        <v>4.3452380952380958</v>
      </c>
      <c r="F4" s="147"/>
      <c r="G4" s="145" t="str">
        <f>'0_ENTREE LOGICIEL'!G4</f>
        <v>DJU REEL - 2014 - Mai</v>
      </c>
      <c r="H4" s="157">
        <f>'0_ENTREE LOGICIEL'!H4</f>
        <v>20</v>
      </c>
      <c r="I4" s="28"/>
    </row>
    <row r="5" spans="1:11" s="18" customFormat="1" ht="14.25" x14ac:dyDescent="0.25">
      <c r="A5" s="139" t="s">
        <v>40</v>
      </c>
      <c r="B5" s="147">
        <f>'0_ENTREE LOGICIEL'!B5</f>
        <v>2014</v>
      </c>
      <c r="D5" s="145" t="s">
        <v>69</v>
      </c>
      <c r="E5" s="148">
        <f>'0_ENTREE LOGICIEL'!E5</f>
        <v>11.628</v>
      </c>
      <c r="F5" s="149" t="s">
        <v>33</v>
      </c>
      <c r="G5" s="145" t="str">
        <f>'0_ENTREE LOGICIEL'!G5</f>
        <v>DJU MODELE - Mai</v>
      </c>
      <c r="H5" s="157">
        <f>'0_ENTREE LOGICIEL'!H5</f>
        <v>7.2182795698924735</v>
      </c>
      <c r="I5" s="28"/>
    </row>
    <row r="6" spans="1:11" s="18" customFormat="1" x14ac:dyDescent="0.25">
      <c r="A6" s="139" t="s">
        <v>41</v>
      </c>
      <c r="B6" s="147" t="str">
        <f>'0_ENTREE LOGICIEL'!B6</f>
        <v>Mai</v>
      </c>
      <c r="C6" s="239">
        <f>'0_ENTREE LOGICIEL'!C6</f>
        <v>7</v>
      </c>
      <c r="D6" s="145" t="s">
        <v>69</v>
      </c>
      <c r="E6" s="156">
        <f>'0_ENTREE LOGICIEL'!E6</f>
        <v>0.9009009009009008</v>
      </c>
      <c r="F6" s="149" t="s">
        <v>15</v>
      </c>
      <c r="G6" s="145" t="str">
        <f>'0_ENTREE LOGICIEL'!G6</f>
        <v>DJU REF - 2013 - Mai</v>
      </c>
      <c r="H6" s="157">
        <f>'1_Valeur_Référence'!H6</f>
        <v>15.987096774193548</v>
      </c>
      <c r="I6" s="28"/>
    </row>
    <row r="7" spans="1:11" s="18" customFormat="1" x14ac:dyDescent="0.25">
      <c r="A7" s="139" t="s">
        <v>67</v>
      </c>
      <c r="B7" s="147" t="str">
        <f>'0_ENTREE LOGICIEL'!B7</f>
        <v>S20</v>
      </c>
      <c r="C7" s="239">
        <f>'0_ENTREE LOGICIEL'!C7</f>
        <v>22</v>
      </c>
      <c r="D7" s="150"/>
      <c r="E7" s="151"/>
      <c r="F7" s="152"/>
      <c r="G7" s="145"/>
      <c r="H7" s="149"/>
      <c r="I7" s="28"/>
    </row>
    <row r="8" spans="1:11" s="18" customFormat="1" ht="13.5" thickBot="1" x14ac:dyDescent="0.3">
      <c r="A8" s="141" t="s">
        <v>36</v>
      </c>
      <c r="B8" s="165" t="str">
        <f>'0_ENTREE LOGICIEL'!B8</f>
        <v>Semaine</v>
      </c>
      <c r="D8" s="203" t="s">
        <v>157</v>
      </c>
      <c r="E8" s="204">
        <f>'0_ENTREE LOGICIEL'!E8</f>
        <v>1</v>
      </c>
      <c r="F8" s="154"/>
      <c r="G8" s="153"/>
      <c r="H8" s="158"/>
      <c r="I8" s="28"/>
    </row>
    <row r="9" spans="1:11" s="18" customFormat="1" ht="13.5" thickBot="1" x14ac:dyDescent="0.3">
      <c r="A9" s="4"/>
      <c r="B9" s="24"/>
      <c r="C9" s="29"/>
      <c r="D9" s="29"/>
      <c r="E9" s="29"/>
      <c r="F9" s="29"/>
      <c r="G9" s="29"/>
      <c r="H9" s="4"/>
      <c r="I9" s="30"/>
      <c r="J9" s="29"/>
      <c r="K9" s="29"/>
    </row>
    <row r="10" spans="1:11" s="19" customFormat="1" x14ac:dyDescent="0.25">
      <c r="B10" s="123"/>
      <c r="C10" s="124" t="s">
        <v>63</v>
      </c>
      <c r="D10" s="124" t="s">
        <v>66</v>
      </c>
      <c r="E10" s="125" t="s">
        <v>70</v>
      </c>
      <c r="H10" s="14"/>
      <c r="I10" s="26"/>
    </row>
    <row r="11" spans="1:11" s="18" customFormat="1" x14ac:dyDescent="0.25">
      <c r="B11" s="136" t="s">
        <v>58</v>
      </c>
      <c r="C11" s="130">
        <f>'0_ENTREE LOGICIEL'!C11</f>
        <v>20</v>
      </c>
      <c r="D11" s="131" t="s">
        <v>39</v>
      </c>
      <c r="E11" s="132"/>
      <c r="G11" s="13"/>
      <c r="H11" s="28"/>
      <c r="I11" s="28"/>
    </row>
    <row r="12" spans="1:11" s="18" customFormat="1" x14ac:dyDescent="0.25">
      <c r="B12" s="129" t="s">
        <v>57</v>
      </c>
      <c r="C12" s="134">
        <f>'0_ENTREE LOGICIEL'!C12</f>
        <v>7</v>
      </c>
      <c r="D12" s="133" t="s">
        <v>64</v>
      </c>
      <c r="E12" s="135"/>
      <c r="G12" s="13"/>
      <c r="H12" s="28"/>
      <c r="I12" s="28"/>
    </row>
    <row r="13" spans="1:11" s="18" customFormat="1" x14ac:dyDescent="0.25">
      <c r="B13" s="136" t="s">
        <v>60</v>
      </c>
      <c r="C13" s="162">
        <f>'0_ENTREE LOGICIEL'!C13</f>
        <v>52.42307692307692</v>
      </c>
      <c r="D13" s="131" t="s">
        <v>62</v>
      </c>
      <c r="E13" s="132" t="s">
        <v>24</v>
      </c>
      <c r="G13" s="13"/>
      <c r="H13" s="28"/>
      <c r="I13" s="28"/>
    </row>
    <row r="14" spans="1:11" s="18" customFormat="1" x14ac:dyDescent="0.25">
      <c r="B14" s="129" t="s">
        <v>61</v>
      </c>
      <c r="C14" s="134">
        <f>'0_ENTREE LOGICIEL'!C14</f>
        <v>1050</v>
      </c>
      <c r="D14" s="133" t="s">
        <v>65</v>
      </c>
      <c r="E14" s="160" t="s">
        <v>29</v>
      </c>
      <c r="G14" s="28"/>
      <c r="H14" s="28"/>
      <c r="I14" s="28"/>
    </row>
    <row r="15" spans="1:11" s="18" customFormat="1" ht="14.25" x14ac:dyDescent="0.25">
      <c r="B15" s="136" t="s">
        <v>59</v>
      </c>
      <c r="C15" s="162">
        <f>'0_ENTREE LOGICIEL'!C15</f>
        <v>45.111111111111107</v>
      </c>
      <c r="D15" s="131" t="s">
        <v>34</v>
      </c>
      <c r="E15" s="132" t="s">
        <v>37</v>
      </c>
      <c r="G15" s="28"/>
      <c r="H15" s="28"/>
      <c r="I15" s="28"/>
    </row>
    <row r="16" spans="1:11" ht="14.25" x14ac:dyDescent="0.25">
      <c r="B16" s="129" t="s">
        <v>91</v>
      </c>
      <c r="C16" s="163">
        <f>'0_ENTREE LOGICIEL'!C16</f>
        <v>0.52500000000000002</v>
      </c>
      <c r="D16" s="133" t="s">
        <v>73</v>
      </c>
      <c r="E16" s="135"/>
    </row>
    <row r="17" spans="1:14" x14ac:dyDescent="0.25">
      <c r="A17" s="13"/>
      <c r="B17" s="16"/>
      <c r="C17" s="13"/>
      <c r="D17" s="22"/>
      <c r="G17" s="9"/>
      <c r="H17" s="9"/>
      <c r="I17" s="9"/>
      <c r="J17" s="9"/>
      <c r="K17" s="9"/>
      <c r="L17" s="9"/>
      <c r="M17" s="10"/>
      <c r="N17" s="8"/>
    </row>
    <row r="18" spans="1:14" x14ac:dyDescent="0.25">
      <c r="A18" s="13"/>
      <c r="B18" s="16"/>
      <c r="C18" s="13"/>
      <c r="D18" s="22"/>
      <c r="G18" s="9"/>
      <c r="H18" s="9"/>
      <c r="I18" s="9"/>
      <c r="J18" s="9"/>
      <c r="K18" s="9"/>
      <c r="L18" s="9"/>
      <c r="M18" s="10"/>
      <c r="N18" s="8"/>
    </row>
    <row r="19" spans="1:14" x14ac:dyDescent="0.25">
      <c r="A19" s="13"/>
      <c r="B19" s="16"/>
      <c r="C19" s="13"/>
      <c r="D19" s="22"/>
      <c r="G19" s="9"/>
      <c r="H19" s="9"/>
      <c r="I19" s="9"/>
      <c r="J19" s="9"/>
      <c r="K19" s="9"/>
      <c r="L19" s="9"/>
      <c r="M19" s="10"/>
      <c r="N19" s="8"/>
    </row>
    <row r="20" spans="1:14" x14ac:dyDescent="0.25">
      <c r="A20" s="13"/>
      <c r="B20" s="323" t="s">
        <v>264</v>
      </c>
      <c r="C20" s="13"/>
      <c r="D20" s="22"/>
      <c r="G20" s="9"/>
      <c r="H20" s="9"/>
      <c r="I20" s="9"/>
      <c r="J20" s="9"/>
      <c r="K20" s="9"/>
      <c r="L20" s="9"/>
      <c r="M20" s="10"/>
      <c r="N20" s="8"/>
    </row>
    <row r="21" spans="1:14" x14ac:dyDescent="0.25">
      <c r="A21" s="13"/>
      <c r="B21" s="16"/>
      <c r="C21" s="13"/>
      <c r="D21" s="22"/>
      <c r="G21" s="9"/>
      <c r="H21" s="9"/>
      <c r="I21" s="9"/>
      <c r="J21" s="9"/>
      <c r="K21" s="9"/>
      <c r="L21" s="9"/>
      <c r="M21" s="10"/>
      <c r="N21" s="8"/>
    </row>
    <row r="22" spans="1:14" x14ac:dyDescent="0.25">
      <c r="A22" s="13"/>
      <c r="B22" s="16"/>
      <c r="C22" s="13"/>
      <c r="D22" s="22"/>
      <c r="G22" s="9"/>
      <c r="H22" s="9"/>
      <c r="I22" s="9"/>
      <c r="J22" s="9"/>
      <c r="K22" s="9"/>
      <c r="L22" s="9"/>
      <c r="M22" s="10"/>
      <c r="N22" s="8"/>
    </row>
    <row r="23" spans="1:14" s="61" customFormat="1" ht="25.5" x14ac:dyDescent="0.25">
      <c r="A23" s="55"/>
      <c r="B23" s="64" t="s">
        <v>79</v>
      </c>
      <c r="C23" s="65" t="s">
        <v>88</v>
      </c>
      <c r="D23" s="66" t="s">
        <v>267</v>
      </c>
      <c r="E23" s="65" t="s">
        <v>80</v>
      </c>
      <c r="F23" s="68" t="s">
        <v>80</v>
      </c>
      <c r="G23" s="55"/>
      <c r="I23" s="67" t="s">
        <v>89</v>
      </c>
    </row>
    <row r="24" spans="1:14" s="2" customFormat="1" ht="25.5" x14ac:dyDescent="0.25">
      <c r="A24" s="363" t="s">
        <v>159</v>
      </c>
      <c r="B24" s="47" t="s">
        <v>78</v>
      </c>
      <c r="C24" s="69" t="str">
        <f>CONCATENATE(C23," - ",B7)</f>
        <v>Ratio ELECTRICTE - S20</v>
      </c>
      <c r="D24" s="70" t="str">
        <f>CONCATENATE(D23," - ",$B$7)</f>
        <v>Ratio ELECTRICTE réf - S20</v>
      </c>
      <c r="E24" s="103" t="str">
        <f>'0_ENTREE LOGICIEL'!M23</f>
        <v>INDICE EDF [N-1]</v>
      </c>
      <c r="F24" s="106" t="str">
        <f>'0_ENTREE LOGICIEL'!N23</f>
        <v>INDICE EDF [N]</v>
      </c>
      <c r="G24" s="14"/>
      <c r="I24" s="71" t="str">
        <f>CONCATENATE(I23)</f>
        <v>Ratio ELECTRICITE type</v>
      </c>
    </row>
    <row r="25" spans="1:14" s="3" customFormat="1" ht="13.5" thickBot="1" x14ac:dyDescent="0.3">
      <c r="A25" s="364"/>
      <c r="B25" s="48"/>
      <c r="C25" s="72" t="s">
        <v>22</v>
      </c>
      <c r="D25" s="73" t="s">
        <v>22</v>
      </c>
      <c r="E25" s="107" t="s">
        <v>4</v>
      </c>
      <c r="F25" s="110" t="s">
        <v>4</v>
      </c>
      <c r="G25" s="15"/>
      <c r="I25" s="74" t="s">
        <v>17</v>
      </c>
    </row>
    <row r="26" spans="1:14" x14ac:dyDescent="0.25">
      <c r="A26" s="365">
        <v>1</v>
      </c>
      <c r="B26" s="54" t="str">
        <f>CONCATENATE("Ratio Electricité - ",'0_ENTREE LOGICIEL'!B25)</f>
        <v>Ratio Electricité - GC - 274 - T4 - 83m²</v>
      </c>
      <c r="C26" s="372">
        <f>(F26-E26)/'0_ENTREE LOGICIEL'!F25</f>
        <v>0.61387951807228913</v>
      </c>
      <c r="D26" s="373">
        <f>VLOOKUP(A26,'1_Valeur_Référence'!$A$77:$BB$125,$C$7,0)</f>
        <v>0.61387951807228913</v>
      </c>
      <c r="E26" s="166">
        <f>'0_ENTREE LOGICIEL'!M25</f>
        <v>1247.2460000000001</v>
      </c>
      <c r="F26" s="167">
        <f>'0_ENTREE LOGICIEL'!N25</f>
        <v>1298.1980000000001</v>
      </c>
      <c r="G26" s="13"/>
      <c r="I26" s="88">
        <f>$C$13/'0_ENTREE LOGICIEL'!$F25</f>
        <v>0.63160333642261346</v>
      </c>
    </row>
    <row r="27" spans="1:14" x14ac:dyDescent="0.25">
      <c r="A27" s="365">
        <v>2</v>
      </c>
      <c r="B27" s="40" t="str">
        <f>CONCATENATE("Ratio Electricité - ",'0_ENTREE LOGICIEL'!B26)</f>
        <v>Ratio Electricité - GC - 277 - T2 - 53m²</v>
      </c>
      <c r="C27" s="374">
        <f>(F27-E27)/'0_ENTREE LOGICIEL'!F26</f>
        <v>0.56220754716981181</v>
      </c>
      <c r="D27" s="374">
        <f>VLOOKUP(A27,'1_Valeur_Référence'!$A$77:$BB$125,$C$7,0)</f>
        <v>0.56220754716981181</v>
      </c>
      <c r="E27" s="168">
        <f>'0_ENTREE LOGICIEL'!M26</f>
        <v>897.52499999999998</v>
      </c>
      <c r="F27" s="169">
        <f>'0_ENTREE LOGICIEL'!N26</f>
        <v>927.322</v>
      </c>
      <c r="G27" s="13"/>
      <c r="I27" s="89">
        <f>$C$13/'0_ENTREE LOGICIEL'!$F26</f>
        <v>0.98911465892597961</v>
      </c>
    </row>
    <row r="28" spans="1:14" x14ac:dyDescent="0.25">
      <c r="A28" s="365">
        <v>3</v>
      </c>
      <c r="B28" s="40" t="str">
        <f>CONCATENATE("Ratio Electricité - ",'0_ENTREE LOGICIEL'!B27)</f>
        <v>Ratio Electricité - GC - 281 - T3 - 71m²</v>
      </c>
      <c r="C28" s="374">
        <f>(F28-E28)/'0_ENTREE LOGICIEL'!F27</f>
        <v>0.6479295774647893</v>
      </c>
      <c r="D28" s="374">
        <f>VLOOKUP(A28,'1_Valeur_Référence'!$A$77:$BB$125,$C$7,0)</f>
        <v>0.6479295774647893</v>
      </c>
      <c r="E28" s="168">
        <f>'0_ENTREE LOGICIEL'!M27</f>
        <v>962.53899999999999</v>
      </c>
      <c r="F28" s="169">
        <f>'0_ENTREE LOGICIEL'!N27</f>
        <v>1008.542</v>
      </c>
      <c r="G28" s="13"/>
      <c r="I28" s="89">
        <f>$C$13/'0_ENTREE LOGICIEL'!$F27</f>
        <v>0.73835319609967498</v>
      </c>
    </row>
    <row r="29" spans="1:14" x14ac:dyDescent="0.25">
      <c r="A29" s="365">
        <v>4</v>
      </c>
      <c r="B29" s="40" t="str">
        <f>CONCATENATE("Ratio Electricité - ",'0_ENTREE LOGICIEL'!B28)</f>
        <v>Ratio Electricité - GC - 283 - T3 - 70m²</v>
      </c>
      <c r="C29" s="374">
        <f>(F29-E29)/'0_ENTREE LOGICIEL'!F28</f>
        <v>0.39374285714285734</v>
      </c>
      <c r="D29" s="374">
        <f>VLOOKUP(A29,'1_Valeur_Référence'!$A$77:$BB$125,$C$7,0)</f>
        <v>0.39374285714285734</v>
      </c>
      <c r="E29" s="168">
        <f>'0_ENTREE LOGICIEL'!M28</f>
        <v>686.06100000000004</v>
      </c>
      <c r="F29" s="169">
        <f>'0_ENTREE LOGICIEL'!N28</f>
        <v>713.62300000000005</v>
      </c>
      <c r="G29" s="13"/>
      <c r="I29" s="89">
        <f>$C$13/'0_ENTREE LOGICIEL'!$F28</f>
        <v>0.74890109890109891</v>
      </c>
    </row>
    <row r="30" spans="1:14" x14ac:dyDescent="0.25">
      <c r="A30" s="365">
        <v>5</v>
      </c>
      <c r="B30" s="40" t="str">
        <f>CONCATENATE("Ratio Electricité - ",'0_ENTREE LOGICIEL'!B29)</f>
        <v>Ratio Electricité - GC - 285 - T3 - 64m²</v>
      </c>
      <c r="C30" s="374">
        <f>(F30-E30)/'0_ENTREE LOGICIEL'!F29</f>
        <v>0.53323437499999926</v>
      </c>
      <c r="D30" s="374">
        <f>VLOOKUP(A30,'1_Valeur_Référence'!$A$77:$BB$125,$C$7,0)</f>
        <v>0.53323437499999926</v>
      </c>
      <c r="E30" s="168">
        <f>'0_ENTREE LOGICIEL'!M29</f>
        <v>737.43600000000004</v>
      </c>
      <c r="F30" s="169">
        <f>'0_ENTREE LOGICIEL'!N29</f>
        <v>771.56299999999999</v>
      </c>
      <c r="G30" s="13"/>
      <c r="I30" s="89">
        <f>$C$13/'0_ENTREE LOGICIEL'!$F29</f>
        <v>0.81911057692307687</v>
      </c>
    </row>
    <row r="31" spans="1:14" x14ac:dyDescent="0.25">
      <c r="A31" s="365">
        <v>6</v>
      </c>
      <c r="B31" s="40" t="str">
        <f>CONCATENATE("Ratio Electricité - ",'0_ENTREE LOGICIEL'!B30)</f>
        <v>Ratio Electricité - GC - 286 - T3 - 68m²</v>
      </c>
      <c r="C31" s="374">
        <f>(F31-E31)/'0_ENTREE LOGICIEL'!F30</f>
        <v>0.44151470588235331</v>
      </c>
      <c r="D31" s="374">
        <f>VLOOKUP(A31,'1_Valeur_Référence'!$A$77:$BB$125,$C$7,0)</f>
        <v>0.44151470588235331</v>
      </c>
      <c r="E31" s="168">
        <f>'0_ENTREE LOGICIEL'!M30</f>
        <v>846.53899999999999</v>
      </c>
      <c r="F31" s="169">
        <f>'0_ENTREE LOGICIEL'!N30</f>
        <v>876.56200000000001</v>
      </c>
      <c r="G31" s="13"/>
      <c r="I31" s="89">
        <f>$C$13/'0_ENTREE LOGICIEL'!$F30</f>
        <v>0.77092760180995468</v>
      </c>
    </row>
    <row r="32" spans="1:14" x14ac:dyDescent="0.25">
      <c r="A32" s="365">
        <v>7</v>
      </c>
      <c r="B32" s="40" t="str">
        <f>CONCATENATE("Ratio Electricité - ",'0_ENTREE LOGICIEL'!B31)</f>
        <v>Ratio Electricité - GC - 289 - T3 - 76m²</v>
      </c>
      <c r="C32" s="374">
        <f>(F32-E32)/'0_ENTREE LOGICIEL'!F31</f>
        <v>0.31405263157894803</v>
      </c>
      <c r="D32" s="374">
        <f>VLOOKUP(A32,'1_Valeur_Référence'!$A$77:$BB$125,$C$7,0)</f>
        <v>0.31405263157894803</v>
      </c>
      <c r="E32" s="168">
        <f>'0_ENTREE LOGICIEL'!M31</f>
        <v>581.399</v>
      </c>
      <c r="F32" s="169">
        <f>'0_ENTREE LOGICIEL'!N31</f>
        <v>605.26700000000005</v>
      </c>
      <c r="G32" s="13"/>
      <c r="I32" s="89">
        <f>$C$13/'0_ENTREE LOGICIEL'!$F31</f>
        <v>0.68977732793522262</v>
      </c>
    </row>
    <row r="33" spans="1:9" x14ac:dyDescent="0.25">
      <c r="A33" s="365">
        <v>8</v>
      </c>
      <c r="B33" s="40" t="str">
        <f>CONCATENATE("Ratio Electricité - ",'0_ENTREE LOGICIEL'!B32)</f>
        <v>Ratio Electricité - GC - 303 - T4 - 81m²</v>
      </c>
      <c r="C33" s="374">
        <f>(F33-E33)/'0_ENTREE LOGICIEL'!F32</f>
        <v>0.90301234567901245</v>
      </c>
      <c r="D33" s="374">
        <f>VLOOKUP(A33,'1_Valeur_Référence'!$A$77:$BB$125,$C$7,0)</f>
        <v>0.90301234567901245</v>
      </c>
      <c r="E33" s="168">
        <f>'0_ENTREE LOGICIEL'!M32</f>
        <v>1602.5250000000001</v>
      </c>
      <c r="F33" s="169">
        <f>'0_ENTREE LOGICIEL'!N32</f>
        <v>1675.6690000000001</v>
      </c>
      <c r="G33" s="13"/>
      <c r="I33" s="89">
        <f>$C$13/'0_ENTREE LOGICIEL'!$F32</f>
        <v>0.64719848053181384</v>
      </c>
    </row>
    <row r="34" spans="1:9" x14ac:dyDescent="0.25">
      <c r="A34" s="365">
        <v>9</v>
      </c>
      <c r="B34" s="40" t="str">
        <f>CONCATENATE("Ratio Electricité - ",'0_ENTREE LOGICIEL'!B33)</f>
        <v>Ratio Electricité - GC - 304 - T3 - 66m²</v>
      </c>
      <c r="C34" s="374">
        <f>(F34-E34)/'0_ENTREE LOGICIEL'!F33</f>
        <v>0.51196969696969641</v>
      </c>
      <c r="D34" s="374">
        <f>VLOOKUP(A34,'1_Valeur_Référence'!$A$77:$BB$125,$C$7,0)</f>
        <v>0.51196969696969641</v>
      </c>
      <c r="E34" s="168">
        <f>'0_ENTREE LOGICIEL'!M33</f>
        <v>773.221</v>
      </c>
      <c r="F34" s="169">
        <f>'0_ENTREE LOGICIEL'!N33</f>
        <v>807.01099999999997</v>
      </c>
      <c r="G34" s="13"/>
      <c r="I34" s="89">
        <f>$C$13/'0_ENTREE LOGICIEL'!$F33</f>
        <v>0.79428904428904423</v>
      </c>
    </row>
    <row r="35" spans="1:9" x14ac:dyDescent="0.25">
      <c r="A35" s="365">
        <v>10</v>
      </c>
      <c r="B35" s="40" t="str">
        <f>CONCATENATE("Ratio Electricité - ",'0_ENTREE LOGICIEL'!B34)</f>
        <v>Ratio Electricité - GC - 306 - T3 - 66m²</v>
      </c>
      <c r="C35" s="374">
        <f>(F35-E35)/'0_ENTREE LOGICIEL'!F34</f>
        <v>0.24995454545454482</v>
      </c>
      <c r="D35" s="374">
        <f>VLOOKUP(A35,'1_Valeur_Référence'!$A$77:$BB$125,$C$7,0)</f>
        <v>0.24995454545454482</v>
      </c>
      <c r="E35" s="168">
        <f>'0_ENTREE LOGICIEL'!M34</f>
        <v>630.28899999999999</v>
      </c>
      <c r="F35" s="169">
        <f>'0_ENTREE LOGICIEL'!N34</f>
        <v>646.78599999999994</v>
      </c>
      <c r="G35" s="13"/>
      <c r="I35" s="89">
        <f>$C$13/'0_ENTREE LOGICIEL'!$F34</f>
        <v>0.79428904428904423</v>
      </c>
    </row>
    <row r="36" spans="1:9" x14ac:dyDescent="0.25">
      <c r="A36" s="365">
        <v>11</v>
      </c>
      <c r="B36" s="40" t="str">
        <f>CONCATENATE("Ratio Electricité - ",'0_ENTREE LOGICIEL'!B35)</f>
        <v>Ratio Electricité - GC - 307 - T3 - 66m²</v>
      </c>
      <c r="C36" s="374">
        <f>(F36-E36)/'0_ENTREE LOGICIEL'!F35</f>
        <v>0.74192424242424393</v>
      </c>
      <c r="D36" s="374">
        <f>VLOOKUP(A36,'1_Valeur_Référence'!$A$77:$BB$125,$C$7,0)</f>
        <v>0.74192424242424393</v>
      </c>
      <c r="E36" s="168">
        <f>'0_ENTREE LOGICIEL'!M35</f>
        <v>1381.261</v>
      </c>
      <c r="F36" s="169">
        <f>'0_ENTREE LOGICIEL'!N35</f>
        <v>1430.2280000000001</v>
      </c>
      <c r="G36" s="13"/>
      <c r="I36" s="89">
        <f>$C$13/'0_ENTREE LOGICIEL'!$F35</f>
        <v>0.79428904428904423</v>
      </c>
    </row>
    <row r="37" spans="1:9" x14ac:dyDescent="0.25">
      <c r="A37" s="365">
        <v>12</v>
      </c>
      <c r="B37" s="40" t="str">
        <f>CONCATENATE("Ratio Electricité - ",'0_ENTREE LOGICIEL'!B36)</f>
        <v>Ratio Electricité - GC - 308 - T3 - 66m²</v>
      </c>
      <c r="C37" s="374">
        <f>(F37-E37)/'0_ENTREE LOGICIEL'!F36</f>
        <v>0.30803030303030365</v>
      </c>
      <c r="D37" s="374">
        <f>VLOOKUP(A37,'1_Valeur_Référence'!$A$77:$BB$125,$C$7,0)</f>
        <v>0.30803030303030365</v>
      </c>
      <c r="E37" s="168">
        <f>'0_ENTREE LOGICIEL'!M36</f>
        <v>951.01199999999994</v>
      </c>
      <c r="F37" s="169">
        <f>'0_ENTREE LOGICIEL'!N36</f>
        <v>971.34199999999998</v>
      </c>
      <c r="G37" s="13"/>
      <c r="I37" s="89">
        <f>$C$13/'0_ENTREE LOGICIEL'!$F36</f>
        <v>0.79428904428904423</v>
      </c>
    </row>
    <row r="38" spans="1:9" x14ac:dyDescent="0.25">
      <c r="A38" s="365">
        <v>13</v>
      </c>
      <c r="B38" s="40" t="str">
        <f>CONCATENATE("Ratio Electricité - ",'0_ENTREE LOGICIEL'!B37)</f>
        <v>Ratio Electricité - GC - 314 - T4 - 75m²</v>
      </c>
      <c r="C38" s="374">
        <f>(F38-E38)/'0_ENTREE LOGICIEL'!F37</f>
        <v>1.5176400000000043</v>
      </c>
      <c r="D38" s="374">
        <f>VLOOKUP(A38,'1_Valeur_Référence'!$A$77:$BB$125,$C$7,0)</f>
        <v>1.5176400000000043</v>
      </c>
      <c r="E38" s="168">
        <f>'0_ENTREE LOGICIEL'!M37</f>
        <v>2840.16</v>
      </c>
      <c r="F38" s="169">
        <f>'0_ENTREE LOGICIEL'!N37</f>
        <v>2953.9830000000002</v>
      </c>
      <c r="G38" s="13"/>
      <c r="I38" s="89">
        <f>$C$13/'0_ENTREE LOGICIEL'!$F37</f>
        <v>0.69897435897435889</v>
      </c>
    </row>
    <row r="39" spans="1:9" s="51" customFormat="1" ht="13.5" thickBot="1" x14ac:dyDescent="0.3">
      <c r="A39" s="365">
        <v>14</v>
      </c>
      <c r="B39" s="371" t="str">
        <f>CONCATENATE("Ratio Electricité - ",'0_ENTREE LOGICIEL'!B38)</f>
        <v>Ratio Electricité - MOYENNE GC</v>
      </c>
      <c r="C39" s="375">
        <f>AVERAGE(C26:C38)</f>
        <v>0.59531479583606572</v>
      </c>
      <c r="D39" s="375">
        <f t="shared" ref="D39" si="0">AVERAGE(D26:D38)</f>
        <v>0.59531479583606572</v>
      </c>
      <c r="E39" s="369"/>
      <c r="F39" s="370"/>
      <c r="G39" s="31"/>
      <c r="I39" s="90">
        <f>AVERAGE(I26:I38)</f>
        <v>0.76239360105230547</v>
      </c>
    </row>
    <row r="40" spans="1:9" x14ac:dyDescent="0.25">
      <c r="A40" s="365">
        <v>15</v>
      </c>
      <c r="B40" s="54" t="str">
        <f>CONCATENATE("Ratio Electricité - ",'0_ENTREE LOGICIEL'!B39)</f>
        <v>Ratio Electricité - GE2.1 - 275 - T3 - 74m²</v>
      </c>
      <c r="C40" s="376">
        <f>(F40-E40)/'0_ENTREE LOGICIEL'!F39</f>
        <v>0.70935135135135086</v>
      </c>
      <c r="D40" s="376">
        <f>VLOOKUP(A40,'1_Valeur_Référence'!$A$77:$BB$125,$C$7,0)</f>
        <v>0.70935135135135086</v>
      </c>
      <c r="E40" s="170">
        <f>'0_ENTREE LOGICIEL'!M39</f>
        <v>1382.309</v>
      </c>
      <c r="F40" s="171">
        <f>'0_ENTREE LOGICIEL'!N39</f>
        <v>1434.8009999999999</v>
      </c>
      <c r="G40" s="13"/>
      <c r="I40" s="91">
        <f>$C$13/'0_ENTREE LOGICIEL'!$F39</f>
        <v>0.70841995841995842</v>
      </c>
    </row>
    <row r="41" spans="1:9" x14ac:dyDescent="0.25">
      <c r="A41" s="365">
        <v>16</v>
      </c>
      <c r="B41" s="40" t="str">
        <f>CONCATENATE("Ratio Electricité - ",'0_ENTREE LOGICIEL'!B40)</f>
        <v>Ratio Electricité - GE2.1 - 278 - T2 - 57m²</v>
      </c>
      <c r="C41" s="374">
        <f>(F41-E41)/'0_ENTREE LOGICIEL'!F40</f>
        <v>6.9087719298245406E-2</v>
      </c>
      <c r="D41" s="374">
        <f>VLOOKUP(A41,'1_Valeur_Référence'!$A$77:$BB$125,$C$7,0)</f>
        <v>6.9087719298245406E-2</v>
      </c>
      <c r="E41" s="168">
        <f>'0_ENTREE LOGICIEL'!M40</f>
        <v>314.53500000000003</v>
      </c>
      <c r="F41" s="169">
        <f>'0_ENTREE LOGICIEL'!N40</f>
        <v>318.47300000000001</v>
      </c>
      <c r="G41" s="13"/>
      <c r="I41" s="89">
        <f>$C$13/'0_ENTREE LOGICIEL'!$F40</f>
        <v>0.91970310391363019</v>
      </c>
    </row>
    <row r="42" spans="1:9" x14ac:dyDescent="0.25">
      <c r="A42" s="365">
        <v>17</v>
      </c>
      <c r="B42" s="40" t="str">
        <f>CONCATENATE("Ratio Electricité - ",'0_ENTREE LOGICIEL'!B41)</f>
        <v>Ratio Electricité - GE2.1 - 280 - T3 - 66m²</v>
      </c>
      <c r="C42" s="374">
        <f>(F42-E42)/'0_ENTREE LOGICIEL'!F41</f>
        <v>3.3333333333333701E-4</v>
      </c>
      <c r="D42" s="374">
        <f>VLOOKUP(A42,'1_Valeur_Référence'!$A$77:$BB$125,$C$7,0)</f>
        <v>3.3333333333333701E-4</v>
      </c>
      <c r="E42" s="168">
        <f>'0_ENTREE LOGICIEL'!M41</f>
        <v>2.2959999999999998</v>
      </c>
      <c r="F42" s="169">
        <f>'0_ENTREE LOGICIEL'!N41</f>
        <v>2.3180000000000001</v>
      </c>
      <c r="G42" s="13"/>
      <c r="I42" s="89">
        <f>$C$13/'0_ENTREE LOGICIEL'!$F41</f>
        <v>0.79428904428904423</v>
      </c>
    </row>
    <row r="43" spans="1:9" x14ac:dyDescent="0.25">
      <c r="A43" s="365">
        <v>18</v>
      </c>
      <c r="B43" s="40" t="str">
        <f>CONCATENATE("Ratio Electricité - ",'0_ENTREE LOGICIEL'!B42)</f>
        <v>Ratio Electricité - GE2.1 - 282 - T4 - 78m²</v>
      </c>
      <c r="C43" s="374">
        <f>(F43-E43)/'0_ENTREE LOGICIEL'!F42</f>
        <v>0.3336538461538473</v>
      </c>
      <c r="D43" s="374">
        <f>VLOOKUP(A43,'1_Valeur_Référence'!$A$77:$BB$125,$C$7,0)</f>
        <v>0.3336538461538473</v>
      </c>
      <c r="E43" s="168">
        <f>'0_ENTREE LOGICIEL'!M42</f>
        <v>642.15599999999995</v>
      </c>
      <c r="F43" s="169">
        <f>'0_ENTREE LOGICIEL'!N42</f>
        <v>668.18100000000004</v>
      </c>
      <c r="G43" s="13"/>
      <c r="I43" s="89">
        <f>$C$13/'0_ENTREE LOGICIEL'!$F42</f>
        <v>0.67209072978303741</v>
      </c>
    </row>
    <row r="44" spans="1:9" x14ac:dyDescent="0.25">
      <c r="A44" s="365">
        <v>19</v>
      </c>
      <c r="B44" s="40" t="str">
        <f>CONCATENATE("Ratio Electricité - ",'0_ENTREE LOGICIEL'!B43)</f>
        <v>Ratio Electricité - GE2.1 - 292 - T3 - 63m²</v>
      </c>
      <c r="C44" s="374">
        <f>(F44-E44)/'0_ENTREE LOGICIEL'!F43</f>
        <v>0.51390476190476153</v>
      </c>
      <c r="D44" s="374">
        <f>VLOOKUP(A44,'1_Valeur_Référence'!$A$77:$BB$125,$C$7,0)</f>
        <v>0.51390476190476153</v>
      </c>
      <c r="E44" s="168">
        <f>'0_ENTREE LOGICIEL'!M43</f>
        <v>745.93799999999999</v>
      </c>
      <c r="F44" s="169">
        <f>'0_ENTREE LOGICIEL'!N43</f>
        <v>778.31399999999996</v>
      </c>
      <c r="G44" s="13"/>
      <c r="I44" s="89">
        <f>$C$13/'0_ENTREE LOGICIEL'!$F43</f>
        <v>0.83211233211233204</v>
      </c>
    </row>
    <row r="45" spans="1:9" x14ac:dyDescent="0.25">
      <c r="A45" s="365">
        <v>20</v>
      </c>
      <c r="B45" s="40" t="str">
        <f>CONCATENATE("Ratio Electricité - ",'0_ENTREE LOGICIEL'!B44)</f>
        <v>Ratio Electricité - GE2.1 - 293 - T3 - 63m²</v>
      </c>
      <c r="C45" s="374">
        <f>(F45-E45)/'0_ENTREE LOGICIEL'!F44</f>
        <v>0.39069841269841232</v>
      </c>
      <c r="D45" s="374">
        <f>VLOOKUP(A45,'1_Valeur_Référence'!$A$77:$BB$125,$C$7,0)</f>
        <v>0.39069841269841232</v>
      </c>
      <c r="E45" s="168">
        <f>'0_ENTREE LOGICIEL'!M44</f>
        <v>390.31400000000002</v>
      </c>
      <c r="F45" s="169">
        <f>'0_ENTREE LOGICIEL'!N44</f>
        <v>414.928</v>
      </c>
      <c r="G45" s="13"/>
      <c r="I45" s="89">
        <f>$C$13/'0_ENTREE LOGICIEL'!$F44</f>
        <v>0.83211233211233204</v>
      </c>
    </row>
    <row r="46" spans="1:9" x14ac:dyDescent="0.25">
      <c r="A46" s="365">
        <v>21</v>
      </c>
      <c r="B46" s="40" t="str">
        <f>CONCATENATE("Ratio Electricité - ",'0_ENTREE LOGICIEL'!B45)</f>
        <v>Ratio Electricité - GE2.1 - 295 - T3 - 63m²</v>
      </c>
      <c r="C46" s="374">
        <f>(F46-E46)/'0_ENTREE LOGICIEL'!F45</f>
        <v>0.60038095238095346</v>
      </c>
      <c r="D46" s="374">
        <f>VLOOKUP(A46,'1_Valeur_Référence'!$A$77:$BB$125,$C$7,0)</f>
        <v>0.60038095238095346</v>
      </c>
      <c r="E46" s="168">
        <f>'0_ENTREE LOGICIEL'!M45</f>
        <v>959.62099999999998</v>
      </c>
      <c r="F46" s="169">
        <f>'0_ENTREE LOGICIEL'!N45</f>
        <v>997.44500000000005</v>
      </c>
      <c r="G46" s="13"/>
      <c r="I46" s="89">
        <f>$C$13/'0_ENTREE LOGICIEL'!$F45</f>
        <v>0.83211233211233204</v>
      </c>
    </row>
    <row r="47" spans="1:9" x14ac:dyDescent="0.25">
      <c r="A47" s="365">
        <v>22</v>
      </c>
      <c r="B47" s="40" t="str">
        <f>CONCATENATE("Ratio Electricité - ",'0_ENTREE LOGICIEL'!B46)</f>
        <v>Ratio Electricité - GE2.1 - 296 - T4 - 78m²</v>
      </c>
      <c r="C47" s="374">
        <f>(F47-E47)/'0_ENTREE LOGICIEL'!F46</f>
        <v>0.27103846153846106</v>
      </c>
      <c r="D47" s="374">
        <f>VLOOKUP(A47,'1_Valeur_Référence'!$A$77:$BB$125,$C$7,0)</f>
        <v>0.27103846153846106</v>
      </c>
      <c r="E47" s="168">
        <f>'0_ENTREE LOGICIEL'!M46</f>
        <v>602.80600000000004</v>
      </c>
      <c r="F47" s="169">
        <f>'0_ENTREE LOGICIEL'!N46</f>
        <v>623.947</v>
      </c>
      <c r="G47" s="13"/>
      <c r="I47" s="89">
        <f>$C$13/'0_ENTREE LOGICIEL'!$F46</f>
        <v>0.67209072978303741</v>
      </c>
    </row>
    <row r="48" spans="1:9" x14ac:dyDescent="0.25">
      <c r="A48" s="365">
        <v>23</v>
      </c>
      <c r="B48" s="40" t="str">
        <f>CONCATENATE("Ratio Electricité - ",'0_ENTREE LOGICIEL'!B47)</f>
        <v>Ratio Electricité - GE2.1 - 297 - T4 - 79m²</v>
      </c>
      <c r="C48" s="374">
        <f>(F48-E48)/'0_ENTREE LOGICIEL'!F47</f>
        <v>0.78700000000000003</v>
      </c>
      <c r="D48" s="374">
        <f>VLOOKUP(A48,'1_Valeur_Référence'!$A$77:$BB$125,$C$7,0)</f>
        <v>0.78700000000000003</v>
      </c>
      <c r="E48" s="168">
        <f>'0_ENTREE LOGICIEL'!M47</f>
        <v>1520.8689999999999</v>
      </c>
      <c r="F48" s="169">
        <f>'0_ENTREE LOGICIEL'!N47</f>
        <v>1583.0419999999999</v>
      </c>
      <c r="G48" s="13"/>
      <c r="I48" s="89">
        <f>$C$13/'0_ENTREE LOGICIEL'!$F47</f>
        <v>0.66358325219084713</v>
      </c>
    </row>
    <row r="49" spans="1:9" x14ac:dyDescent="0.25">
      <c r="A49" s="365">
        <v>24</v>
      </c>
      <c r="B49" s="40" t="str">
        <f>CONCATENATE("Ratio Electricité - ",'0_ENTREE LOGICIEL'!B48)</f>
        <v>Ratio Electricité - GE2.1 - 299 - T4 - 79m²</v>
      </c>
      <c r="C49" s="374">
        <f>(F49-E49)/'0_ENTREE LOGICIEL'!F48</f>
        <v>0.36330379746835473</v>
      </c>
      <c r="D49" s="374">
        <f>VLOOKUP(A49,'1_Valeur_Référence'!$A$77:$BB$125,$C$7,0)</f>
        <v>0.36330379746835473</v>
      </c>
      <c r="E49" s="168">
        <f>'0_ENTREE LOGICIEL'!M48</f>
        <v>780.35699999999997</v>
      </c>
      <c r="F49" s="169">
        <f>'0_ENTREE LOGICIEL'!N48</f>
        <v>809.05799999999999</v>
      </c>
      <c r="G49" s="13"/>
      <c r="I49" s="89">
        <f>$C$13/'0_ENTREE LOGICIEL'!$F48</f>
        <v>0.66358325219084713</v>
      </c>
    </row>
    <row r="50" spans="1:9" x14ac:dyDescent="0.25">
      <c r="A50" s="365">
        <v>25</v>
      </c>
      <c r="B50" s="40" t="str">
        <f>CONCATENATE("Ratio Electricité - ",'0_ENTREE LOGICIEL'!B49)</f>
        <v>Ratio Electricité - GE2.1 - 300 - T5 - 93m²</v>
      </c>
      <c r="C50" s="374">
        <f>(F50-E50)/'0_ENTREE LOGICIEL'!F49</f>
        <v>0.72027956989247177</v>
      </c>
      <c r="D50" s="374">
        <f>VLOOKUP(A50,'1_Valeur_Référence'!$A$77:$BB$125,$C$7,0)</f>
        <v>0.72027956989247177</v>
      </c>
      <c r="E50" s="168">
        <f>'0_ENTREE LOGICIEL'!M49</f>
        <v>1345.7850000000001</v>
      </c>
      <c r="F50" s="169">
        <f>'0_ENTREE LOGICIEL'!N49</f>
        <v>1412.771</v>
      </c>
      <c r="G50" s="13"/>
      <c r="I50" s="89">
        <f>$C$13/'0_ENTREE LOGICIEL'!$F49</f>
        <v>0.56368899917287008</v>
      </c>
    </row>
    <row r="51" spans="1:9" x14ac:dyDescent="0.25">
      <c r="A51" s="365">
        <v>26</v>
      </c>
      <c r="B51" s="40" t="str">
        <f>CONCATENATE("Ratio Electricité - ",'0_ENTREE LOGICIEL'!B50)</f>
        <v>Ratio Electricité - GE2.1 - 302 - T5 - 93m²</v>
      </c>
      <c r="C51" s="374">
        <f>(F51-E51)/'0_ENTREE LOGICIEL'!F50</f>
        <v>0.46965591397849338</v>
      </c>
      <c r="D51" s="374">
        <f>VLOOKUP(A51,'1_Valeur_Référence'!$A$77:$BB$125,$C$7,0)</f>
        <v>0.46965591397849338</v>
      </c>
      <c r="E51" s="168">
        <f>'0_ENTREE LOGICIEL'!M50</f>
        <v>1180.5830000000001</v>
      </c>
      <c r="F51" s="169">
        <f>'0_ENTREE LOGICIEL'!N50</f>
        <v>1224.261</v>
      </c>
      <c r="G51" s="13"/>
      <c r="I51" s="89">
        <f>$C$13/'0_ENTREE LOGICIEL'!$F50</f>
        <v>0.56368899917287008</v>
      </c>
    </row>
    <row r="52" spans="1:9" x14ac:dyDescent="0.25">
      <c r="A52" s="365">
        <v>27</v>
      </c>
      <c r="B52" s="40" t="str">
        <f>CONCATENATE("Ratio Electricité - ",'0_ENTREE LOGICIEL'!B51)</f>
        <v>Ratio Electricité - GE2.1 - 312 - T4 - 75m²</v>
      </c>
      <c r="C52" s="374">
        <f>(F52-E52)/'0_ENTREE LOGICIEL'!F51</f>
        <v>0.55522666666666431</v>
      </c>
      <c r="D52" s="374">
        <f>VLOOKUP(A52,'1_Valeur_Référence'!$A$77:$BB$125,$C$7,0)</f>
        <v>0.55522666666666431</v>
      </c>
      <c r="E52" s="168">
        <f>'0_ENTREE LOGICIEL'!M51</f>
        <v>30505.868999999999</v>
      </c>
      <c r="F52" s="169">
        <f>'0_ENTREE LOGICIEL'!N51</f>
        <v>30547.510999999999</v>
      </c>
      <c r="G52" s="13"/>
      <c r="I52" s="89">
        <f>$C$13/'0_ENTREE LOGICIEL'!$F51</f>
        <v>0.69897435897435889</v>
      </c>
    </row>
    <row r="53" spans="1:9" s="51" customFormat="1" ht="13.5" thickBot="1" x14ac:dyDescent="0.3">
      <c r="A53" s="365">
        <v>28</v>
      </c>
      <c r="B53" s="371" t="str">
        <f>CONCATENATE("Ratio Electricité - ",'0_ENTREE LOGICIEL'!B52)</f>
        <v>Ratio Electricité - MOYENNE GE2.1</v>
      </c>
      <c r="C53" s="375">
        <f>AVERAGE(C40:C52)</f>
        <v>0.44491652205118071</v>
      </c>
      <c r="D53" s="375">
        <f t="shared" ref="D53" si="1">AVERAGE(D40:D52)</f>
        <v>0.44491652205118071</v>
      </c>
      <c r="E53" s="369"/>
      <c r="F53" s="370"/>
      <c r="G53" s="31"/>
      <c r="I53" s="90">
        <f>AVERAGE(I40:I52)</f>
        <v>0.72434226340211505</v>
      </c>
    </row>
    <row r="54" spans="1:9" x14ac:dyDescent="0.25">
      <c r="A54" s="365">
        <v>29</v>
      </c>
      <c r="B54" s="54" t="str">
        <f>CONCATENATE("Ratio Electricité - ",'0_ENTREE LOGICIEL'!B53)</f>
        <v>Ratio Electricité - GE2.2 - 271 - T3 - 74m²</v>
      </c>
      <c r="C54" s="376">
        <f>(F54-E54)/'0_ENTREE LOGICIEL'!F53</f>
        <v>0.36048648648648557</v>
      </c>
      <c r="D54" s="376">
        <f>VLOOKUP(A54,'1_Valeur_Référence'!$A$77:$BB$125,$C$7,0)</f>
        <v>0.36048648648648557</v>
      </c>
      <c r="E54" s="170">
        <f>'0_ENTREE LOGICIEL'!M53</f>
        <v>658.45100000000002</v>
      </c>
      <c r="F54" s="171">
        <f>'0_ENTREE LOGICIEL'!N53</f>
        <v>685.12699999999995</v>
      </c>
      <c r="G54" s="13"/>
      <c r="I54" s="91">
        <f>$C$13/'0_ENTREE LOGICIEL'!$F53</f>
        <v>0.70841995841995842</v>
      </c>
    </row>
    <row r="55" spans="1:9" x14ac:dyDescent="0.25">
      <c r="A55" s="365">
        <v>30</v>
      </c>
      <c r="B55" s="40" t="str">
        <f>CONCATENATE("Ratio Electricité - ",'0_ENTREE LOGICIEL'!B54)</f>
        <v>Ratio Electricité - GE2.2 - 272 - T3 - 74m²</v>
      </c>
      <c r="C55" s="374">
        <f>(F55-E55)/'0_ENTREE LOGICIEL'!F54</f>
        <v>1.4495945945945943</v>
      </c>
      <c r="D55" s="374">
        <f>VLOOKUP(A55,'1_Valeur_Référence'!$A$77:$BB$125,$C$7,0)</f>
        <v>1.4495945945945943</v>
      </c>
      <c r="E55" s="168">
        <f>'0_ENTREE LOGICIEL'!M54</f>
        <v>2606.0630000000001</v>
      </c>
      <c r="F55" s="169">
        <f>'0_ENTREE LOGICIEL'!N54</f>
        <v>2713.3330000000001</v>
      </c>
      <c r="G55" s="13"/>
      <c r="I55" s="89">
        <f>$C$13/'0_ENTREE LOGICIEL'!$F54</f>
        <v>0.70841995841995842</v>
      </c>
    </row>
    <row r="56" spans="1:9" x14ac:dyDescent="0.25">
      <c r="A56" s="365">
        <v>31</v>
      </c>
      <c r="B56" s="40" t="str">
        <f>CONCATENATE("Ratio Electricité - ",'0_ENTREE LOGICIEL'!B55)</f>
        <v>Ratio Electricité - GE2.2 - 273 - T3 - 74m²</v>
      </c>
      <c r="C56" s="374">
        <f>(F56-E56)/'0_ENTREE LOGICIEL'!F55</f>
        <v>0.79736486486486324</v>
      </c>
      <c r="D56" s="374">
        <f>VLOOKUP(A56,'1_Valeur_Référence'!$A$77:$BB$125,$C$7,0)</f>
        <v>0.79736486486486324</v>
      </c>
      <c r="E56" s="168">
        <f>'0_ENTREE LOGICIEL'!M55</f>
        <v>1301.403</v>
      </c>
      <c r="F56" s="169">
        <f>'0_ENTREE LOGICIEL'!N55</f>
        <v>1360.4079999999999</v>
      </c>
      <c r="G56" s="13"/>
      <c r="I56" s="89">
        <f>$C$13/'0_ENTREE LOGICIEL'!$F55</f>
        <v>0.70841995841995842</v>
      </c>
    </row>
    <row r="57" spans="1:9" x14ac:dyDescent="0.25">
      <c r="A57" s="365">
        <v>32</v>
      </c>
      <c r="B57" s="40" t="str">
        <f>CONCATENATE("Ratio Electricité - ",'0_ENTREE LOGICIEL'!B56)</f>
        <v>Ratio Electricité - GE2.2 - 276 - T4 - 83m²</v>
      </c>
      <c r="C57" s="374">
        <f>(F57-E57)/'0_ENTREE LOGICIEL'!F56</f>
        <v>0.96987951807228912</v>
      </c>
      <c r="D57" s="374">
        <f>VLOOKUP(A57,'1_Valeur_Référence'!$A$77:$BB$125,$C$7,0)</f>
        <v>0.96987951807228912</v>
      </c>
      <c r="E57" s="168">
        <f>'0_ENTREE LOGICIEL'!M56</f>
        <v>1806.1479999999999</v>
      </c>
      <c r="F57" s="169">
        <f>'0_ENTREE LOGICIEL'!N56</f>
        <v>1886.6479999999999</v>
      </c>
      <c r="G57" s="13"/>
      <c r="I57" s="89">
        <f>$C$13/'0_ENTREE LOGICIEL'!$F56</f>
        <v>0.63160333642261346</v>
      </c>
    </row>
    <row r="58" spans="1:9" x14ac:dyDescent="0.25">
      <c r="A58" s="365">
        <v>33</v>
      </c>
      <c r="B58" s="40" t="str">
        <f>CONCATENATE("Ratio Electricité - ",'0_ENTREE LOGICIEL'!B57)</f>
        <v>Ratio Electricité - GE2.2 - 279 - T3 - 70m²</v>
      </c>
      <c r="C58" s="374">
        <f>(F58-E58)/'0_ENTREE LOGICIEL'!F57</f>
        <v>0.68985714285714239</v>
      </c>
      <c r="D58" s="374">
        <f>VLOOKUP(A58,'1_Valeur_Référence'!$A$77:$BB$125,$C$7,0)</f>
        <v>0.68985714285714239</v>
      </c>
      <c r="E58" s="168">
        <f>'0_ENTREE LOGICIEL'!M57</f>
        <v>946.49400000000003</v>
      </c>
      <c r="F58" s="169">
        <f>'0_ENTREE LOGICIEL'!N57</f>
        <v>994.78399999999999</v>
      </c>
      <c r="G58" s="13"/>
      <c r="I58" s="89">
        <f>$C$13/'0_ENTREE LOGICIEL'!$F57</f>
        <v>0.74890109890109891</v>
      </c>
    </row>
    <row r="59" spans="1:9" x14ac:dyDescent="0.25">
      <c r="A59" s="365">
        <v>34</v>
      </c>
      <c r="B59" s="40" t="str">
        <f>CONCATENATE("Ratio Electricité - ",'0_ENTREE LOGICIEL'!B58)</f>
        <v>Ratio Electricité - GE2.2 - 288 - T3 - 68m²</v>
      </c>
      <c r="C59" s="374">
        <f>(F59-E59)/'0_ENTREE LOGICIEL'!F58</f>
        <v>0.49985294117647072</v>
      </c>
      <c r="D59" s="374">
        <f>VLOOKUP(A59,'1_Valeur_Référence'!$A$77:$BB$125,$C$7,0)</f>
        <v>0.49985294117647072</v>
      </c>
      <c r="E59" s="168">
        <f>'0_ENTREE LOGICIEL'!M58</f>
        <v>632.327</v>
      </c>
      <c r="F59" s="169">
        <f>'0_ENTREE LOGICIEL'!N58</f>
        <v>666.31700000000001</v>
      </c>
      <c r="G59" s="13"/>
      <c r="I59" s="89">
        <f>$C$13/'0_ENTREE LOGICIEL'!$F58</f>
        <v>0.77092760180995468</v>
      </c>
    </row>
    <row r="60" spans="1:9" x14ac:dyDescent="0.25">
      <c r="A60" s="365">
        <v>35</v>
      </c>
      <c r="B60" s="40" t="str">
        <f>CONCATENATE("Ratio Electricité - ",'0_ENTREE LOGICIEL'!B59)</f>
        <v>Ratio Electricité - GE2.2 - 291 - T3 - 62m²</v>
      </c>
      <c r="C60" s="374">
        <f>(F60-E60)/'0_ENTREE LOGICIEL'!F59</f>
        <v>0.20582258064516076</v>
      </c>
      <c r="D60" s="374">
        <f>VLOOKUP(A60,'1_Valeur_Référence'!$A$77:$BB$125,$C$7,0)</f>
        <v>0.20582258064516076</v>
      </c>
      <c r="E60" s="168">
        <f>'0_ENTREE LOGICIEL'!M59</f>
        <v>1219.8530000000001</v>
      </c>
      <c r="F60" s="169">
        <f>'0_ENTREE LOGICIEL'!N59</f>
        <v>1232.614</v>
      </c>
      <c r="G60" s="13"/>
      <c r="I60" s="89">
        <f>$C$13/'0_ENTREE LOGICIEL'!$F59</f>
        <v>0.84553349875930517</v>
      </c>
    </row>
    <row r="61" spans="1:9" x14ac:dyDescent="0.25">
      <c r="A61" s="365">
        <v>36</v>
      </c>
      <c r="B61" s="40" t="str">
        <f>CONCATENATE("Ratio Electricité - ",'0_ENTREE LOGICIEL'!B60)</f>
        <v>Ratio Electricité - GE2.2 - 294 - T3 - 63m²</v>
      </c>
      <c r="C61" s="374">
        <f>(F61-E61)/'0_ENTREE LOGICIEL'!F60</f>
        <v>0.74509523809523492</v>
      </c>
      <c r="D61" s="374">
        <f>VLOOKUP(A61,'1_Valeur_Référence'!$A$77:$BB$125,$C$7,0)</f>
        <v>0.74509523809523492</v>
      </c>
      <c r="E61" s="168">
        <f>'0_ENTREE LOGICIEL'!M60</f>
        <v>2942.777</v>
      </c>
      <c r="F61" s="169">
        <f>'0_ENTREE LOGICIEL'!N60</f>
        <v>2989.7179999999998</v>
      </c>
      <c r="G61" s="13"/>
      <c r="I61" s="89">
        <f>$C$13/'0_ENTREE LOGICIEL'!$F60</f>
        <v>0.83211233211233204</v>
      </c>
    </row>
    <row r="62" spans="1:9" x14ac:dyDescent="0.25">
      <c r="A62" s="365">
        <v>37</v>
      </c>
      <c r="B62" s="40" t="str">
        <f>CONCATENATE("Ratio Electricité - ",'0_ENTREE LOGICIEL'!B61)</f>
        <v>Ratio Electricité - GE2.2 - 298 - T5 - 93m²</v>
      </c>
      <c r="C62" s="374">
        <f>(F62-E62)/'0_ENTREE LOGICIEL'!F61</f>
        <v>0.76554838709677331</v>
      </c>
      <c r="D62" s="374">
        <f>VLOOKUP(A62,'1_Valeur_Référence'!$A$77:$BB$125,$C$7,0)</f>
        <v>0.76554838709677331</v>
      </c>
      <c r="E62" s="168">
        <f>'0_ENTREE LOGICIEL'!M61</f>
        <v>1665.51</v>
      </c>
      <c r="F62" s="169">
        <f>'0_ENTREE LOGICIEL'!N61</f>
        <v>1736.7059999999999</v>
      </c>
      <c r="G62" s="13"/>
      <c r="I62" s="89">
        <f>$C$13/'0_ENTREE LOGICIEL'!$F61</f>
        <v>0.56368899917287008</v>
      </c>
    </row>
    <row r="63" spans="1:9" x14ac:dyDescent="0.25">
      <c r="A63" s="365">
        <v>38</v>
      </c>
      <c r="B63" s="40" t="str">
        <f>CONCATENATE("Ratio Electricité - ",'0_ENTREE LOGICIEL'!B62)</f>
        <v>Ratio Electricité - GE2.2 - 301 - T4 - 79m²</v>
      </c>
      <c r="C63" s="374">
        <f>(F63-E63)/'0_ENTREE LOGICIEL'!F62</f>
        <v>0.89856962025316267</v>
      </c>
      <c r="D63" s="374">
        <f>VLOOKUP(A63,'1_Valeur_Référence'!$A$77:$BB$125,$C$7,0)</f>
        <v>0.89856962025316267</v>
      </c>
      <c r="E63" s="168">
        <f>'0_ENTREE LOGICIEL'!M62</f>
        <v>1680.4680000000001</v>
      </c>
      <c r="F63" s="169">
        <f>'0_ENTREE LOGICIEL'!N62</f>
        <v>1751.4549999999999</v>
      </c>
      <c r="G63" s="13"/>
      <c r="I63" s="89">
        <f>$C$13/'0_ENTREE LOGICIEL'!$F62</f>
        <v>0.66358325219084713</v>
      </c>
    </row>
    <row r="64" spans="1:9" x14ac:dyDescent="0.25">
      <c r="A64" s="365">
        <v>39</v>
      </c>
      <c r="B64" s="40" t="str">
        <f>CONCATENATE("Ratio Electricité - ",'0_ENTREE LOGICIEL'!B63)</f>
        <v>Ratio Electricité - GE2.2 - 311 - T4 - 74m²</v>
      </c>
      <c r="C64" s="374">
        <f>(F64-E64)/'0_ENTREE LOGICIEL'!F63</f>
        <v>0.4733243243243237</v>
      </c>
      <c r="D64" s="374">
        <f>VLOOKUP(A64,'1_Valeur_Référence'!$A$77:$BB$125,$C$7,0)</f>
        <v>0.4733243243243237</v>
      </c>
      <c r="E64" s="168">
        <f>'0_ENTREE LOGICIEL'!M63</f>
        <v>846.30799999999999</v>
      </c>
      <c r="F64" s="169">
        <f>'0_ENTREE LOGICIEL'!N63</f>
        <v>881.33399999999995</v>
      </c>
      <c r="G64" s="13"/>
      <c r="I64" s="89">
        <f>$C$13/'0_ENTREE LOGICIEL'!$F63</f>
        <v>0.70841995841995842</v>
      </c>
    </row>
    <row r="65" spans="1:20" x14ac:dyDescent="0.25">
      <c r="A65" s="365">
        <v>40</v>
      </c>
      <c r="B65" s="40" t="str">
        <f>CONCATENATE("Ratio Electricité - ",'0_ENTREE LOGICIEL'!B64)</f>
        <v>Ratio Electricité - GE2.2 - 313 - T4 - 75m²</v>
      </c>
      <c r="C65" s="374">
        <f>(F65-E65)/'0_ENTREE LOGICIEL'!F64</f>
        <v>0.36859999999999976</v>
      </c>
      <c r="D65" s="374">
        <f>VLOOKUP(A65,'1_Valeur_Référence'!$A$77:$BB$125,$C$7,0)</f>
        <v>0.36859999999999976</v>
      </c>
      <c r="E65" s="168">
        <f>'0_ENTREE LOGICIEL'!M64</f>
        <v>699.27499999999998</v>
      </c>
      <c r="F65" s="169">
        <f>'0_ENTREE LOGICIEL'!N64</f>
        <v>726.92</v>
      </c>
      <c r="G65" s="13"/>
      <c r="I65" s="89">
        <f>$C$13/'0_ENTREE LOGICIEL'!$F64</f>
        <v>0.69897435897435889</v>
      </c>
    </row>
    <row r="66" spans="1:20" x14ac:dyDescent="0.25">
      <c r="A66" s="365">
        <v>41</v>
      </c>
      <c r="B66" s="40" t="str">
        <f>CONCATENATE("Ratio Electricité - ",'0_ENTREE LOGICIEL'!B65)</f>
        <v>Ratio Electricité - GE2.2 - 315 - T4 - 75m²</v>
      </c>
      <c r="C66" s="374">
        <f>(F66-E66)/'0_ENTREE LOGICIEL'!F65</f>
        <v>0.65184000000000197</v>
      </c>
      <c r="D66" s="374">
        <f>VLOOKUP(A66,'1_Valeur_Référence'!$A$77:$BB$125,$C$7,0)</f>
        <v>0.65184000000000197</v>
      </c>
      <c r="E66" s="168">
        <f>'0_ENTREE LOGICIEL'!M65</f>
        <v>1093.8579999999999</v>
      </c>
      <c r="F66" s="169">
        <f>'0_ENTREE LOGICIEL'!N65</f>
        <v>1142.7460000000001</v>
      </c>
      <c r="G66" s="13"/>
      <c r="I66" s="89">
        <f>$C$13/'0_ENTREE LOGICIEL'!$F65</f>
        <v>0.69897435897435889</v>
      </c>
    </row>
    <row r="67" spans="1:20" s="51" customFormat="1" ht="13.5" thickBot="1" x14ac:dyDescent="0.3">
      <c r="A67" s="365">
        <v>42</v>
      </c>
      <c r="B67" s="371" t="str">
        <f>CONCATENATE("Ratio Electricité - ",'0_ENTREE LOGICIEL'!B66)</f>
        <v>Ratio Electricité - MOYENNE GE2.2</v>
      </c>
      <c r="C67" s="375">
        <f>AVERAGE(C54:C66)</f>
        <v>0.68275659218973095</v>
      </c>
      <c r="D67" s="375">
        <f t="shared" ref="D67" si="2">AVERAGE(D54:D66)</f>
        <v>0.68275659218973095</v>
      </c>
      <c r="E67" s="369"/>
      <c r="F67" s="370"/>
      <c r="G67" s="31"/>
      <c r="I67" s="90">
        <f>AVERAGE(I54:I66)</f>
        <v>0.71445989776904406</v>
      </c>
    </row>
    <row r="68" spans="1:20" x14ac:dyDescent="0.25">
      <c r="A68" s="365">
        <v>43</v>
      </c>
      <c r="B68" s="54" t="str">
        <f>CONCATENATE("Ratio Electricité - ",'0_ENTREE LOGICIEL'!B67)</f>
        <v>Ratio Electricité - SO - 284 - T - 64m²</v>
      </c>
      <c r="C68" s="376">
        <f>(F68-E68)/'0_ENTREE LOGICIEL'!F67</f>
        <v>1.0108593750000026</v>
      </c>
      <c r="D68" s="376">
        <f>VLOOKUP(A68,'1_Valeur_Référence'!$A$77:$BB$125,$C$7,0)</f>
        <v>1.0108593750000026</v>
      </c>
      <c r="E68" s="170">
        <f>'0_ENTREE LOGICIEL'!M67</f>
        <v>2051.136</v>
      </c>
      <c r="F68" s="171">
        <f>'0_ENTREE LOGICIEL'!N67</f>
        <v>2115.8310000000001</v>
      </c>
      <c r="G68" s="13"/>
      <c r="I68" s="91">
        <f>$C$13/'0_ENTREE LOGICIEL'!$F67</f>
        <v>0.81911057692307687</v>
      </c>
    </row>
    <row r="69" spans="1:20" x14ac:dyDescent="0.25">
      <c r="A69" s="365">
        <v>44</v>
      </c>
      <c r="B69" s="40" t="str">
        <f>CONCATENATE("Ratio Electricité - ",'0_ENTREE LOGICIEL'!B68)</f>
        <v>Ratio Electricité - SO - 287 - T - 81m²</v>
      </c>
      <c r="C69" s="374">
        <f>(F69-E69)/'0_ENTREE LOGICIEL'!F68</f>
        <v>0.425765432098765</v>
      </c>
      <c r="D69" s="374">
        <f>VLOOKUP(A69,'1_Valeur_Référence'!$A$77:$BB$125,$C$7,0)</f>
        <v>0.425765432098765</v>
      </c>
      <c r="E69" s="168">
        <f>'0_ENTREE LOGICIEL'!M68</f>
        <v>973.36300000000006</v>
      </c>
      <c r="F69" s="169">
        <f>'0_ENTREE LOGICIEL'!N68</f>
        <v>1007.85</v>
      </c>
      <c r="G69" s="13"/>
      <c r="I69" s="89">
        <f>$C$13/'0_ENTREE LOGICIEL'!$F68</f>
        <v>0.64719848053181384</v>
      </c>
    </row>
    <row r="70" spans="1:20" x14ac:dyDescent="0.25">
      <c r="A70" s="365">
        <v>45</v>
      </c>
      <c r="B70" s="40" t="str">
        <f>CONCATENATE("Ratio Electricité - ",'0_ENTREE LOGICIEL'!B69)</f>
        <v>Ratio Electricité - SO - 290 - T - 40m²</v>
      </c>
      <c r="C70" s="374">
        <f>(F70-E70)/'0_ENTREE LOGICIEL'!F69</f>
        <v>0.58717500000000056</v>
      </c>
      <c r="D70" s="374">
        <f>VLOOKUP(A70,'1_Valeur_Référence'!$A$77:$BB$125,$C$7,0)</f>
        <v>0.58717500000000056</v>
      </c>
      <c r="E70" s="168">
        <f>'0_ENTREE LOGICIEL'!M69</f>
        <v>458.08499999999998</v>
      </c>
      <c r="F70" s="169">
        <f>'0_ENTREE LOGICIEL'!N69</f>
        <v>481.572</v>
      </c>
      <c r="G70" s="13"/>
      <c r="I70" s="89">
        <f>$C$13/'0_ENTREE LOGICIEL'!$F69</f>
        <v>1.3105769230769231</v>
      </c>
    </row>
    <row r="71" spans="1:20" x14ac:dyDescent="0.25">
      <c r="A71" s="365">
        <v>46</v>
      </c>
      <c r="B71" s="40" t="str">
        <f>CONCATENATE("Ratio Electricité - ",'0_ENTREE LOGICIEL'!B70)</f>
        <v>Ratio Electricité - SO - 305 - T - 66m²</v>
      </c>
      <c r="C71" s="374">
        <f>(F71-E71)/'0_ENTREE LOGICIEL'!F70</f>
        <v>0.56927272727272726</v>
      </c>
      <c r="D71" s="374">
        <f>VLOOKUP(A71,'1_Valeur_Référence'!$A$77:$BB$125,$C$7,0)</f>
        <v>0.56927272727272726</v>
      </c>
      <c r="E71" s="168">
        <f>'0_ENTREE LOGICIEL'!M70</f>
        <v>913.30100000000004</v>
      </c>
      <c r="F71" s="169">
        <f>'0_ENTREE LOGICIEL'!N70</f>
        <v>950.87300000000005</v>
      </c>
      <c r="G71" s="13"/>
      <c r="I71" s="89">
        <f>$C$13/'0_ENTREE LOGICIEL'!$F70</f>
        <v>0.79428904428904423</v>
      </c>
    </row>
    <row r="72" spans="1:20" x14ac:dyDescent="0.25">
      <c r="A72" s="365">
        <v>47</v>
      </c>
      <c r="B72" s="40" t="str">
        <f>CONCATENATE("Ratio Electricité - ",'0_ENTREE LOGICIEL'!B71)</f>
        <v>Ratio Electricité - SO - 309 - T - 66m²</v>
      </c>
      <c r="C72" s="374">
        <f>(F72-E72)/'0_ENTREE LOGICIEL'!F71</f>
        <v>0.33403030303030379</v>
      </c>
      <c r="D72" s="374">
        <f>VLOOKUP(A72,'1_Valeur_Référence'!$A$77:$BB$125,$C$7,0)</f>
        <v>0.33403030303030379</v>
      </c>
      <c r="E72" s="168">
        <f>'0_ENTREE LOGICIEL'!M71</f>
        <v>541.23599999999999</v>
      </c>
      <c r="F72" s="169">
        <f>'0_ENTREE LOGICIEL'!N71</f>
        <v>563.28200000000004</v>
      </c>
      <c r="G72" s="13"/>
      <c r="I72" s="89">
        <f>$C$13/'0_ENTREE LOGICIEL'!$F71</f>
        <v>0.79428904428904423</v>
      </c>
    </row>
    <row r="73" spans="1:20" x14ac:dyDescent="0.25">
      <c r="A73" s="365">
        <v>48</v>
      </c>
      <c r="B73" s="40" t="str">
        <f>CONCATENATE("Ratio Electricité - ",'0_ENTREE LOGICIEL'!B72)</f>
        <v>Ratio Electricité - SO - 310 - T - 54m²</v>
      </c>
      <c r="C73" s="374">
        <f>(F73-E73)/'0_ENTREE LOGICIEL'!F72</f>
        <v>1.0915000000000006</v>
      </c>
      <c r="D73" s="374">
        <f>VLOOKUP(A73,'1_Valeur_Référence'!$A$77:$BB$125,$C$7,0)</f>
        <v>1.0915000000000006</v>
      </c>
      <c r="E73" s="168">
        <f>'0_ENTREE LOGICIEL'!M72</f>
        <v>1309.354</v>
      </c>
      <c r="F73" s="169">
        <f>'0_ENTREE LOGICIEL'!N72</f>
        <v>1368.2950000000001</v>
      </c>
      <c r="G73" s="13"/>
      <c r="I73" s="89">
        <f>$C$13/'0_ENTREE LOGICIEL'!$F72</f>
        <v>0.97079772079772075</v>
      </c>
    </row>
    <row r="74" spans="1:20" s="51" customFormat="1" ht="13.5" thickBot="1" x14ac:dyDescent="0.3">
      <c r="A74" s="365">
        <v>49</v>
      </c>
      <c r="B74" s="371" t="str">
        <f>CONCATENATE("Ratio Electricité - ",'0_ENTREE LOGICIEL'!B73)</f>
        <v>Ratio Electricité - MOYENNE SO</v>
      </c>
      <c r="C74" s="375">
        <f>AVERAGE(C61:C73)</f>
        <v>0.66187207687392502</v>
      </c>
      <c r="D74" s="375">
        <f t="shared" ref="D74" si="3">AVERAGE(D61:D73)</f>
        <v>0.66187207687392502</v>
      </c>
      <c r="E74" s="369"/>
      <c r="F74" s="370"/>
      <c r="G74" s="31"/>
      <c r="I74" s="90">
        <f>AVERAGE(I61:I73)</f>
        <v>0.78588268827087637</v>
      </c>
    </row>
    <row r="75" spans="1:20" s="4" customFormat="1" x14ac:dyDescent="0.25">
      <c r="A75" s="208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20" s="4" customFormat="1" x14ac:dyDescent="0.25"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</sheetData>
  <mergeCells count="3">
    <mergeCell ref="A1:D1"/>
    <mergeCell ref="D3:F3"/>
    <mergeCell ref="G3:H3"/>
  </mergeCells>
  <hyperlinks>
    <hyperlink ref="E14" r:id="rId1"/>
  </hyperlinks>
  <pageMargins left="0.23622047244094491" right="0.23622047244094491" top="0.74803149606299213" bottom="0.74803149606299213" header="0.31496062992125984" footer="0.31496062992125984"/>
  <pageSetup paperSize="8" scale="79" orientation="landscape" r:id="rId2"/>
  <headerFooter>
    <oddFooter>&amp;L&amp;F&amp;CSOLAIR&amp;R&amp;A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T79"/>
  <sheetViews>
    <sheetView zoomScaleNormal="100" workbookViewId="0">
      <selection activeCell="A15" sqref="A15"/>
    </sheetView>
  </sheetViews>
  <sheetFormatPr baseColWidth="10" defaultRowHeight="12.75" x14ac:dyDescent="0.25"/>
  <cols>
    <col min="1" max="1" width="15.7109375" style="1" customWidth="1"/>
    <col min="2" max="2" width="40.7109375" style="1" customWidth="1"/>
    <col min="3" max="9" width="20.7109375" style="1" customWidth="1"/>
    <col min="10" max="12" width="15.7109375" style="1" customWidth="1"/>
    <col min="13" max="20" width="13.28515625" style="1" customWidth="1"/>
    <col min="21" max="21" width="18.5703125" style="1" customWidth="1"/>
    <col min="22" max="16384" width="11.42578125" style="1"/>
  </cols>
  <sheetData>
    <row r="1" spans="1:11" s="18" customFormat="1" ht="26.25" thickBot="1" x14ac:dyDescent="0.3">
      <c r="A1" s="466" t="str">
        <f>CONCATENATE("ENCERTICUS - ",B4," - ",B5," - ",B7)</f>
        <v>ENCERTICUS - Traitement données EAU - 2014 - S20</v>
      </c>
      <c r="B1" s="467"/>
      <c r="C1" s="467"/>
      <c r="D1" s="468"/>
      <c r="E1" s="28"/>
      <c r="F1" s="312" t="s">
        <v>94</v>
      </c>
      <c r="G1" s="173" t="s">
        <v>95</v>
      </c>
      <c r="H1" s="28"/>
      <c r="I1" s="28"/>
    </row>
    <row r="2" spans="1:11" s="18" customFormat="1" ht="13.5" thickBot="1" x14ac:dyDescent="0.3">
      <c r="E2" s="23"/>
      <c r="F2" s="13"/>
      <c r="G2" s="161"/>
      <c r="H2" s="13"/>
      <c r="I2" s="28"/>
    </row>
    <row r="3" spans="1:11" s="18" customFormat="1" x14ac:dyDescent="0.25">
      <c r="A3" s="137" t="s">
        <v>9</v>
      </c>
      <c r="B3" s="138" t="s">
        <v>10</v>
      </c>
      <c r="D3" s="469" t="s">
        <v>68</v>
      </c>
      <c r="E3" s="470"/>
      <c r="F3" s="471"/>
      <c r="G3" s="469" t="str">
        <f>CONCATENATE("Correction DJU - ",B6)</f>
        <v>Correction DJU - Mai</v>
      </c>
      <c r="H3" s="471"/>
      <c r="I3" s="28"/>
    </row>
    <row r="4" spans="1:11" s="18" customFormat="1" x14ac:dyDescent="0.25">
      <c r="A4" s="139" t="s">
        <v>11</v>
      </c>
      <c r="B4" s="140" t="s">
        <v>97</v>
      </c>
      <c r="C4" s="209" t="s">
        <v>160</v>
      </c>
      <c r="D4" s="145" t="s">
        <v>23</v>
      </c>
      <c r="E4" s="155">
        <f>'0_ENTREE LOGICIEL'!E4</f>
        <v>4.3452380952380958</v>
      </c>
      <c r="F4" s="147"/>
      <c r="G4" s="145" t="str">
        <f>'0_ENTREE LOGICIEL'!G4</f>
        <v>DJU REEL - 2014 - Mai</v>
      </c>
      <c r="H4" s="157">
        <f>'0_ENTREE LOGICIEL'!H4</f>
        <v>20</v>
      </c>
      <c r="I4" s="28"/>
    </row>
    <row r="5" spans="1:11" s="18" customFormat="1" ht="14.25" x14ac:dyDescent="0.25">
      <c r="A5" s="139" t="s">
        <v>40</v>
      </c>
      <c r="B5" s="147">
        <f>'0_ENTREE LOGICIEL'!B5</f>
        <v>2014</v>
      </c>
      <c r="C5" s="209"/>
      <c r="D5" s="145" t="s">
        <v>69</v>
      </c>
      <c r="E5" s="148">
        <f>'0_ENTREE LOGICIEL'!E5</f>
        <v>11.628</v>
      </c>
      <c r="F5" s="149" t="s">
        <v>33</v>
      </c>
      <c r="G5" s="145" t="str">
        <f>'0_ENTREE LOGICIEL'!G5</f>
        <v>DJU MODELE - Mai</v>
      </c>
      <c r="H5" s="157">
        <f>'0_ENTREE LOGICIEL'!H5</f>
        <v>7.2182795698924735</v>
      </c>
      <c r="I5" s="28"/>
    </row>
    <row r="6" spans="1:11" s="18" customFormat="1" x14ac:dyDescent="0.25">
      <c r="A6" s="139" t="s">
        <v>41</v>
      </c>
      <c r="B6" s="147" t="str">
        <f>'0_ENTREE LOGICIEL'!B6</f>
        <v>Mai</v>
      </c>
      <c r="C6" s="239">
        <f>'0_ENTREE LOGICIEL'!C6</f>
        <v>7</v>
      </c>
      <c r="D6" s="145" t="s">
        <v>69</v>
      </c>
      <c r="E6" s="156">
        <f>'0_ENTREE LOGICIEL'!E6</f>
        <v>0.9009009009009008</v>
      </c>
      <c r="F6" s="149" t="s">
        <v>15</v>
      </c>
      <c r="G6" s="145" t="str">
        <f>'0_ENTREE LOGICIEL'!G6</f>
        <v>DJU REF - 2013 - Mai</v>
      </c>
      <c r="H6" s="159">
        <f>'1_Valeur_Référence'!H6</f>
        <v>15.987096774193548</v>
      </c>
      <c r="I6" s="28"/>
    </row>
    <row r="7" spans="1:11" s="18" customFormat="1" x14ac:dyDescent="0.25">
      <c r="A7" s="139" t="s">
        <v>67</v>
      </c>
      <c r="B7" s="147" t="str">
        <f>'0_ENTREE LOGICIEL'!B7</f>
        <v>S20</v>
      </c>
      <c r="C7" s="239">
        <f>'0_ENTREE LOGICIEL'!C7</f>
        <v>22</v>
      </c>
      <c r="D7" s="150"/>
      <c r="E7" s="151"/>
      <c r="F7" s="152"/>
      <c r="G7" s="145"/>
      <c r="H7" s="149"/>
      <c r="I7" s="28"/>
    </row>
    <row r="8" spans="1:11" s="18" customFormat="1" ht="13.5" thickBot="1" x14ac:dyDescent="0.3">
      <c r="A8" s="141" t="s">
        <v>36</v>
      </c>
      <c r="B8" s="165" t="str">
        <f>'0_ENTREE LOGICIEL'!B8</f>
        <v>Semaine</v>
      </c>
      <c r="C8" s="209"/>
      <c r="D8" s="203" t="s">
        <v>157</v>
      </c>
      <c r="E8" s="204">
        <f>'0_ENTREE LOGICIEL'!E8</f>
        <v>1</v>
      </c>
      <c r="F8" s="154"/>
      <c r="G8" s="153"/>
      <c r="H8" s="158"/>
      <c r="I8" s="28"/>
    </row>
    <row r="9" spans="1:11" s="18" customFormat="1" ht="13.5" thickBot="1" x14ac:dyDescent="0.3">
      <c r="A9" s="4"/>
      <c r="B9" s="24"/>
      <c r="C9" s="29"/>
      <c r="D9" s="29"/>
      <c r="E9" s="29"/>
      <c r="F9" s="29"/>
      <c r="G9" s="29"/>
      <c r="H9" s="4"/>
      <c r="I9" s="30"/>
      <c r="J9" s="29"/>
      <c r="K9" s="29"/>
    </row>
    <row r="10" spans="1:11" s="19" customFormat="1" x14ac:dyDescent="0.25">
      <c r="B10" s="123"/>
      <c r="C10" s="124" t="s">
        <v>63</v>
      </c>
      <c r="D10" s="124" t="s">
        <v>66</v>
      </c>
      <c r="E10" s="125" t="s">
        <v>70</v>
      </c>
      <c r="H10" s="14"/>
      <c r="I10" s="26"/>
    </row>
    <row r="11" spans="1:11" s="18" customFormat="1" x14ac:dyDescent="0.25">
      <c r="B11" s="136" t="s">
        <v>58</v>
      </c>
      <c r="C11" s="130">
        <f>'0_ENTREE LOGICIEL'!C11</f>
        <v>20</v>
      </c>
      <c r="D11" s="131" t="s">
        <v>39</v>
      </c>
      <c r="E11" s="132"/>
      <c r="G11" s="13"/>
      <c r="H11" s="28"/>
      <c r="I11" s="28"/>
    </row>
    <row r="12" spans="1:11" s="18" customFormat="1" x14ac:dyDescent="0.25">
      <c r="B12" s="129" t="s">
        <v>57</v>
      </c>
      <c r="C12" s="134">
        <f>'0_ENTREE LOGICIEL'!C12</f>
        <v>7</v>
      </c>
      <c r="D12" s="133" t="s">
        <v>64</v>
      </c>
      <c r="E12" s="135"/>
      <c r="G12" s="13"/>
      <c r="H12" s="28"/>
      <c r="I12" s="28"/>
    </row>
    <row r="13" spans="1:11" s="18" customFormat="1" x14ac:dyDescent="0.25">
      <c r="B13" s="136" t="s">
        <v>60</v>
      </c>
      <c r="C13" s="162">
        <f>'0_ENTREE LOGICIEL'!C13</f>
        <v>52.42307692307692</v>
      </c>
      <c r="D13" s="131" t="s">
        <v>62</v>
      </c>
      <c r="E13" s="132" t="s">
        <v>24</v>
      </c>
      <c r="G13" s="13"/>
      <c r="H13" s="28"/>
      <c r="I13" s="28"/>
    </row>
    <row r="14" spans="1:11" s="18" customFormat="1" x14ac:dyDescent="0.25">
      <c r="B14" s="129" t="s">
        <v>61</v>
      </c>
      <c r="C14" s="134">
        <f>'0_ENTREE LOGICIEL'!C14</f>
        <v>1050</v>
      </c>
      <c r="D14" s="133" t="s">
        <v>65</v>
      </c>
      <c r="E14" s="160" t="s">
        <v>29</v>
      </c>
      <c r="G14" s="28"/>
      <c r="H14" s="28"/>
      <c r="I14" s="28"/>
    </row>
    <row r="15" spans="1:11" s="18" customFormat="1" ht="14.25" x14ac:dyDescent="0.25">
      <c r="B15" s="136" t="s">
        <v>59</v>
      </c>
      <c r="C15" s="162">
        <f>'0_ENTREE LOGICIEL'!C15</f>
        <v>45.111111111111107</v>
      </c>
      <c r="D15" s="131" t="s">
        <v>34</v>
      </c>
      <c r="E15" s="132" t="s">
        <v>37</v>
      </c>
      <c r="G15" s="28"/>
      <c r="H15" s="28"/>
      <c r="I15" s="28"/>
    </row>
    <row r="16" spans="1:11" ht="14.25" x14ac:dyDescent="0.25">
      <c r="B16" s="129" t="s">
        <v>91</v>
      </c>
      <c r="C16" s="163">
        <f>'0_ENTREE LOGICIEL'!C16</f>
        <v>0.52500000000000002</v>
      </c>
      <c r="D16" s="133" t="s">
        <v>73</v>
      </c>
      <c r="E16" s="135"/>
    </row>
    <row r="17" spans="1:14" x14ac:dyDescent="0.25">
      <c r="A17" s="13"/>
      <c r="B17" s="16"/>
      <c r="C17" s="13"/>
      <c r="D17" s="22"/>
      <c r="G17" s="9"/>
      <c r="H17" s="9"/>
      <c r="I17" s="9"/>
      <c r="J17" s="9"/>
      <c r="K17" s="9"/>
      <c r="L17" s="9"/>
      <c r="M17" s="10"/>
      <c r="N17" s="8"/>
    </row>
    <row r="18" spans="1:14" x14ac:dyDescent="0.25">
      <c r="A18" s="13"/>
      <c r="B18" s="16"/>
      <c r="C18" s="13"/>
      <c r="D18" s="22"/>
      <c r="G18" s="9"/>
      <c r="H18" s="9"/>
      <c r="I18" s="9"/>
      <c r="J18" s="9"/>
      <c r="K18" s="9"/>
      <c r="L18" s="9"/>
      <c r="M18" s="10"/>
      <c r="N18" s="8"/>
    </row>
    <row r="19" spans="1:14" x14ac:dyDescent="0.25">
      <c r="A19" s="13"/>
      <c r="B19" s="16"/>
      <c r="C19" s="13"/>
      <c r="D19" s="22"/>
      <c r="G19" s="9"/>
      <c r="H19" s="9"/>
      <c r="I19" s="9"/>
      <c r="J19" s="9"/>
      <c r="K19" s="9"/>
      <c r="L19" s="9"/>
      <c r="M19" s="10"/>
      <c r="N19" s="8"/>
    </row>
    <row r="20" spans="1:14" x14ac:dyDescent="0.25">
      <c r="A20" s="13"/>
      <c r="B20" s="378" t="s">
        <v>265</v>
      </c>
      <c r="C20" s="13"/>
      <c r="D20" s="22"/>
      <c r="G20" s="9"/>
      <c r="H20" s="9"/>
      <c r="I20" s="9"/>
      <c r="J20" s="9"/>
      <c r="K20" s="9"/>
      <c r="L20" s="9"/>
      <c r="M20" s="10"/>
      <c r="N20" s="8"/>
    </row>
    <row r="21" spans="1:14" x14ac:dyDescent="0.25">
      <c r="A21" s="13"/>
      <c r="B21" s="16"/>
      <c r="C21" s="13"/>
      <c r="D21" s="22"/>
      <c r="G21" s="9"/>
      <c r="H21" s="9"/>
      <c r="I21" s="9"/>
      <c r="J21" s="9"/>
      <c r="K21" s="9"/>
      <c r="L21" s="9"/>
      <c r="M21" s="10"/>
      <c r="N21" s="8"/>
    </row>
    <row r="22" spans="1:14" x14ac:dyDescent="0.25">
      <c r="A22" s="13"/>
      <c r="B22" s="16"/>
      <c r="C22" s="13"/>
      <c r="D22" s="22"/>
      <c r="G22" s="9"/>
      <c r="H22" s="9"/>
      <c r="I22" s="9"/>
      <c r="J22" s="9"/>
      <c r="K22" s="9"/>
      <c r="L22" s="9"/>
      <c r="M22" s="10"/>
      <c r="N22" s="8"/>
    </row>
    <row r="23" spans="1:14" s="61" customFormat="1" ht="25.5" x14ac:dyDescent="0.25">
      <c r="A23" s="55"/>
      <c r="B23" s="453" t="s">
        <v>87</v>
      </c>
      <c r="C23" s="454" t="s">
        <v>27</v>
      </c>
      <c r="D23" s="455" t="s">
        <v>266</v>
      </c>
      <c r="E23" s="460" t="s">
        <v>30</v>
      </c>
      <c r="F23" s="461" t="s">
        <v>30</v>
      </c>
      <c r="G23" s="59" t="s">
        <v>77</v>
      </c>
      <c r="H23" s="60" t="s">
        <v>77</v>
      </c>
      <c r="L23" s="462" t="s">
        <v>31</v>
      </c>
    </row>
    <row r="24" spans="1:14" s="2" customFormat="1" ht="25.5" x14ac:dyDescent="0.25">
      <c r="A24" s="366" t="s">
        <v>159</v>
      </c>
      <c r="B24" s="456" t="s">
        <v>78</v>
      </c>
      <c r="C24" s="457" t="str">
        <f>CONCATENATE(C23," - ",B7)</f>
        <v>Ratio EAU - S20</v>
      </c>
      <c r="D24" s="458" t="str">
        <f>CONCATENATE(D23," - ",B7)</f>
        <v>Ratio EAU réf - S20</v>
      </c>
      <c r="E24" s="103" t="str">
        <f>'0_ENTREE LOGICIEL'!O23</f>
        <v>INDICE EAU
[N-1]</v>
      </c>
      <c r="F24" s="106" t="str">
        <f>'0_ENTREE LOGICIEL'!P23</f>
        <v>INDICE EAU
[N-1]</v>
      </c>
      <c r="G24" s="105" t="str">
        <f>'0_ENTREE LOGICIEL'!K23</f>
        <v>INDICE GDF [N-1]</v>
      </c>
      <c r="H24" s="106" t="str">
        <f>'0_ENTREE LOGICIEL'!L23</f>
        <v>INDICE GDF [N]</v>
      </c>
      <c r="L24" s="101" t="str">
        <f>CONCATENATE(L23," - ",$B$6)</f>
        <v>Ratio EAU type - Mai</v>
      </c>
    </row>
    <row r="25" spans="1:14" s="3" customFormat="1" ht="15" thickBot="1" x14ac:dyDescent="0.3">
      <c r="A25" s="367"/>
      <c r="B25" s="459"/>
      <c r="C25" s="438" t="s">
        <v>28</v>
      </c>
      <c r="D25" s="421" t="s">
        <v>28</v>
      </c>
      <c r="E25" s="107" t="s">
        <v>38</v>
      </c>
      <c r="F25" s="110" t="s">
        <v>38</v>
      </c>
      <c r="G25" s="109" t="s">
        <v>38</v>
      </c>
      <c r="H25" s="110" t="s">
        <v>38</v>
      </c>
      <c r="L25" s="102" t="s">
        <v>28</v>
      </c>
    </row>
    <row r="26" spans="1:14" x14ac:dyDescent="0.25">
      <c r="A26" s="368">
        <v>1</v>
      </c>
      <c r="B26" s="54" t="str">
        <f>CONCATENATE("Ratio Eau - ",'0_ENTREE LOGICIEL'!B25)</f>
        <v>Ratio Eau - GC - 274 - T4 - 83m²</v>
      </c>
      <c r="C26" s="379">
        <f>((F26-E26)*1000)/'0_ENTREE LOGICIEL'!$G25</f>
        <v>1085.9999999999986</v>
      </c>
      <c r="D26" s="380">
        <f>VLOOKUP(A26,'1_Valeur_Référence'!$A$130:$BB$179,$C$7,0)</f>
        <v>1085.9999999999986</v>
      </c>
      <c r="E26" s="212">
        <f>'0_ENTREE LOGICIEL'!O25</f>
        <v>31.789000000000001</v>
      </c>
      <c r="F26" s="114">
        <f>'0_ENTREE LOGICIEL'!P25</f>
        <v>33.960999999999999</v>
      </c>
      <c r="G26" s="212">
        <f>'2_Traitement_GAZ'!G26</f>
        <v>13.032</v>
      </c>
      <c r="H26" s="114">
        <f>'2_Traitement_GAZ'!H26</f>
        <v>13.776999999999999</v>
      </c>
      <c r="L26" s="96">
        <f t="shared" ref="L26:L38" si="0">$C$14</f>
        <v>1050</v>
      </c>
    </row>
    <row r="27" spans="1:14" x14ac:dyDescent="0.25">
      <c r="A27" s="368">
        <v>2</v>
      </c>
      <c r="B27" s="40" t="str">
        <f>CONCATENATE("Ratio Eau - ",'0_ENTREE LOGICIEL'!B26)</f>
        <v>Ratio Eau - GC - 277 - T2 - 53m²</v>
      </c>
      <c r="C27" s="381">
        <f>((F27-E27)*1000)/'0_ENTREE LOGICIEL'!$G26</f>
        <v>416.00000000000034</v>
      </c>
      <c r="D27" s="381">
        <f>VLOOKUP(A27,'1_Valeur_Référence'!$A$130:$BB$179,$C$7,0)</f>
        <v>416.00000000000034</v>
      </c>
      <c r="E27" s="213">
        <f>'0_ENTREE LOGICIEL'!O26</f>
        <v>19.869</v>
      </c>
      <c r="F27" s="118">
        <f>'0_ENTREE LOGICIEL'!P26</f>
        <v>20.285</v>
      </c>
      <c r="G27" s="213">
        <f>'2_Traitement_GAZ'!G27</f>
        <v>8.7949999999999999</v>
      </c>
      <c r="H27" s="118">
        <f>'2_Traitement_GAZ'!H27</f>
        <v>8.9469999999999992</v>
      </c>
      <c r="L27" s="97">
        <f t="shared" si="0"/>
        <v>1050</v>
      </c>
    </row>
    <row r="28" spans="1:14" x14ac:dyDescent="0.25">
      <c r="A28" s="368">
        <v>3</v>
      </c>
      <c r="B28" s="40" t="str">
        <f>CONCATENATE("Ratio Eau - ",'0_ENTREE LOGICIEL'!B27)</f>
        <v>Ratio Eau - GC - 281 - T3 - 71m²</v>
      </c>
      <c r="C28" s="381">
        <f>((F28-E28)*1000)/'0_ENTREE LOGICIEL'!$G27</f>
        <v>1325.4999999999982</v>
      </c>
      <c r="D28" s="381">
        <f>VLOOKUP(A28,'1_Valeur_Référence'!$A$130:$BB$179,$C$7,0)</f>
        <v>1325.4999999999982</v>
      </c>
      <c r="E28" s="213">
        <f>'0_ENTREE LOGICIEL'!O27</f>
        <v>38.837000000000003</v>
      </c>
      <c r="F28" s="118">
        <f>'0_ENTREE LOGICIEL'!P27</f>
        <v>41.488</v>
      </c>
      <c r="G28" s="213">
        <f>'2_Traitement_GAZ'!G28</f>
        <v>23.161000000000001</v>
      </c>
      <c r="H28" s="118">
        <f>'2_Traitement_GAZ'!H28</f>
        <v>24.751999999999999</v>
      </c>
      <c r="L28" s="97">
        <f t="shared" si="0"/>
        <v>1050</v>
      </c>
    </row>
    <row r="29" spans="1:14" x14ac:dyDescent="0.25">
      <c r="A29" s="368">
        <v>4</v>
      </c>
      <c r="B29" s="40" t="str">
        <f>CONCATENATE("Ratio Eau - ",'0_ENTREE LOGICIEL'!B28)</f>
        <v>Ratio Eau - GC - 283 - T3 - 70m²</v>
      </c>
      <c r="C29" s="381">
        <f>((F29-E29)*1000)/'0_ENTREE LOGICIEL'!$G28</f>
        <v>549.99999999999898</v>
      </c>
      <c r="D29" s="381">
        <f>VLOOKUP(A29,'1_Valeur_Référence'!$A$130:$BB$179,$C$7,0)</f>
        <v>549.99999999999898</v>
      </c>
      <c r="E29" s="213">
        <f>'0_ENTREE LOGICIEL'!O28</f>
        <v>18.888000000000002</v>
      </c>
      <c r="F29" s="118">
        <f>'0_ENTREE LOGICIEL'!P28</f>
        <v>19.988</v>
      </c>
      <c r="G29" s="213">
        <f>'2_Traitement_GAZ'!G29</f>
        <v>6.6890000000000001</v>
      </c>
      <c r="H29" s="118">
        <f>'2_Traitement_GAZ'!H29</f>
        <v>7.0279999999999996</v>
      </c>
      <c r="L29" s="97">
        <f t="shared" si="0"/>
        <v>1050</v>
      </c>
    </row>
    <row r="30" spans="1:14" x14ac:dyDescent="0.25">
      <c r="A30" s="368">
        <v>5</v>
      </c>
      <c r="B30" s="40" t="str">
        <f>CONCATENATE("Ratio Eau - ",'0_ENTREE LOGICIEL'!B29)</f>
        <v>Ratio Eau - GC - 285 - T3 - 64m²</v>
      </c>
      <c r="C30" s="381">
        <f>((F30-E30)*1000)/'0_ENTREE LOGICIEL'!$G29</f>
        <v>419.33333333333303</v>
      </c>
      <c r="D30" s="381">
        <f>VLOOKUP(A30,'1_Valeur_Référence'!$A$130:$BB$179,$C$7,0)</f>
        <v>419.33333333333303</v>
      </c>
      <c r="E30" s="213">
        <f>'0_ENTREE LOGICIEL'!O29</f>
        <v>19.632000000000001</v>
      </c>
      <c r="F30" s="118">
        <f>'0_ENTREE LOGICIEL'!P29</f>
        <v>20.89</v>
      </c>
      <c r="G30" s="213">
        <f>'2_Traitement_GAZ'!G30</f>
        <v>999994.45499999996</v>
      </c>
      <c r="H30" s="118">
        <f>'2_Traitement_GAZ'!H30</f>
        <v>999994.12899999996</v>
      </c>
      <c r="L30" s="97">
        <f t="shared" si="0"/>
        <v>1050</v>
      </c>
    </row>
    <row r="31" spans="1:14" x14ac:dyDescent="0.25">
      <c r="A31" s="368">
        <v>6</v>
      </c>
      <c r="B31" s="40" t="str">
        <f>CONCATENATE("Ratio Eau - ",'0_ENTREE LOGICIEL'!B30)</f>
        <v>Ratio Eau - GC - 286 - T3 - 68m²</v>
      </c>
      <c r="C31" s="381">
        <f>((F31-E31)*1000)/'0_ENTREE LOGICIEL'!$G30</f>
        <v>898.33333333333348</v>
      </c>
      <c r="D31" s="381">
        <f>VLOOKUP(A31,'1_Valeur_Référence'!$A$130:$BB$179,$C$7,0)</f>
        <v>898.33333333333348</v>
      </c>
      <c r="E31" s="213">
        <f>'0_ENTREE LOGICIEL'!O30</f>
        <v>57.795000000000002</v>
      </c>
      <c r="F31" s="118">
        <f>'0_ENTREE LOGICIEL'!P30</f>
        <v>60.49</v>
      </c>
      <c r="G31" s="213">
        <f>'2_Traitement_GAZ'!G31</f>
        <v>24.437000000000001</v>
      </c>
      <c r="H31" s="118">
        <f>'2_Traitement_GAZ'!H31</f>
        <v>25.472999999999999</v>
      </c>
      <c r="L31" s="97">
        <f t="shared" si="0"/>
        <v>1050</v>
      </c>
    </row>
    <row r="32" spans="1:14" x14ac:dyDescent="0.25">
      <c r="A32" s="368">
        <v>7</v>
      </c>
      <c r="B32" s="40" t="str">
        <f>CONCATENATE("Ratio Eau - ",'0_ENTREE LOGICIEL'!B31)</f>
        <v>Ratio Eau - GC - 289 - T3 - 76m²</v>
      </c>
      <c r="C32" s="381">
        <f>((F32-E32)*1000)/'0_ENTREE LOGICIEL'!$G31</f>
        <v>606.99999999999932</v>
      </c>
      <c r="D32" s="381">
        <f>VLOOKUP(A32,'1_Valeur_Référence'!$A$130:$BB$179,$C$7,0)</f>
        <v>606.99999999999932</v>
      </c>
      <c r="E32" s="213">
        <f>'0_ENTREE LOGICIEL'!O31</f>
        <v>10.949</v>
      </c>
      <c r="F32" s="118">
        <f>'0_ENTREE LOGICIEL'!P31</f>
        <v>11.555999999999999</v>
      </c>
      <c r="G32" s="213">
        <f>'2_Traitement_GAZ'!G32</f>
        <v>4.5259999999999998</v>
      </c>
      <c r="H32" s="118">
        <f>'2_Traitement_GAZ'!H32</f>
        <v>4.7119999999999997</v>
      </c>
      <c r="L32" s="97">
        <f t="shared" si="0"/>
        <v>1050</v>
      </c>
    </row>
    <row r="33" spans="1:12" x14ac:dyDescent="0.25">
      <c r="A33" s="368">
        <v>8</v>
      </c>
      <c r="B33" s="40" t="str">
        <f>CONCATENATE("Ratio Eau - ",'0_ENTREE LOGICIEL'!B32)</f>
        <v>Ratio Eau - GC - 303 - T4 - 81m²</v>
      </c>
      <c r="C33" s="381">
        <f>((F33-E33)*1000)/'0_ENTREE LOGICIEL'!$G32</f>
        <v>1804.000000000002</v>
      </c>
      <c r="D33" s="381">
        <f>VLOOKUP(A33,'1_Valeur_Référence'!$A$130:$BB$179,$C$7,0)</f>
        <v>1804.000000000002</v>
      </c>
      <c r="E33" s="213">
        <f>'0_ENTREE LOGICIEL'!O32</f>
        <v>33.344999999999999</v>
      </c>
      <c r="F33" s="118">
        <f>'0_ENTREE LOGICIEL'!P32</f>
        <v>35.149000000000001</v>
      </c>
      <c r="G33" s="213">
        <f>'2_Traitement_GAZ'!G33</f>
        <v>9.798</v>
      </c>
      <c r="H33" s="118">
        <f>'2_Traitement_GAZ'!H33</f>
        <v>10.192</v>
      </c>
      <c r="L33" s="97">
        <f t="shared" si="0"/>
        <v>1050</v>
      </c>
    </row>
    <row r="34" spans="1:12" x14ac:dyDescent="0.25">
      <c r="A34" s="368">
        <v>9</v>
      </c>
      <c r="B34" s="40" t="str">
        <f>CONCATENATE("Ratio Eau - ",'0_ENTREE LOGICIEL'!B33)</f>
        <v>Ratio Eau - GC - 304 - T3 - 66m²</v>
      </c>
      <c r="C34" s="381">
        <f>((F34-E34)*1000)/'0_ENTREE LOGICIEL'!$G33</f>
        <v>3272.9999999999964</v>
      </c>
      <c r="D34" s="381">
        <f>VLOOKUP(A34,'1_Valeur_Référence'!$A$130:$BB$179,$C$7,0)</f>
        <v>3272.9999999999964</v>
      </c>
      <c r="E34" s="213">
        <f>'0_ENTREE LOGICIEL'!O33</f>
        <v>56.017000000000003</v>
      </c>
      <c r="F34" s="118">
        <f>'0_ENTREE LOGICIEL'!P33</f>
        <v>59.29</v>
      </c>
      <c r="G34" s="213">
        <f>'2_Traitement_GAZ'!G34</f>
        <v>30.3</v>
      </c>
      <c r="H34" s="118">
        <f>'2_Traitement_GAZ'!H34</f>
        <v>32.06</v>
      </c>
      <c r="L34" s="97">
        <f t="shared" si="0"/>
        <v>1050</v>
      </c>
    </row>
    <row r="35" spans="1:12" x14ac:dyDescent="0.25">
      <c r="A35" s="368">
        <v>10</v>
      </c>
      <c r="B35" s="40" t="str">
        <f>CONCATENATE("Ratio Eau - ",'0_ENTREE LOGICIEL'!B34)</f>
        <v>Ratio Eau - GC - 306 - T3 - 66m²</v>
      </c>
      <c r="C35" s="381">
        <f>((F35-E35)*1000)/'0_ENTREE LOGICIEL'!$G34</f>
        <v>465.49999999999869</v>
      </c>
      <c r="D35" s="381">
        <f>VLOOKUP(A35,'1_Valeur_Référence'!$A$130:$BB$179,$C$7,0)</f>
        <v>465.49999999999869</v>
      </c>
      <c r="E35" s="213">
        <f>'0_ENTREE LOGICIEL'!O34</f>
        <v>18.510000000000002</v>
      </c>
      <c r="F35" s="118">
        <f>'0_ENTREE LOGICIEL'!P34</f>
        <v>19.440999999999999</v>
      </c>
      <c r="G35" s="213">
        <f>'2_Traitement_GAZ'!G35</f>
        <v>7.9089999999999998</v>
      </c>
      <c r="H35" s="118">
        <f>'2_Traitement_GAZ'!H35</f>
        <v>8.26</v>
      </c>
      <c r="L35" s="97">
        <f t="shared" si="0"/>
        <v>1050</v>
      </c>
    </row>
    <row r="36" spans="1:12" x14ac:dyDescent="0.25">
      <c r="A36" s="368">
        <v>11</v>
      </c>
      <c r="B36" s="40" t="str">
        <f>CONCATENATE("Ratio Eau - ",'0_ENTREE LOGICIEL'!B35)</f>
        <v>Ratio Eau - GC - 307 - T3 - 66m²</v>
      </c>
      <c r="C36" s="381">
        <f>((F36-E36)*1000)/'0_ENTREE LOGICIEL'!$G35</f>
        <v>922.33333333333201</v>
      </c>
      <c r="D36" s="381">
        <f>VLOOKUP(A36,'1_Valeur_Référence'!$A$130:$BB$179,$C$7,0)</f>
        <v>922.33333333333201</v>
      </c>
      <c r="E36" s="213">
        <f>'0_ENTREE LOGICIEL'!O35</f>
        <v>63.841999999999999</v>
      </c>
      <c r="F36" s="118">
        <f>'0_ENTREE LOGICIEL'!P35</f>
        <v>66.608999999999995</v>
      </c>
      <c r="G36" s="213">
        <f>'2_Traitement_GAZ'!G36</f>
        <v>0</v>
      </c>
      <c r="H36" s="118">
        <f>'2_Traitement_GAZ'!H36</f>
        <v>0</v>
      </c>
      <c r="L36" s="97">
        <f t="shared" si="0"/>
        <v>1050</v>
      </c>
    </row>
    <row r="37" spans="1:12" x14ac:dyDescent="0.25">
      <c r="A37" s="368">
        <v>12</v>
      </c>
      <c r="B37" s="40" t="str">
        <f>CONCATENATE("Ratio Eau - ",'0_ENTREE LOGICIEL'!B36)</f>
        <v>Ratio Eau - GC - 308 - T3 - 66m²</v>
      </c>
      <c r="C37" s="381">
        <f>((F37-E37)*1000)/'0_ENTREE LOGICIEL'!$G36</f>
        <v>720.00000000000068</v>
      </c>
      <c r="D37" s="381">
        <f>VLOOKUP(A37,'1_Valeur_Référence'!$A$130:$BB$179,$C$7,0)</f>
        <v>720.00000000000068</v>
      </c>
      <c r="E37" s="213">
        <f>'0_ENTREE LOGICIEL'!O36</f>
        <v>27.715</v>
      </c>
      <c r="F37" s="118">
        <f>'0_ENTREE LOGICIEL'!P36</f>
        <v>29.155000000000001</v>
      </c>
      <c r="G37" s="213">
        <f>'2_Traitement_GAZ'!G37</f>
        <v>10.228</v>
      </c>
      <c r="H37" s="118">
        <f>'2_Traitement_GAZ'!H37</f>
        <v>10.78</v>
      </c>
      <c r="L37" s="97">
        <f t="shared" si="0"/>
        <v>1050</v>
      </c>
    </row>
    <row r="38" spans="1:12" x14ac:dyDescent="0.25">
      <c r="A38" s="368">
        <v>13</v>
      </c>
      <c r="B38" s="40" t="str">
        <f>CONCATENATE("Ratio Eau - ",'0_ENTREE LOGICIEL'!B37)</f>
        <v>Ratio Eau - GC - 314 - T4 - 75m²</v>
      </c>
      <c r="C38" s="381">
        <f>((F38-E38)*1000)/'0_ENTREE LOGICIEL'!$G37</f>
        <v>930.19999999999925</v>
      </c>
      <c r="D38" s="381">
        <f>VLOOKUP(A38,'1_Valeur_Référence'!$A$130:$BB$179,$C$7,0)</f>
        <v>930.19999999999925</v>
      </c>
      <c r="E38" s="213">
        <f>'0_ENTREE LOGICIEL'!O37</f>
        <v>67.701999999999998</v>
      </c>
      <c r="F38" s="118">
        <f>'0_ENTREE LOGICIEL'!P37</f>
        <v>72.352999999999994</v>
      </c>
      <c r="G38" s="213">
        <f>'2_Traitement_GAZ'!G38</f>
        <v>32.527000000000001</v>
      </c>
      <c r="H38" s="118">
        <f>'2_Traitement_GAZ'!H38</f>
        <v>35.018999999999998</v>
      </c>
      <c r="L38" s="97">
        <f t="shared" si="0"/>
        <v>1050</v>
      </c>
    </row>
    <row r="39" spans="1:12" s="51" customFormat="1" ht="13.5" thickBot="1" x14ac:dyDescent="0.3">
      <c r="A39" s="368">
        <v>14</v>
      </c>
      <c r="B39" s="464" t="str">
        <f>CONCATENATE("Ratio Eau - ",'0_ENTREE LOGICIEL'!B38)</f>
        <v>Ratio Eau - MOYENNE GC</v>
      </c>
      <c r="C39" s="463">
        <f>AVERAGE(C26:C38)</f>
        <v>1032.0923076923068</v>
      </c>
      <c r="D39" s="463">
        <f t="shared" ref="D39" si="1">AVERAGE(D26:D38)</f>
        <v>1032.0923076923068</v>
      </c>
      <c r="E39" s="377"/>
      <c r="F39" s="362"/>
      <c r="G39" s="377"/>
      <c r="H39" s="362"/>
      <c r="L39" s="465">
        <f>AVERAGE(L26:L38)</f>
        <v>1050</v>
      </c>
    </row>
    <row r="40" spans="1:12" x14ac:dyDescent="0.25">
      <c r="A40" s="368">
        <v>15</v>
      </c>
      <c r="B40" s="54" t="str">
        <f>CONCATENATE("Ratio Eau - ",'0_ENTREE LOGICIEL'!B39)</f>
        <v>Ratio Eau - GE2.1 - 275 - T3 - 74m²</v>
      </c>
      <c r="C40" s="382">
        <f>((F40-E40)*1000)/'0_ENTREE LOGICIEL'!$G39</f>
        <v>839.00000000000045</v>
      </c>
      <c r="D40" s="380">
        <f>VLOOKUP(A40,'1_Valeur_Référence'!$A$130:$BB$179,$C$7,0)</f>
        <v>839.00000000000045</v>
      </c>
      <c r="E40" s="212">
        <f>'0_ENTREE LOGICIEL'!O39</f>
        <v>28.007999999999999</v>
      </c>
      <c r="F40" s="114">
        <f>'0_ENTREE LOGICIEL'!P39</f>
        <v>29.686</v>
      </c>
      <c r="G40" s="212">
        <f>'2_Traitement_GAZ'!G40</f>
        <v>14.762</v>
      </c>
      <c r="H40" s="114">
        <f>'2_Traitement_GAZ'!H40</f>
        <v>15.656000000000001</v>
      </c>
      <c r="L40" s="98">
        <f t="shared" ref="L40:L52" si="2">$C$14</f>
        <v>1050</v>
      </c>
    </row>
    <row r="41" spans="1:12" x14ac:dyDescent="0.25">
      <c r="A41" s="368">
        <v>16</v>
      </c>
      <c r="B41" s="40" t="str">
        <f>CONCATENATE("Ratio Eau - ",'0_ENTREE LOGICIEL'!B40)</f>
        <v>Ratio Eau - GE2.1 - 278 - T2 - 57m²</v>
      </c>
      <c r="C41" s="381">
        <f>((F41-E41)*1000)/'0_ENTREE LOGICIEL'!$G40</f>
        <v>291.00000000000034</v>
      </c>
      <c r="D41" s="381">
        <f>VLOOKUP(A41,'1_Valeur_Référence'!$A$130:$BB$179,$C$7,0)</f>
        <v>291.00000000000034</v>
      </c>
      <c r="E41" s="213">
        <f>'0_ENTREE LOGICIEL'!O40</f>
        <v>8.4160000000000004</v>
      </c>
      <c r="F41" s="118">
        <f>'0_ENTREE LOGICIEL'!P40</f>
        <v>8.7070000000000007</v>
      </c>
      <c r="G41" s="213">
        <f>'2_Traitement_GAZ'!G41</f>
        <v>2.286</v>
      </c>
      <c r="H41" s="118">
        <f>'2_Traitement_GAZ'!H41</f>
        <v>2.355</v>
      </c>
      <c r="L41" s="97">
        <f t="shared" si="2"/>
        <v>1050</v>
      </c>
    </row>
    <row r="42" spans="1:12" x14ac:dyDescent="0.25">
      <c r="A42" s="368">
        <v>17</v>
      </c>
      <c r="B42" s="40" t="str">
        <f>CONCATENATE("Ratio Eau - ",'0_ENTREE LOGICIEL'!B41)</f>
        <v>Ratio Eau - GE2.1 - 280 - T3 - 66m²</v>
      </c>
      <c r="C42" s="381">
        <f>((F42-E42)*1000)/'0_ENTREE LOGICIEL'!$G41</f>
        <v>0</v>
      </c>
      <c r="D42" s="381">
        <f>VLOOKUP(A42,'1_Valeur_Référence'!$A$130:$BB$179,$C$7,0)</f>
        <v>0</v>
      </c>
      <c r="E42" s="213">
        <f>'0_ENTREE LOGICIEL'!O41</f>
        <v>1.214</v>
      </c>
      <c r="F42" s="118">
        <f>'0_ENTREE LOGICIEL'!P41</f>
        <v>1.214</v>
      </c>
      <c r="G42" s="213">
        <f>'2_Traitement_GAZ'!G42</f>
        <v>0.26100000000000001</v>
      </c>
      <c r="H42" s="118">
        <f>'2_Traitement_GAZ'!H42</f>
        <v>0.26100000000000001</v>
      </c>
      <c r="L42" s="97">
        <f t="shared" si="2"/>
        <v>1050</v>
      </c>
    </row>
    <row r="43" spans="1:12" x14ac:dyDescent="0.25">
      <c r="A43" s="368">
        <v>18</v>
      </c>
      <c r="B43" s="40" t="str">
        <f>CONCATENATE("Ratio Eau - ",'0_ENTREE LOGICIEL'!B42)</f>
        <v>Ratio Eau - GE2.1 - 282 - T4 - 78m²</v>
      </c>
      <c r="C43" s="381">
        <f>((F43-E43)*1000)/'0_ENTREE LOGICIEL'!$G42</f>
        <v>230.66666666666674</v>
      </c>
      <c r="D43" s="381">
        <f>VLOOKUP(A43,'1_Valeur_Référence'!$A$130:$BB$179,$C$7,0)</f>
        <v>230.66666666666674</v>
      </c>
      <c r="E43" s="213">
        <f>'0_ENTREE LOGICIEL'!O42</f>
        <v>12.363</v>
      </c>
      <c r="F43" s="118">
        <f>'0_ENTREE LOGICIEL'!P42</f>
        <v>13.055</v>
      </c>
      <c r="G43" s="213">
        <f>'2_Traitement_GAZ'!G43</f>
        <v>5.5609999999999999</v>
      </c>
      <c r="H43" s="118">
        <f>'2_Traitement_GAZ'!H43</f>
        <v>5.8280000000000003</v>
      </c>
      <c r="L43" s="97">
        <f t="shared" si="2"/>
        <v>1050</v>
      </c>
    </row>
    <row r="44" spans="1:12" x14ac:dyDescent="0.25">
      <c r="A44" s="368">
        <v>19</v>
      </c>
      <c r="B44" s="40" t="str">
        <f>CONCATENATE("Ratio Eau - ",'0_ENTREE LOGICIEL'!B43)</f>
        <v>Ratio Eau - GE2.1 - 292 - T3 - 63m²</v>
      </c>
      <c r="C44" s="381">
        <f>((F44-E44)*1000)/'0_ENTREE LOGICIEL'!$G43</f>
        <v>867.99999999999852</v>
      </c>
      <c r="D44" s="381">
        <f>VLOOKUP(A44,'1_Valeur_Référence'!$A$130:$BB$179,$C$7,0)</f>
        <v>867.99999999999852</v>
      </c>
      <c r="E44" s="213">
        <f>'0_ENTREE LOGICIEL'!O43</f>
        <v>15.872</v>
      </c>
      <c r="F44" s="118">
        <f>'0_ENTREE LOGICIEL'!P43</f>
        <v>16.739999999999998</v>
      </c>
      <c r="G44" s="213">
        <f>'2_Traitement_GAZ'!G44</f>
        <v>7.8680000000000003</v>
      </c>
      <c r="H44" s="118">
        <f>'2_Traitement_GAZ'!H44</f>
        <v>8.2870000000000008</v>
      </c>
      <c r="L44" s="97">
        <f t="shared" si="2"/>
        <v>1050</v>
      </c>
    </row>
    <row r="45" spans="1:12" x14ac:dyDescent="0.25">
      <c r="A45" s="368">
        <v>20</v>
      </c>
      <c r="B45" s="40" t="str">
        <f>CONCATENATE("Ratio Eau - ",'0_ENTREE LOGICIEL'!B44)</f>
        <v>Ratio Eau - GE2.1 - 293 - T3 - 63m²</v>
      </c>
      <c r="C45" s="381">
        <f>((F45-E45)*1000)/'0_ENTREE LOGICIEL'!$G44</f>
        <v>1702.9999999999993</v>
      </c>
      <c r="D45" s="381">
        <f>VLOOKUP(A45,'1_Valeur_Référence'!$A$130:$BB$179,$C$7,0)</f>
        <v>1702.9999999999993</v>
      </c>
      <c r="E45" s="213">
        <f>'0_ENTREE LOGICIEL'!O44</f>
        <v>30.268000000000001</v>
      </c>
      <c r="F45" s="118">
        <f>'0_ENTREE LOGICIEL'!P44</f>
        <v>33.673999999999999</v>
      </c>
      <c r="G45" s="213">
        <f>'2_Traitement_GAZ'!G45</f>
        <v>14.159000000000001</v>
      </c>
      <c r="H45" s="118">
        <f>'2_Traitement_GAZ'!H45</f>
        <v>15.329000000000001</v>
      </c>
      <c r="L45" s="97">
        <f t="shared" si="2"/>
        <v>1050</v>
      </c>
    </row>
    <row r="46" spans="1:12" x14ac:dyDescent="0.25">
      <c r="A46" s="368">
        <v>21</v>
      </c>
      <c r="B46" s="40" t="str">
        <f>CONCATENATE("Ratio Eau - ",'0_ENTREE LOGICIEL'!B45)</f>
        <v>Ratio Eau - GE2.1 - 295 - T3 - 63m²</v>
      </c>
      <c r="C46" s="381">
        <f>((F46-E46)*1000)/'0_ENTREE LOGICIEL'!$G45</f>
        <v>1741.500000000002</v>
      </c>
      <c r="D46" s="381">
        <f>VLOOKUP(A46,'1_Valeur_Référence'!$A$130:$BB$179,$C$7,0)</f>
        <v>1741.500000000002</v>
      </c>
      <c r="E46" s="213">
        <f>'0_ENTREE LOGICIEL'!O45</f>
        <v>67.155000000000001</v>
      </c>
      <c r="F46" s="118">
        <f>'0_ENTREE LOGICIEL'!P45</f>
        <v>70.638000000000005</v>
      </c>
      <c r="G46" s="213">
        <f>'2_Traitement_GAZ'!G46</f>
        <v>33.098999999999997</v>
      </c>
      <c r="H46" s="118">
        <f>'2_Traitement_GAZ'!H46</f>
        <v>34.759</v>
      </c>
      <c r="L46" s="97">
        <f t="shared" si="2"/>
        <v>1050</v>
      </c>
    </row>
    <row r="47" spans="1:12" x14ac:dyDescent="0.25">
      <c r="A47" s="368">
        <v>22</v>
      </c>
      <c r="B47" s="40" t="str">
        <f>CONCATENATE("Ratio Eau - ",'0_ENTREE LOGICIEL'!B46)</f>
        <v>Ratio Eau - GE2.1 - 296 - T4 - 78m²</v>
      </c>
      <c r="C47" s="381">
        <f>((F47-E47)*1000)/'0_ENTREE LOGICIEL'!$G46</f>
        <v>552.2500000000008</v>
      </c>
      <c r="D47" s="381">
        <f>VLOOKUP(A47,'1_Valeur_Référence'!$A$130:$BB$179,$C$7,0)</f>
        <v>552.2500000000008</v>
      </c>
      <c r="E47" s="213">
        <f>'0_ENTREE LOGICIEL'!O46</f>
        <v>30.811</v>
      </c>
      <c r="F47" s="118">
        <f>'0_ENTREE LOGICIEL'!P46</f>
        <v>33.020000000000003</v>
      </c>
      <c r="G47" s="213">
        <f>'2_Traitement_GAZ'!G47</f>
        <v>9.0549999999999997</v>
      </c>
      <c r="H47" s="118">
        <f>'2_Traitement_GAZ'!H47</f>
        <v>9.5719999999999992</v>
      </c>
      <c r="L47" s="97">
        <f t="shared" si="2"/>
        <v>1050</v>
      </c>
    </row>
    <row r="48" spans="1:12" x14ac:dyDescent="0.25">
      <c r="A48" s="368">
        <v>23</v>
      </c>
      <c r="B48" s="40" t="str">
        <f>CONCATENATE("Ratio Eau - ",'0_ENTREE LOGICIEL'!B47)</f>
        <v>Ratio Eau - GE2.1 - 297 - T4 - 79m²</v>
      </c>
      <c r="C48" s="381">
        <f>((F48-E48)*1000)/'0_ENTREE LOGICIEL'!$G47</f>
        <v>4782.0000000000109</v>
      </c>
      <c r="D48" s="381">
        <f>VLOOKUP(A48,'1_Valeur_Référence'!$A$130:$BB$179,$C$7,0)</f>
        <v>4782.0000000000109</v>
      </c>
      <c r="E48" s="213">
        <f>'0_ENTREE LOGICIEL'!O47</f>
        <v>95.078999999999994</v>
      </c>
      <c r="F48" s="118">
        <f>'0_ENTREE LOGICIEL'!P47</f>
        <v>99.861000000000004</v>
      </c>
      <c r="G48" s="213">
        <f>'2_Traitement_GAZ'!G48</f>
        <v>46.472000000000001</v>
      </c>
      <c r="H48" s="118">
        <f>'2_Traitement_GAZ'!H48</f>
        <v>48.579000000000001</v>
      </c>
      <c r="L48" s="97">
        <f t="shared" si="2"/>
        <v>1050</v>
      </c>
    </row>
    <row r="49" spans="1:12" x14ac:dyDescent="0.25">
      <c r="A49" s="368">
        <v>24</v>
      </c>
      <c r="B49" s="40" t="str">
        <f>CONCATENATE("Ratio Eau - ",'0_ENTREE LOGICIEL'!B48)</f>
        <v>Ratio Eau - GE2.1 - 299 - T4 - 79m²</v>
      </c>
      <c r="C49" s="381">
        <f>((F49-E49)*1000)/'0_ENTREE LOGICIEL'!$G48</f>
        <v>450.66666666666674</v>
      </c>
      <c r="D49" s="381">
        <f>VLOOKUP(A49,'1_Valeur_Référence'!$A$130:$BB$179,$C$7,0)</f>
        <v>450.66666666666674</v>
      </c>
      <c r="E49" s="213">
        <f>'0_ENTREE LOGICIEL'!O48</f>
        <v>26.41</v>
      </c>
      <c r="F49" s="118">
        <f>'0_ENTREE LOGICIEL'!P48</f>
        <v>27.762</v>
      </c>
      <c r="G49" s="213">
        <f>'2_Traitement_GAZ'!G49</f>
        <v>13.24</v>
      </c>
      <c r="H49" s="118">
        <f>'2_Traitement_GAZ'!H49</f>
        <v>13.816000000000001</v>
      </c>
      <c r="L49" s="97">
        <f t="shared" si="2"/>
        <v>1050</v>
      </c>
    </row>
    <row r="50" spans="1:12" x14ac:dyDescent="0.25">
      <c r="A50" s="368">
        <v>25</v>
      </c>
      <c r="B50" s="40" t="str">
        <f>CONCATENATE("Ratio Eau - ",'0_ENTREE LOGICIEL'!B49)</f>
        <v>Ratio Eau - GE2.1 - 300 - T5 - 93m²</v>
      </c>
      <c r="C50" s="381">
        <f>((F50-E50)*1000)/'0_ENTREE LOGICIEL'!$G49</f>
        <v>630.25000000000023</v>
      </c>
      <c r="D50" s="381">
        <f>VLOOKUP(A50,'1_Valeur_Référence'!$A$130:$BB$179,$C$7,0)</f>
        <v>630.25000000000023</v>
      </c>
      <c r="E50" s="213">
        <f>'0_ENTREE LOGICIEL'!O49</f>
        <v>45.872999999999998</v>
      </c>
      <c r="F50" s="118">
        <f>'0_ENTREE LOGICIEL'!P49</f>
        <v>48.393999999999998</v>
      </c>
      <c r="G50" s="213">
        <f>'2_Traitement_GAZ'!G50</f>
        <v>22.67</v>
      </c>
      <c r="H50" s="118">
        <f>'2_Traitement_GAZ'!H50</f>
        <v>23.843</v>
      </c>
      <c r="L50" s="97">
        <f t="shared" si="2"/>
        <v>1050</v>
      </c>
    </row>
    <row r="51" spans="1:12" x14ac:dyDescent="0.25">
      <c r="A51" s="368">
        <v>26</v>
      </c>
      <c r="B51" s="40" t="str">
        <f>CONCATENATE("Ratio Eau - ",'0_ENTREE LOGICIEL'!B50)</f>
        <v>Ratio Eau - GE2.1 - 302 - T5 - 93m²</v>
      </c>
      <c r="C51" s="381">
        <f>((F51-E51)*1000)/'0_ENTREE LOGICIEL'!$G50</f>
        <v>643.00000000000068</v>
      </c>
      <c r="D51" s="381">
        <f>VLOOKUP(A51,'1_Valeur_Référence'!$A$130:$BB$179,$C$7,0)</f>
        <v>643.00000000000068</v>
      </c>
      <c r="E51" s="213">
        <f>'0_ENTREE LOGICIEL'!O50</f>
        <v>36.351999999999997</v>
      </c>
      <c r="F51" s="118">
        <f>'0_ENTREE LOGICIEL'!P50</f>
        <v>38.280999999999999</v>
      </c>
      <c r="G51" s="213">
        <f>'2_Traitement_GAZ'!G51</f>
        <v>14.68</v>
      </c>
      <c r="H51" s="118">
        <f>'2_Traitement_GAZ'!H51</f>
        <v>15.412000000000001</v>
      </c>
      <c r="L51" s="97">
        <f t="shared" si="2"/>
        <v>1050</v>
      </c>
    </row>
    <row r="52" spans="1:12" x14ac:dyDescent="0.25">
      <c r="A52" s="368">
        <v>27</v>
      </c>
      <c r="B52" s="40" t="str">
        <f>CONCATENATE("Ratio Eau - ",'0_ENTREE LOGICIEL'!B51)</f>
        <v>Ratio Eau - GE2.1 - 312 - T4 - 75m²</v>
      </c>
      <c r="C52" s="381">
        <f>((F52-E52)*1000)/'0_ENTREE LOGICIEL'!$G51</f>
        <v>1079.4999999999995</v>
      </c>
      <c r="D52" s="381">
        <f>VLOOKUP(A52,'1_Valeur_Référence'!$A$130:$BB$179,$C$7,0)</f>
        <v>1079.4999999999995</v>
      </c>
      <c r="E52" s="213">
        <f>'0_ENTREE LOGICIEL'!O51</f>
        <v>42.597999999999999</v>
      </c>
      <c r="F52" s="118">
        <f>'0_ENTREE LOGICIEL'!P51</f>
        <v>44.756999999999998</v>
      </c>
      <c r="G52" s="213">
        <f>'2_Traitement_GAZ'!G52</f>
        <v>22.975999999999999</v>
      </c>
      <c r="H52" s="118">
        <f>'2_Traitement_GAZ'!H52</f>
        <v>24.128</v>
      </c>
      <c r="L52" s="97">
        <f t="shared" si="2"/>
        <v>1050</v>
      </c>
    </row>
    <row r="53" spans="1:12" s="51" customFormat="1" ht="13.5" thickBot="1" x14ac:dyDescent="0.3">
      <c r="A53" s="368">
        <v>28</v>
      </c>
      <c r="B53" s="464" t="str">
        <f>CONCATENATE("Ratio Eau - ",'0_ENTREE LOGICIEL'!B52)</f>
        <v>Ratio Eau - MOYENNE GE2.1</v>
      </c>
      <c r="C53" s="463">
        <f>AVERAGE(C40:C52)</f>
        <v>1062.3717948717958</v>
      </c>
      <c r="D53" s="463">
        <f t="shared" ref="D53" si="3">AVERAGE(D40:D52)</f>
        <v>1062.3717948717958</v>
      </c>
      <c r="E53" s="377"/>
      <c r="F53" s="362"/>
      <c r="G53" s="377"/>
      <c r="H53" s="362"/>
      <c r="L53" s="465">
        <f>AVERAGE(L40:L52)</f>
        <v>1050</v>
      </c>
    </row>
    <row r="54" spans="1:12" x14ac:dyDescent="0.25">
      <c r="A54" s="368">
        <v>29</v>
      </c>
      <c r="B54" s="54" t="str">
        <f>CONCATENATE("Ratio Eau - ",'0_ENTREE LOGICIEL'!B53)</f>
        <v>Ratio Eau - GE2.2 - 271 - T3 - 74m²</v>
      </c>
      <c r="C54" s="382">
        <f>((F54-E54)*1000)/'0_ENTREE LOGICIEL'!$G53</f>
        <v>922.99999999999829</v>
      </c>
      <c r="D54" s="380">
        <f>VLOOKUP(A54,'1_Valeur_Référence'!$A$130:$BB$179,$C$7,0)</f>
        <v>922.99999999999829</v>
      </c>
      <c r="E54" s="212">
        <f>'0_ENTREE LOGICIEL'!O53</f>
        <v>33.182000000000002</v>
      </c>
      <c r="F54" s="114">
        <f>'0_ENTREE LOGICIEL'!P53</f>
        <v>35.027999999999999</v>
      </c>
      <c r="G54" s="212">
        <f>'2_Traitement_GAZ'!G54</f>
        <v>23.119</v>
      </c>
      <c r="H54" s="114">
        <f>'2_Traitement_GAZ'!H54</f>
        <v>24.306000000000001</v>
      </c>
      <c r="L54" s="98">
        <f t="shared" ref="L54:L66" si="4">$C$14</f>
        <v>1050</v>
      </c>
    </row>
    <row r="55" spans="1:12" x14ac:dyDescent="0.25">
      <c r="A55" s="368">
        <v>30</v>
      </c>
      <c r="B55" s="40" t="str">
        <f>CONCATENATE("Ratio Eau - ",'0_ENTREE LOGICIEL'!B54)</f>
        <v>Ratio Eau - GE2.2 - 272 - T3 - 74m²</v>
      </c>
      <c r="C55" s="381">
        <f>((F55-E55)*1000)/'0_ENTREE LOGICIEL'!$G54</f>
        <v>2026.0000000000034</v>
      </c>
      <c r="D55" s="381">
        <f>VLOOKUP(A55,'1_Valeur_Référence'!$A$130:$BB$179,$C$7,0)</f>
        <v>2026.0000000000034</v>
      </c>
      <c r="E55" s="213">
        <f>'0_ENTREE LOGICIEL'!O54</f>
        <v>36.183999999999997</v>
      </c>
      <c r="F55" s="118">
        <f>'0_ENTREE LOGICIEL'!P54</f>
        <v>38.21</v>
      </c>
      <c r="G55" s="213">
        <f>'2_Traitement_GAZ'!G55</f>
        <v>3.4510000000000001</v>
      </c>
      <c r="H55" s="118">
        <f>'2_Traitement_GAZ'!H55</f>
        <v>3.593</v>
      </c>
      <c r="L55" s="97">
        <f t="shared" si="4"/>
        <v>1050</v>
      </c>
    </row>
    <row r="56" spans="1:12" x14ac:dyDescent="0.25">
      <c r="A56" s="368">
        <v>31</v>
      </c>
      <c r="B56" s="40" t="str">
        <f>CONCATENATE("Ratio Eau - ",'0_ENTREE LOGICIEL'!B55)</f>
        <v>Ratio Eau - GE2.2 - 273 - T3 - 74m²</v>
      </c>
      <c r="C56" s="381">
        <f>((F56-E56)*1000)/'0_ENTREE LOGICIEL'!$G55</f>
        <v>1059.5</v>
      </c>
      <c r="D56" s="381">
        <f>VLOOKUP(A56,'1_Valeur_Référence'!$A$130:$BB$179,$C$7,0)</f>
        <v>1059.5</v>
      </c>
      <c r="E56" s="213">
        <f>'0_ENTREE LOGICIEL'!O55</f>
        <v>31.414999999999999</v>
      </c>
      <c r="F56" s="118">
        <f>'0_ENTREE LOGICIEL'!P55</f>
        <v>33.533999999999999</v>
      </c>
      <c r="G56" s="213">
        <f>'2_Traitement_GAZ'!G56</f>
        <v>15.936</v>
      </c>
      <c r="H56" s="118">
        <f>'2_Traitement_GAZ'!H56</f>
        <v>16.866</v>
      </c>
      <c r="L56" s="97">
        <f t="shared" si="4"/>
        <v>1050</v>
      </c>
    </row>
    <row r="57" spans="1:12" x14ac:dyDescent="0.25">
      <c r="A57" s="368">
        <v>32</v>
      </c>
      <c r="B57" s="40" t="str">
        <f>CONCATENATE("Ratio Eau - ",'0_ENTREE LOGICIEL'!B56)</f>
        <v>Ratio Eau - GE2.2 - 276 - T4 - 83m²</v>
      </c>
      <c r="C57" s="381">
        <f>((F57-E57)*1000)/'0_ENTREE LOGICIEL'!$G56</f>
        <v>965.50000000000227</v>
      </c>
      <c r="D57" s="381">
        <f>VLOOKUP(A57,'1_Valeur_Référence'!$A$130:$BB$179,$C$7,0)</f>
        <v>965.50000000000227</v>
      </c>
      <c r="E57" s="213">
        <f>'0_ENTREE LOGICIEL'!O56</f>
        <v>35.451999999999998</v>
      </c>
      <c r="F57" s="118">
        <f>'0_ENTREE LOGICIEL'!P56</f>
        <v>37.383000000000003</v>
      </c>
      <c r="G57" s="213">
        <f>'2_Traitement_GAZ'!G57</f>
        <v>16.216999999999999</v>
      </c>
      <c r="H57" s="118">
        <f>'2_Traitement_GAZ'!H57</f>
        <v>17.027999999999999</v>
      </c>
      <c r="L57" s="97">
        <f t="shared" si="4"/>
        <v>1050</v>
      </c>
    </row>
    <row r="58" spans="1:12" x14ac:dyDescent="0.25">
      <c r="A58" s="368">
        <v>33</v>
      </c>
      <c r="B58" s="40" t="str">
        <f>CONCATENATE("Ratio Eau - ",'0_ENTREE LOGICIEL'!B57)</f>
        <v>Ratio Eau - GE2.2 - 279 - T3 - 70m²</v>
      </c>
      <c r="C58" s="381">
        <f>((F58-E58)*1000)/'0_ENTREE LOGICIEL'!$G57</f>
        <v>695.99999999999977</v>
      </c>
      <c r="D58" s="381">
        <f>VLOOKUP(A58,'1_Valeur_Référence'!$A$130:$BB$179,$C$7,0)</f>
        <v>695.99999999999977</v>
      </c>
      <c r="E58" s="213">
        <f>'0_ENTREE LOGICIEL'!O57</f>
        <v>23.134</v>
      </c>
      <c r="F58" s="118">
        <f>'0_ENTREE LOGICIEL'!P57</f>
        <v>24.526</v>
      </c>
      <c r="G58" s="213">
        <f>'2_Traitement_GAZ'!G58</f>
        <v>12.909000000000001</v>
      </c>
      <c r="H58" s="118">
        <f>'2_Traitement_GAZ'!H58</f>
        <v>13.56</v>
      </c>
      <c r="L58" s="97">
        <f t="shared" si="4"/>
        <v>1050</v>
      </c>
    </row>
    <row r="59" spans="1:12" x14ac:dyDescent="0.25">
      <c r="A59" s="368">
        <v>34</v>
      </c>
      <c r="B59" s="40" t="str">
        <f>CONCATENATE("Ratio Eau - ",'0_ENTREE LOGICIEL'!B58)</f>
        <v>Ratio Eau - GE2.2 - 288 - T3 - 68m²</v>
      </c>
      <c r="C59" s="381">
        <f>((F59-E59)*1000)/'0_ENTREE LOGICIEL'!$G58</f>
        <v>217.24999999999994</v>
      </c>
      <c r="D59" s="381">
        <f>VLOOKUP(A59,'1_Valeur_Référence'!$A$130:$BB$179,$C$7,0)</f>
        <v>217.24999999999994</v>
      </c>
      <c r="E59" s="213">
        <f>'0_ENTREE LOGICIEL'!O58</f>
        <v>15.882999999999999</v>
      </c>
      <c r="F59" s="118">
        <f>'0_ENTREE LOGICIEL'!P58</f>
        <v>16.751999999999999</v>
      </c>
      <c r="G59" s="213">
        <f>'2_Traitement_GAZ'!G59</f>
        <v>3.2930000000000001</v>
      </c>
      <c r="H59" s="118">
        <f>'2_Traitement_GAZ'!H59</f>
        <v>3.407</v>
      </c>
      <c r="L59" s="97">
        <f t="shared" si="4"/>
        <v>1050</v>
      </c>
    </row>
    <row r="60" spans="1:12" x14ac:dyDescent="0.25">
      <c r="A60" s="368">
        <v>35</v>
      </c>
      <c r="B60" s="40" t="str">
        <f>CONCATENATE("Ratio Eau - ",'0_ENTREE LOGICIEL'!B59)</f>
        <v>Ratio Eau - GE2.2 - 291 - T3 - 62m²</v>
      </c>
      <c r="C60" s="381">
        <f>((F60-E60)*1000)/'0_ENTREE LOGICIEL'!$G59</f>
        <v>59.499999999999886</v>
      </c>
      <c r="D60" s="381">
        <f>VLOOKUP(A60,'1_Valeur_Référence'!$A$130:$BB$179,$C$7,0)</f>
        <v>59.499999999999886</v>
      </c>
      <c r="E60" s="213">
        <f>'0_ENTREE LOGICIEL'!O59</f>
        <v>30.398</v>
      </c>
      <c r="F60" s="118">
        <f>'0_ENTREE LOGICIEL'!P59</f>
        <v>30.516999999999999</v>
      </c>
      <c r="G60" s="213">
        <f>'2_Traitement_GAZ'!G60</f>
        <v>0</v>
      </c>
      <c r="H60" s="118">
        <f>'2_Traitement_GAZ'!H60</f>
        <v>0</v>
      </c>
      <c r="L60" s="97">
        <f t="shared" si="4"/>
        <v>1050</v>
      </c>
    </row>
    <row r="61" spans="1:12" x14ac:dyDescent="0.25">
      <c r="A61" s="368">
        <v>36</v>
      </c>
      <c r="B61" s="40" t="str">
        <f>CONCATENATE("Ratio Eau - ",'0_ENTREE LOGICIEL'!B60)</f>
        <v>Ratio Eau - GE2.2 - 294 - T3 - 63m²</v>
      </c>
      <c r="C61" s="381">
        <f>((F61-E61)*1000)/'0_ENTREE LOGICIEL'!$G60</f>
        <v>704.99999999999829</v>
      </c>
      <c r="D61" s="381">
        <f>VLOOKUP(A61,'1_Valeur_Référence'!$A$130:$BB$179,$C$7,0)</f>
        <v>704.99999999999829</v>
      </c>
      <c r="E61" s="213">
        <f>'0_ENTREE LOGICIEL'!O60</f>
        <v>28.542000000000002</v>
      </c>
      <c r="F61" s="118">
        <f>'0_ENTREE LOGICIEL'!P60</f>
        <v>29.247</v>
      </c>
      <c r="G61" s="213">
        <f>'2_Traitement_GAZ'!G61</f>
        <v>7.88</v>
      </c>
      <c r="H61" s="118">
        <f>'2_Traitement_GAZ'!H61</f>
        <v>7.9169999999999998</v>
      </c>
      <c r="L61" s="97">
        <f t="shared" si="4"/>
        <v>1050</v>
      </c>
    </row>
    <row r="62" spans="1:12" x14ac:dyDescent="0.25">
      <c r="A62" s="368">
        <v>37</v>
      </c>
      <c r="B62" s="40" t="str">
        <f>CONCATENATE("Ratio Eau - ",'0_ENTREE LOGICIEL'!B61)</f>
        <v>Ratio Eau - GE2.2 - 298 - T5 - 93m²</v>
      </c>
      <c r="C62" s="381">
        <f>((F62-E62)*1000)/'0_ENTREE LOGICIEL'!$G61</f>
        <v>4917.9999999999918</v>
      </c>
      <c r="D62" s="381">
        <f>VLOOKUP(A62,'1_Valeur_Référence'!$A$130:$BB$179,$C$7,0)</f>
        <v>4917.9999999999918</v>
      </c>
      <c r="E62" s="213">
        <f>'0_ENTREE LOGICIEL'!O61</f>
        <v>72.774000000000001</v>
      </c>
      <c r="F62" s="118">
        <f>'0_ENTREE LOGICIEL'!P61</f>
        <v>77.691999999999993</v>
      </c>
      <c r="G62" s="213">
        <f>'2_Traitement_GAZ'!G62</f>
        <v>32.628</v>
      </c>
      <c r="H62" s="118">
        <f>'2_Traitement_GAZ'!H62</f>
        <v>34.406999999999996</v>
      </c>
      <c r="L62" s="97">
        <f t="shared" si="4"/>
        <v>1050</v>
      </c>
    </row>
    <row r="63" spans="1:12" x14ac:dyDescent="0.25">
      <c r="A63" s="368">
        <v>38</v>
      </c>
      <c r="B63" s="40" t="str">
        <f>CONCATENATE("Ratio Eau - ",'0_ENTREE LOGICIEL'!B62)</f>
        <v>Ratio Eau - GE2.2 - 301 - T4 - 79m²</v>
      </c>
      <c r="C63" s="381">
        <f>((F63-E63)*1000)/'0_ENTREE LOGICIEL'!$G62</f>
        <v>716.66666666666617</v>
      </c>
      <c r="D63" s="381">
        <f>VLOOKUP(A63,'1_Valeur_Référence'!$A$130:$BB$179,$C$7,0)</f>
        <v>716.66666666666617</v>
      </c>
      <c r="E63" s="213">
        <f>'0_ENTREE LOGICIEL'!O62</f>
        <v>36.417000000000002</v>
      </c>
      <c r="F63" s="118">
        <f>'0_ENTREE LOGICIEL'!P62</f>
        <v>38.567</v>
      </c>
      <c r="G63" s="213">
        <f>'2_Traitement_GAZ'!G63</f>
        <v>14.103</v>
      </c>
      <c r="H63" s="118">
        <f>'2_Traitement_GAZ'!H63</f>
        <v>14.744</v>
      </c>
      <c r="L63" s="97">
        <f t="shared" si="4"/>
        <v>1050</v>
      </c>
    </row>
    <row r="64" spans="1:12" x14ac:dyDescent="0.25">
      <c r="A64" s="368">
        <v>39</v>
      </c>
      <c r="B64" s="40" t="str">
        <f>CONCATENATE("Ratio Eau - ",'0_ENTREE LOGICIEL'!B63)</f>
        <v>Ratio Eau - GE2.2 - 311 - T4 - 74m²</v>
      </c>
      <c r="C64" s="381">
        <f>((F64-E64)*1000)/'0_ENTREE LOGICIEL'!$G63</f>
        <v>1048.9999999999995</v>
      </c>
      <c r="D64" s="381">
        <f>VLOOKUP(A64,'1_Valeur_Référence'!$A$130:$BB$179,$C$7,0)</f>
        <v>1048.9999999999995</v>
      </c>
      <c r="E64" s="213">
        <f>'0_ENTREE LOGICIEL'!O63</f>
        <v>43.334000000000003</v>
      </c>
      <c r="F64" s="118">
        <f>'0_ENTREE LOGICIEL'!P63</f>
        <v>45.432000000000002</v>
      </c>
      <c r="G64" s="213">
        <f>'2_Traitement_GAZ'!G64</f>
        <v>17.95</v>
      </c>
      <c r="H64" s="118">
        <f>'2_Traitement_GAZ'!H64</f>
        <v>18.882000000000001</v>
      </c>
      <c r="L64" s="97">
        <f t="shared" si="4"/>
        <v>1050</v>
      </c>
    </row>
    <row r="65" spans="1:20" x14ac:dyDescent="0.25">
      <c r="A65" s="368">
        <v>40</v>
      </c>
      <c r="B65" s="40" t="str">
        <f>CONCATENATE("Ratio Eau - ",'0_ENTREE LOGICIEL'!B64)</f>
        <v>Ratio Eau - GE2.2 - 313 - T4 - 75m²</v>
      </c>
      <c r="C65" s="381">
        <f>((F65-E65)*1000)/'0_ENTREE LOGICIEL'!$G64</f>
        <v>615.00000000000023</v>
      </c>
      <c r="D65" s="381">
        <f>VLOOKUP(A65,'1_Valeur_Référence'!$A$130:$BB$179,$C$7,0)</f>
        <v>615.00000000000023</v>
      </c>
      <c r="E65" s="213">
        <f>'0_ENTREE LOGICIEL'!O64</f>
        <v>17.817</v>
      </c>
      <c r="F65" s="118">
        <f>'0_ENTREE LOGICIEL'!P64</f>
        <v>19.047000000000001</v>
      </c>
      <c r="G65" s="213">
        <f>'2_Traitement_GAZ'!G65</f>
        <v>8.5269999999999992</v>
      </c>
      <c r="H65" s="118">
        <f>'2_Traitement_GAZ'!H65</f>
        <v>9.16</v>
      </c>
      <c r="L65" s="97">
        <f t="shared" si="4"/>
        <v>1050</v>
      </c>
    </row>
    <row r="66" spans="1:20" x14ac:dyDescent="0.25">
      <c r="A66" s="368">
        <v>41</v>
      </c>
      <c r="B66" s="40" t="str">
        <f>CONCATENATE("Ratio Eau - ",'0_ENTREE LOGICIEL'!B65)</f>
        <v>Ratio Eau - GE2.2 - 315 - T4 - 75m²</v>
      </c>
      <c r="C66" s="381">
        <f>((F66-E66)*1000)/'0_ENTREE LOGICIEL'!$G65</f>
        <v>2076.0000000000005</v>
      </c>
      <c r="D66" s="381">
        <f>VLOOKUP(A66,'1_Valeur_Référence'!$A$130:$BB$179,$C$7,0)</f>
        <v>2076.0000000000005</v>
      </c>
      <c r="E66" s="213">
        <f>'0_ENTREE LOGICIEL'!O65</f>
        <v>39.707000000000001</v>
      </c>
      <c r="F66" s="118">
        <f>'0_ENTREE LOGICIEL'!P65</f>
        <v>41.783000000000001</v>
      </c>
      <c r="G66" s="213">
        <f>'2_Traitement_GAZ'!G66</f>
        <v>18.253</v>
      </c>
      <c r="H66" s="118">
        <f>'2_Traitement_GAZ'!H66</f>
        <v>19.175000000000001</v>
      </c>
      <c r="L66" s="97">
        <f t="shared" si="4"/>
        <v>1050</v>
      </c>
    </row>
    <row r="67" spans="1:20" s="51" customFormat="1" ht="13.5" thickBot="1" x14ac:dyDescent="0.3">
      <c r="A67" s="368">
        <v>42</v>
      </c>
      <c r="B67" s="464" t="str">
        <f>CONCATENATE("Ratio Eau - ",'0_ENTREE LOGICIEL'!B66)</f>
        <v>Ratio Eau - MOYENNE GE2.2</v>
      </c>
      <c r="C67" s="463">
        <f>AVERAGE(C54:C66)</f>
        <v>1232.8012820512815</v>
      </c>
      <c r="D67" s="463">
        <f t="shared" ref="D67" si="5">AVERAGE(D54:D66)</f>
        <v>1232.8012820512815</v>
      </c>
      <c r="E67" s="377"/>
      <c r="F67" s="362"/>
      <c r="G67" s="377"/>
      <c r="H67" s="362"/>
      <c r="L67" s="465">
        <f>AVERAGE(L54:L66)</f>
        <v>1050</v>
      </c>
    </row>
    <row r="68" spans="1:20" x14ac:dyDescent="0.25">
      <c r="A68" s="368">
        <v>43</v>
      </c>
      <c r="B68" s="54" t="str">
        <f>CONCATENATE("Ratio Eau - ",'0_ENTREE LOGICIEL'!B67)</f>
        <v>Ratio Eau - SO - 284 - T - 64m²</v>
      </c>
      <c r="C68" s="382">
        <f>((F68-E68)*1000)/'0_ENTREE LOGICIEL'!$G67</f>
        <v>176.9999999999996</v>
      </c>
      <c r="D68" s="380">
        <f>VLOOKUP(A68,'1_Valeur_Référence'!$A$130:$BB$179,$C$7,0)</f>
        <v>176.9999999999996</v>
      </c>
      <c r="E68" s="212">
        <f>'0_ENTREE LOGICIEL'!O67</f>
        <v>5.5090000000000003</v>
      </c>
      <c r="F68" s="114">
        <f>'0_ENTREE LOGICIEL'!P67</f>
        <v>5.6859999999999999</v>
      </c>
      <c r="G68" s="212">
        <f>'2_Traitement_GAZ'!G68</f>
        <v>1.032</v>
      </c>
      <c r="H68" s="114">
        <f>'2_Traitement_GAZ'!H68</f>
        <v>1.0449999999999999</v>
      </c>
      <c r="L68" s="98">
        <f t="shared" ref="L68:L73" si="6">$C$14</f>
        <v>1050</v>
      </c>
    </row>
    <row r="69" spans="1:20" x14ac:dyDescent="0.25">
      <c r="A69" s="368">
        <v>44</v>
      </c>
      <c r="B69" s="40" t="str">
        <f>CONCATENATE("Ratio Eau - ",'0_ENTREE LOGICIEL'!B68)</f>
        <v>Ratio Eau - SO - 287 - T - 81m²</v>
      </c>
      <c r="C69" s="381">
        <f>((F69-E69)*1000)/'0_ENTREE LOGICIEL'!$G68</f>
        <v>966.00000000000114</v>
      </c>
      <c r="D69" s="381">
        <f>VLOOKUP(A69,'1_Valeur_Référence'!$A$130:$BB$179,$C$7,0)</f>
        <v>966.00000000000114</v>
      </c>
      <c r="E69" s="213">
        <f>'0_ENTREE LOGICIEL'!O68</f>
        <v>28.814</v>
      </c>
      <c r="F69" s="118">
        <f>'0_ENTREE LOGICIEL'!P68</f>
        <v>29.78</v>
      </c>
      <c r="G69" s="213">
        <f>'2_Traitement_GAZ'!G69</f>
        <v>12.298999999999999</v>
      </c>
      <c r="H69" s="118">
        <f>'2_Traitement_GAZ'!H69</f>
        <v>12.602</v>
      </c>
      <c r="L69" s="97">
        <f t="shared" si="6"/>
        <v>1050</v>
      </c>
    </row>
    <row r="70" spans="1:20" x14ac:dyDescent="0.25">
      <c r="A70" s="368">
        <v>45</v>
      </c>
      <c r="B70" s="40" t="str">
        <f>CONCATENATE("Ratio Eau - ",'0_ENTREE LOGICIEL'!B69)</f>
        <v>Ratio Eau - SO - 290 - T - 40m²</v>
      </c>
      <c r="C70" s="381">
        <f>((F70-E70)*1000)/'0_ENTREE LOGICIEL'!$G69</f>
        <v>1115.9999999999995</v>
      </c>
      <c r="D70" s="381">
        <f>VLOOKUP(A70,'1_Valeur_Référence'!$A$130:$BB$179,$C$7,0)</f>
        <v>1115.9999999999995</v>
      </c>
      <c r="E70" s="213">
        <f>'0_ENTREE LOGICIEL'!O69</f>
        <v>16.216000000000001</v>
      </c>
      <c r="F70" s="118">
        <f>'0_ENTREE LOGICIEL'!P69</f>
        <v>17.332000000000001</v>
      </c>
      <c r="G70" s="213">
        <f>'2_Traitement_GAZ'!G70</f>
        <v>0</v>
      </c>
      <c r="H70" s="118">
        <f>'2_Traitement_GAZ'!H70</f>
        <v>0</v>
      </c>
      <c r="L70" s="97">
        <f t="shared" si="6"/>
        <v>1050</v>
      </c>
    </row>
    <row r="71" spans="1:20" x14ac:dyDescent="0.25">
      <c r="A71" s="368">
        <v>46</v>
      </c>
      <c r="B71" s="40" t="str">
        <f>CONCATENATE("Ratio Eau - ",'0_ENTREE LOGICIEL'!B70)</f>
        <v>Ratio Eau - SO - 305 - T - 66m²</v>
      </c>
      <c r="C71" s="381">
        <f>((F71-E71)*1000)/'0_ENTREE LOGICIEL'!$G70</f>
        <v>366.33333333333343</v>
      </c>
      <c r="D71" s="381">
        <f>VLOOKUP(A71,'1_Valeur_Référence'!$A$130:$BB$179,$C$7,0)</f>
        <v>366.33333333333343</v>
      </c>
      <c r="E71" s="213">
        <f>'0_ENTREE LOGICIEL'!O70</f>
        <v>18.491</v>
      </c>
      <c r="F71" s="118">
        <f>'0_ENTREE LOGICIEL'!P70</f>
        <v>19.59</v>
      </c>
      <c r="G71" s="213">
        <f>'2_Traitement_GAZ'!G71</f>
        <v>0</v>
      </c>
      <c r="H71" s="118">
        <f>'2_Traitement_GAZ'!H71</f>
        <v>0</v>
      </c>
      <c r="L71" s="97">
        <f t="shared" si="6"/>
        <v>1050</v>
      </c>
    </row>
    <row r="72" spans="1:20" x14ac:dyDescent="0.25">
      <c r="A72" s="368">
        <v>47</v>
      </c>
      <c r="B72" s="40" t="str">
        <f>CONCATENATE("Ratio Eau - ",'0_ENTREE LOGICIEL'!B71)</f>
        <v>Ratio Eau - SO - 309 - T - 66m²</v>
      </c>
      <c r="C72" s="381">
        <f>((F72-E72)*1000)/'0_ENTREE LOGICIEL'!$G71</f>
        <v>1141.0000000000018</v>
      </c>
      <c r="D72" s="381">
        <f>VLOOKUP(A72,'1_Valeur_Référence'!$A$130:$BB$179,$C$7,0)</f>
        <v>1141.0000000000018</v>
      </c>
      <c r="E72" s="213">
        <f>'0_ENTREE LOGICIEL'!O71</f>
        <v>20.353999999999999</v>
      </c>
      <c r="F72" s="118">
        <f>'0_ENTREE LOGICIEL'!P71</f>
        <v>21.495000000000001</v>
      </c>
      <c r="G72" s="213">
        <f>'2_Traitement_GAZ'!G72</f>
        <v>11.161</v>
      </c>
      <c r="H72" s="118">
        <f>'2_Traitement_GAZ'!H72</f>
        <v>11.692</v>
      </c>
      <c r="L72" s="97">
        <f t="shared" si="6"/>
        <v>1050</v>
      </c>
    </row>
    <row r="73" spans="1:20" x14ac:dyDescent="0.25">
      <c r="A73" s="368">
        <v>48</v>
      </c>
      <c r="B73" s="40" t="str">
        <f>CONCATENATE("Ratio Eau - ",'0_ENTREE LOGICIEL'!B72)</f>
        <v>Ratio Eau - SO - 310 - T - 54m²</v>
      </c>
      <c r="C73" s="381">
        <f>((F73-E73)*1000)/'0_ENTREE LOGICIEL'!$G72</f>
        <v>1754.0000000000014</v>
      </c>
      <c r="D73" s="381">
        <f>VLOOKUP(A73,'1_Valeur_Référence'!$A$130:$BB$179,$C$7,0)</f>
        <v>1754.0000000000014</v>
      </c>
      <c r="E73" s="213">
        <f>'0_ENTREE LOGICIEL'!O72</f>
        <v>27.68</v>
      </c>
      <c r="F73" s="118">
        <f>'0_ENTREE LOGICIEL'!P72</f>
        <v>29.434000000000001</v>
      </c>
      <c r="G73" s="213">
        <f>'2_Traitement_GAZ'!G73</f>
        <v>5.8620000000000001</v>
      </c>
      <c r="H73" s="118">
        <f>'2_Traitement_GAZ'!H73</f>
        <v>6.1159999999999997</v>
      </c>
      <c r="L73" s="97">
        <f t="shared" si="6"/>
        <v>1050</v>
      </c>
    </row>
    <row r="74" spans="1:20" s="51" customFormat="1" ht="13.5" thickBot="1" x14ac:dyDescent="0.3">
      <c r="A74" s="368">
        <v>49</v>
      </c>
      <c r="B74" s="464" t="str">
        <f>CONCATENATE("Ratio Eau - ",'0_ENTREE LOGICIEL'!B73)</f>
        <v>Ratio Eau - MOYENNE SO</v>
      </c>
      <c r="C74" s="463">
        <f>AVERAGE(C61:C73)</f>
        <v>1294.830867850098</v>
      </c>
      <c r="D74" s="463">
        <f t="shared" ref="D74" si="7">AVERAGE(D61:D73)</f>
        <v>1294.830867850098</v>
      </c>
      <c r="E74" s="377"/>
      <c r="F74" s="362"/>
      <c r="G74" s="377"/>
      <c r="H74" s="362"/>
      <c r="L74" s="465">
        <f>AVERAGE(L61:L73)</f>
        <v>1050</v>
      </c>
    </row>
    <row r="75" spans="1:20" s="4" customFormat="1" x14ac:dyDescent="0.25">
      <c r="A75" s="208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20" s="4" customFormat="1" x14ac:dyDescent="0.25"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s="4" customFormat="1" x14ac:dyDescent="0.25"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s="4" customFormat="1" x14ac:dyDescent="0.25"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s="4" customFormat="1" x14ac:dyDescent="0.25"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</sheetData>
  <mergeCells count="3">
    <mergeCell ref="A1:D1"/>
    <mergeCell ref="D3:F3"/>
    <mergeCell ref="G3:H3"/>
  </mergeCells>
  <hyperlinks>
    <hyperlink ref="E14" r:id="rId1"/>
  </hyperlinks>
  <pageMargins left="0.23622047244094491" right="0.23622047244094491" top="0.74803149606299213" bottom="0.74803149606299213" header="0.31496062992125984" footer="0.31496062992125984"/>
  <pageSetup paperSize="8" scale="79" orientation="landscape" r:id="rId2"/>
  <headerFooter>
    <oddFooter>&amp;L&amp;F&amp;CSOLAIR&amp;R&amp;A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O20"/>
  <sheetViews>
    <sheetView workbookViewId="0">
      <selection activeCell="F1" sqref="F1:G1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17" width="20.7109375" style="18" customWidth="1"/>
    <col min="18" max="19" width="15.7109375" style="18" customWidth="1"/>
    <col min="20" max="16384" width="15.7109375" style="18"/>
  </cols>
  <sheetData>
    <row r="1" spans="1:15" ht="26.25" thickBot="1" x14ac:dyDescent="0.3">
      <c r="A1" s="466" t="str">
        <f>CONCATENATE("ENCERTICUS - ",B4," - ",B5," - ",B7)</f>
        <v>ENCERTICUS - TRAITEMENT METEO - 2014 - S20</v>
      </c>
      <c r="B1" s="467"/>
      <c r="C1" s="467"/>
      <c r="D1" s="468"/>
      <c r="E1" s="28"/>
      <c r="F1" s="312" t="s">
        <v>94</v>
      </c>
      <c r="G1" s="173" t="s">
        <v>95</v>
      </c>
      <c r="H1" s="28"/>
      <c r="I1" s="28"/>
    </row>
    <row r="2" spans="1:15" ht="13.5" thickBot="1" x14ac:dyDescent="0.3">
      <c r="E2" s="23"/>
      <c r="F2" s="13"/>
      <c r="G2" s="161"/>
      <c r="H2" s="13"/>
      <c r="I2" s="28"/>
    </row>
    <row r="3" spans="1:15" x14ac:dyDescent="0.25">
      <c r="A3" s="137" t="s">
        <v>9</v>
      </c>
      <c r="B3" s="138" t="s">
        <v>10</v>
      </c>
      <c r="D3" s="469" t="s">
        <v>68</v>
      </c>
      <c r="E3" s="470"/>
      <c r="F3" s="471"/>
      <c r="G3" s="469" t="str">
        <f>CONCATENATE("Correction DJU - ",B6)</f>
        <v>Correction DJU - Mai</v>
      </c>
      <c r="H3" s="471"/>
      <c r="I3" s="28"/>
    </row>
    <row r="4" spans="1:15" x14ac:dyDescent="0.25">
      <c r="A4" s="139" t="s">
        <v>11</v>
      </c>
      <c r="B4" s="140" t="s">
        <v>105</v>
      </c>
      <c r="D4" s="145" t="s">
        <v>23</v>
      </c>
      <c r="E4" s="146">
        <f>'0_ENTREE LOGICIEL'!E4</f>
        <v>4.3452380952380958</v>
      </c>
      <c r="F4" s="147"/>
      <c r="G4" s="145" t="str">
        <f>'0_ENTREE LOGICIEL'!G4</f>
        <v>DJU REEL - 2014 - Mai</v>
      </c>
      <c r="H4" s="157">
        <f>'0_ENTREE LOGICIEL'!H4</f>
        <v>20</v>
      </c>
      <c r="I4" s="28"/>
    </row>
    <row r="5" spans="1:15" ht="14.25" x14ac:dyDescent="0.25">
      <c r="A5" s="139" t="s">
        <v>40</v>
      </c>
      <c r="B5" s="164">
        <f>'0_ENTREE LOGICIEL'!B5</f>
        <v>2014</v>
      </c>
      <c r="D5" s="145" t="s">
        <v>69</v>
      </c>
      <c r="E5" s="148">
        <f>'0_ENTREE LOGICIEL'!E5</f>
        <v>11.628</v>
      </c>
      <c r="F5" s="149" t="s">
        <v>33</v>
      </c>
      <c r="G5" s="145" t="str">
        <f>'0_ENTREE LOGICIEL'!G5</f>
        <v>DJU MODELE - Mai</v>
      </c>
      <c r="H5" s="157">
        <f>'0_ENTREE LOGICIEL'!H5</f>
        <v>7.2182795698924735</v>
      </c>
      <c r="I5" s="28"/>
    </row>
    <row r="6" spans="1:15" x14ac:dyDescent="0.25">
      <c r="A6" s="139" t="s">
        <v>41</v>
      </c>
      <c r="B6" s="164" t="str">
        <f>'0_ENTREE LOGICIEL'!B6</f>
        <v>Mai</v>
      </c>
      <c r="C6" s="239">
        <f>'0_ENTREE LOGICIEL'!C6</f>
        <v>7</v>
      </c>
      <c r="D6" s="145" t="s">
        <v>69</v>
      </c>
      <c r="E6" s="148">
        <f>'0_ENTREE LOGICIEL'!E6</f>
        <v>0.9009009009009008</v>
      </c>
      <c r="F6" s="149" t="s">
        <v>15</v>
      </c>
      <c r="G6" s="145" t="str">
        <f>'0_ENTREE LOGICIEL'!G6</f>
        <v>DJU REF - 2013 - Mai</v>
      </c>
      <c r="H6" s="149">
        <f>'1_Valeur_Référence'!H6</f>
        <v>15.987096774193548</v>
      </c>
      <c r="I6" s="28"/>
    </row>
    <row r="7" spans="1:15" x14ac:dyDescent="0.25">
      <c r="A7" s="139" t="s">
        <v>67</v>
      </c>
      <c r="B7" s="164" t="str">
        <f>'0_ENTREE LOGICIEL'!B7</f>
        <v>S20</v>
      </c>
      <c r="C7" s="239">
        <f>'0_ENTREE LOGICIEL'!C7</f>
        <v>22</v>
      </c>
      <c r="D7" s="150"/>
      <c r="E7" s="151"/>
      <c r="F7" s="152"/>
      <c r="G7" s="145"/>
      <c r="H7" s="149"/>
      <c r="I7" s="28"/>
    </row>
    <row r="8" spans="1:15" ht="13.5" thickBot="1" x14ac:dyDescent="0.3">
      <c r="A8" s="141" t="s">
        <v>36</v>
      </c>
      <c r="B8" s="165" t="str">
        <f>'0_ENTREE LOGICIEL'!B8</f>
        <v>Semaine</v>
      </c>
      <c r="D8" s="203" t="s">
        <v>157</v>
      </c>
      <c r="E8" s="204">
        <f>'0_ENTREE LOGICIEL'!E8</f>
        <v>1</v>
      </c>
      <c r="F8" s="154"/>
      <c r="G8" s="153"/>
      <c r="H8" s="158"/>
      <c r="I8" s="28"/>
    </row>
    <row r="9" spans="1:15" ht="13.5" thickBot="1" x14ac:dyDescent="0.3">
      <c r="A9" s="4"/>
      <c r="B9" s="24"/>
      <c r="C9" s="29"/>
      <c r="D9" s="29"/>
      <c r="E9" s="29"/>
      <c r="F9" s="29"/>
      <c r="G9" s="29"/>
      <c r="H9" s="4"/>
      <c r="I9" s="30"/>
      <c r="J9" s="29"/>
      <c r="K9" s="29"/>
      <c r="O9" s="29"/>
    </row>
    <row r="10" spans="1:15" s="19" customFormat="1" x14ac:dyDescent="0.25">
      <c r="B10" s="123"/>
      <c r="C10" s="124" t="s">
        <v>63</v>
      </c>
      <c r="D10" s="124" t="s">
        <v>66</v>
      </c>
      <c r="E10" s="125" t="s">
        <v>70</v>
      </c>
      <c r="H10" s="14"/>
      <c r="I10" s="26"/>
    </row>
    <row r="11" spans="1:15" x14ac:dyDescent="0.25">
      <c r="B11" s="136" t="s">
        <v>58</v>
      </c>
      <c r="C11" s="130">
        <f>'0_ENTREE LOGICIEL'!C11</f>
        <v>20</v>
      </c>
      <c r="D11" s="131" t="s">
        <v>39</v>
      </c>
      <c r="E11" s="132"/>
      <c r="G11" s="13"/>
      <c r="H11" s="28"/>
      <c r="I11" s="28"/>
    </row>
    <row r="12" spans="1:15" x14ac:dyDescent="0.25">
      <c r="B12" s="129" t="s">
        <v>57</v>
      </c>
      <c r="C12" s="134">
        <f>'0_ENTREE LOGICIEL'!C12</f>
        <v>7</v>
      </c>
      <c r="D12" s="133" t="s">
        <v>64</v>
      </c>
      <c r="E12" s="135"/>
      <c r="G12" s="13"/>
      <c r="H12" s="28"/>
      <c r="I12" s="28"/>
    </row>
    <row r="13" spans="1:15" x14ac:dyDescent="0.25">
      <c r="B13" s="136" t="s">
        <v>60</v>
      </c>
      <c r="C13" s="162">
        <f>'0_ENTREE LOGICIEL'!C13</f>
        <v>52.42307692307692</v>
      </c>
      <c r="D13" s="131" t="s">
        <v>62</v>
      </c>
      <c r="E13" s="132" t="s">
        <v>24</v>
      </c>
      <c r="G13" s="13"/>
      <c r="H13" s="28"/>
      <c r="I13" s="28"/>
    </row>
    <row r="14" spans="1:15" x14ac:dyDescent="0.25">
      <c r="B14" s="129" t="s">
        <v>61</v>
      </c>
      <c r="C14" s="134">
        <f>'0_ENTREE LOGICIEL'!C14</f>
        <v>1050</v>
      </c>
      <c r="D14" s="133" t="s">
        <v>65</v>
      </c>
      <c r="E14" s="160" t="s">
        <v>29</v>
      </c>
      <c r="G14" s="28"/>
      <c r="H14" s="28"/>
      <c r="I14" s="28"/>
    </row>
    <row r="15" spans="1:15" ht="14.25" x14ac:dyDescent="0.25">
      <c r="B15" s="136" t="s">
        <v>59</v>
      </c>
      <c r="C15" s="162">
        <f>'0_ENTREE LOGICIEL'!C15</f>
        <v>45.111111111111107</v>
      </c>
      <c r="D15" s="131" t="s">
        <v>34</v>
      </c>
      <c r="E15" s="132" t="s">
        <v>37</v>
      </c>
      <c r="G15" s="28"/>
      <c r="H15" s="28"/>
      <c r="I15" s="28"/>
    </row>
    <row r="16" spans="1:15" ht="14.25" x14ac:dyDescent="0.25">
      <c r="B16" s="129" t="s">
        <v>91</v>
      </c>
      <c r="C16" s="163">
        <f>'0_ENTREE LOGICIEL'!C16</f>
        <v>0.52500000000000002</v>
      </c>
      <c r="D16" s="133" t="s">
        <v>73</v>
      </c>
      <c r="E16" s="135"/>
    </row>
    <row r="20" spans="2:2" x14ac:dyDescent="0.25">
      <c r="B20" s="200" t="s">
        <v>106</v>
      </c>
    </row>
  </sheetData>
  <mergeCells count="3">
    <mergeCell ref="A1:D1"/>
    <mergeCell ref="D3:F3"/>
    <mergeCell ref="G3:H3"/>
  </mergeCells>
  <hyperlinks>
    <hyperlink ref="E14" r:id="rId1"/>
  </hyperlinks>
  <pageMargins left="0.70866141732283472" right="0.70866141732283472" top="0.74803149606299213" bottom="0.74803149606299213" header="0.31496062992125984" footer="0.31496062992125984"/>
  <pageSetup paperSize="8" orientation="landscape" r:id="rId2"/>
  <headerFooter>
    <oddFooter>&amp;L&amp;F&amp;CSOLAIR&amp;R&amp;A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36"/>
  <sheetViews>
    <sheetView tabSelected="1" zoomScaleNormal="100" workbookViewId="0">
      <selection activeCell="M44" sqref="M44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15" width="20.7109375" style="18" customWidth="1"/>
    <col min="16" max="17" width="15.7109375" style="18" customWidth="1"/>
    <col min="18" max="16384" width="15.7109375" style="18"/>
  </cols>
  <sheetData>
    <row r="1" spans="1:13" ht="26.25" thickBot="1" x14ac:dyDescent="0.3">
      <c r="A1" s="466" t="str">
        <f>CONCATENATE("ENCERTICUS - ",B4," - ",B5," - ",B7)</f>
        <v>ENCERTICUS - SORTIE logiciel - 2014 - S20</v>
      </c>
      <c r="B1" s="467"/>
      <c r="C1" s="467"/>
      <c r="D1" s="468"/>
      <c r="E1" s="28"/>
      <c r="F1" s="312" t="s">
        <v>94</v>
      </c>
      <c r="G1" s="173" t="s">
        <v>95</v>
      </c>
      <c r="H1" s="28"/>
      <c r="I1" s="28"/>
    </row>
    <row r="2" spans="1:13" ht="13.5" thickBot="1" x14ac:dyDescent="0.3">
      <c r="E2" s="23"/>
      <c r="F2" s="13"/>
      <c r="G2" s="161"/>
      <c r="H2" s="13"/>
      <c r="I2" s="28"/>
    </row>
    <row r="3" spans="1:13" x14ac:dyDescent="0.25">
      <c r="A3" s="137" t="s">
        <v>9</v>
      </c>
      <c r="B3" s="138" t="s">
        <v>10</v>
      </c>
      <c r="D3" s="469" t="s">
        <v>68</v>
      </c>
      <c r="E3" s="470"/>
      <c r="F3" s="471"/>
      <c r="G3" s="469" t="str">
        <f>CONCATENATE("Correction DJU - ",B6)</f>
        <v>Correction DJU - Mai</v>
      </c>
      <c r="H3" s="471"/>
      <c r="I3" s="28"/>
    </row>
    <row r="4" spans="1:13" x14ac:dyDescent="0.25">
      <c r="A4" s="139" t="s">
        <v>11</v>
      </c>
      <c r="B4" s="140" t="s">
        <v>100</v>
      </c>
      <c r="D4" s="145" t="s">
        <v>23</v>
      </c>
      <c r="E4" s="146">
        <f>'0_ENTREE LOGICIEL'!E4</f>
        <v>4.3452380952380958</v>
      </c>
      <c r="F4" s="147"/>
      <c r="G4" s="145" t="str">
        <f>'0_ENTREE LOGICIEL'!G4</f>
        <v>DJU REEL - 2014 - Mai</v>
      </c>
      <c r="H4" s="157">
        <f>'0_ENTREE LOGICIEL'!H4</f>
        <v>20</v>
      </c>
      <c r="I4" s="28"/>
    </row>
    <row r="5" spans="1:13" ht="14.25" x14ac:dyDescent="0.25">
      <c r="A5" s="139" t="s">
        <v>40</v>
      </c>
      <c r="B5" s="164">
        <f>'0_ENTREE LOGICIEL'!B5</f>
        <v>2014</v>
      </c>
      <c r="D5" s="145" t="s">
        <v>69</v>
      </c>
      <c r="E5" s="148">
        <f>'0_ENTREE LOGICIEL'!E5</f>
        <v>11.628</v>
      </c>
      <c r="F5" s="149" t="s">
        <v>33</v>
      </c>
      <c r="G5" s="145" t="str">
        <f>'0_ENTREE LOGICIEL'!G5</f>
        <v>DJU MODELE - Mai</v>
      </c>
      <c r="H5" s="157">
        <f>'0_ENTREE LOGICIEL'!H5</f>
        <v>7.2182795698924735</v>
      </c>
      <c r="I5" s="28"/>
    </row>
    <row r="6" spans="1:13" x14ac:dyDescent="0.25">
      <c r="A6" s="139" t="s">
        <v>41</v>
      </c>
      <c r="B6" s="164" t="str">
        <f>'0_ENTREE LOGICIEL'!B6</f>
        <v>Mai</v>
      </c>
      <c r="C6" s="239">
        <f>'0_ENTREE LOGICIEL'!C6</f>
        <v>7</v>
      </c>
      <c r="D6" s="145" t="s">
        <v>69</v>
      </c>
      <c r="E6" s="148">
        <f>'0_ENTREE LOGICIEL'!E6</f>
        <v>0.9009009009009008</v>
      </c>
      <c r="F6" s="149" t="s">
        <v>15</v>
      </c>
      <c r="G6" s="145" t="str">
        <f>'0_ENTREE LOGICIEL'!G6</f>
        <v>DJU REF - 2013 - Mai</v>
      </c>
      <c r="H6" s="149">
        <f>'1_Valeur_Référence'!H6</f>
        <v>15.987096774193548</v>
      </c>
      <c r="I6" s="28"/>
    </row>
    <row r="7" spans="1:13" x14ac:dyDescent="0.25">
      <c r="A7" s="139" t="s">
        <v>67</v>
      </c>
      <c r="B7" s="164" t="str">
        <f>'0_ENTREE LOGICIEL'!B7</f>
        <v>S20</v>
      </c>
      <c r="C7" s="239">
        <f>'0_ENTREE LOGICIEL'!C7</f>
        <v>22</v>
      </c>
      <c r="D7" s="150"/>
      <c r="E7" s="151"/>
      <c r="F7" s="152"/>
      <c r="G7" s="145"/>
      <c r="H7" s="149"/>
      <c r="I7" s="28"/>
    </row>
    <row r="8" spans="1:13" ht="13.5" thickBot="1" x14ac:dyDescent="0.3">
      <c r="A8" s="141" t="s">
        <v>36</v>
      </c>
      <c r="B8" s="165" t="str">
        <f>'0_ENTREE LOGICIEL'!B8</f>
        <v>Semaine</v>
      </c>
      <c r="D8" s="203" t="s">
        <v>157</v>
      </c>
      <c r="E8" s="204">
        <f>'0_ENTREE LOGICIEL'!E8</f>
        <v>1</v>
      </c>
      <c r="F8" s="154"/>
      <c r="G8" s="153"/>
      <c r="H8" s="158"/>
      <c r="I8" s="28"/>
    </row>
    <row r="9" spans="1:13" ht="13.5" thickBot="1" x14ac:dyDescent="0.3">
      <c r="A9" s="4"/>
      <c r="B9" s="24"/>
      <c r="C9" s="29"/>
      <c r="D9" s="29"/>
      <c r="E9" s="29"/>
      <c r="F9" s="29"/>
      <c r="G9" s="29"/>
      <c r="H9" s="4"/>
      <c r="I9" s="30"/>
      <c r="J9" s="29"/>
      <c r="M9" s="29"/>
    </row>
    <row r="10" spans="1:13" s="19" customFormat="1" x14ac:dyDescent="0.25">
      <c r="B10" s="123"/>
      <c r="C10" s="124" t="s">
        <v>63</v>
      </c>
      <c r="D10" s="124" t="s">
        <v>66</v>
      </c>
      <c r="E10" s="125" t="s">
        <v>70</v>
      </c>
      <c r="H10" s="14"/>
      <c r="I10" s="26"/>
    </row>
    <row r="11" spans="1:13" x14ac:dyDescent="0.25">
      <c r="B11" s="136" t="s">
        <v>58</v>
      </c>
      <c r="C11" s="130">
        <f>'0_ENTREE LOGICIEL'!C11</f>
        <v>20</v>
      </c>
      <c r="D11" s="131" t="s">
        <v>39</v>
      </c>
      <c r="E11" s="132"/>
      <c r="G11" s="13"/>
      <c r="H11" s="28"/>
      <c r="I11" s="28"/>
    </row>
    <row r="12" spans="1:13" x14ac:dyDescent="0.25">
      <c r="B12" s="129" t="s">
        <v>57</v>
      </c>
      <c r="C12" s="134">
        <f>'0_ENTREE LOGICIEL'!C12</f>
        <v>7</v>
      </c>
      <c r="D12" s="133" t="s">
        <v>64</v>
      </c>
      <c r="E12" s="135"/>
      <c r="G12" s="13"/>
      <c r="H12" s="28"/>
      <c r="I12" s="28"/>
    </row>
    <row r="13" spans="1:13" x14ac:dyDescent="0.25">
      <c r="B13" s="136" t="s">
        <v>60</v>
      </c>
      <c r="C13" s="162">
        <f>'0_ENTREE LOGICIEL'!C13</f>
        <v>52.42307692307692</v>
      </c>
      <c r="D13" s="131" t="s">
        <v>62</v>
      </c>
      <c r="E13" s="132" t="s">
        <v>24</v>
      </c>
      <c r="G13" s="13"/>
      <c r="H13" s="28"/>
      <c r="I13" s="28"/>
    </row>
    <row r="14" spans="1:13" x14ac:dyDescent="0.25">
      <c r="B14" s="129" t="s">
        <v>61</v>
      </c>
      <c r="C14" s="134">
        <f>'0_ENTREE LOGICIEL'!C14</f>
        <v>1050</v>
      </c>
      <c r="D14" s="133" t="s">
        <v>65</v>
      </c>
      <c r="E14" s="160" t="s">
        <v>29</v>
      </c>
      <c r="G14" s="28"/>
      <c r="H14" s="28"/>
      <c r="I14" s="28"/>
    </row>
    <row r="15" spans="1:13" ht="14.25" x14ac:dyDescent="0.25">
      <c r="B15" s="136" t="s">
        <v>59</v>
      </c>
      <c r="C15" s="162">
        <f>'0_ENTREE LOGICIEL'!C15</f>
        <v>45.111111111111107</v>
      </c>
      <c r="D15" s="131" t="s">
        <v>34</v>
      </c>
      <c r="E15" s="132" t="s">
        <v>37</v>
      </c>
      <c r="G15" s="28"/>
      <c r="H15" s="28"/>
      <c r="I15" s="28"/>
    </row>
    <row r="16" spans="1:13" ht="14.25" x14ac:dyDescent="0.25">
      <c r="B16" s="129" t="s">
        <v>91</v>
      </c>
      <c r="C16" s="163">
        <f>'0_ENTREE LOGICIEL'!C16</f>
        <v>0.52500000000000002</v>
      </c>
      <c r="D16" s="133" t="s">
        <v>73</v>
      </c>
      <c r="E16" s="135"/>
    </row>
    <row r="19" spans="1:18" x14ac:dyDescent="0.25">
      <c r="O19" s="261" t="s">
        <v>183</v>
      </c>
      <c r="P19" s="262"/>
      <c r="Q19" s="262"/>
    </row>
    <row r="20" spans="1:18" s="17" customFormat="1" ht="25.5" x14ac:dyDescent="0.25">
      <c r="B20" s="184" t="str">
        <f>CONCATENATE("BILAN - ",B5," - ",B6," - ",B7)</f>
        <v>BILAN - 2014 - Mai - S20</v>
      </c>
      <c r="O20" s="211" t="s">
        <v>82</v>
      </c>
      <c r="P20" s="211" t="str">
        <f>O20</f>
        <v>Ratio nationaux et régionaux</v>
      </c>
      <c r="Q20" s="211" t="str">
        <f>P20</f>
        <v>Ratio nationaux et régionaux</v>
      </c>
    </row>
    <row r="21" spans="1:18" s="17" customFormat="1" x14ac:dyDescent="0.25">
      <c r="B21" s="35"/>
      <c r="C21" s="263"/>
      <c r="D21" s="80"/>
      <c r="E21" s="80"/>
      <c r="F21" s="264"/>
      <c r="G21" s="80"/>
      <c r="H21" s="80"/>
      <c r="I21" s="264"/>
      <c r="J21" s="80"/>
      <c r="K21" s="80"/>
      <c r="L21" s="264"/>
      <c r="O21" s="211"/>
      <c r="P21" s="211"/>
      <c r="Q21" s="211"/>
    </row>
    <row r="22" spans="1:18" s="17" customFormat="1" ht="25.5" x14ac:dyDescent="0.25">
      <c r="B22" s="35"/>
      <c r="C22" s="80" t="s">
        <v>86</v>
      </c>
      <c r="D22" s="80" t="s">
        <v>81</v>
      </c>
      <c r="E22" s="80" t="s">
        <v>181</v>
      </c>
      <c r="F22" s="396"/>
      <c r="G22" s="80" t="str">
        <f>D22</f>
        <v>Données relevé</v>
      </c>
      <c r="H22" s="80" t="s">
        <v>182</v>
      </c>
      <c r="I22" s="396"/>
      <c r="J22" s="80" t="str">
        <f>G22</f>
        <v>Données relevé</v>
      </c>
      <c r="K22" s="80" t="str">
        <f>H22</f>
        <v>semaine précédente</v>
      </c>
      <c r="L22" s="396"/>
      <c r="O22" s="211"/>
      <c r="P22" s="211"/>
      <c r="Q22" s="211"/>
    </row>
    <row r="23" spans="1:18" s="4" customFormat="1" ht="38.25" x14ac:dyDescent="0.25">
      <c r="A23" s="35"/>
      <c r="B23" s="188" t="str">
        <f>'2_Traitement_GAZ'!B24</f>
        <v>NOM DE LA DONNEES</v>
      </c>
      <c r="C23" s="194" t="s">
        <v>85</v>
      </c>
      <c r="D23" s="383" t="str">
        <f>'2_Traitement_GAZ'!C24</f>
        <v>Ratio CHAUFFAGE corrigé - S20</v>
      </c>
      <c r="E23" s="384" t="str">
        <f>'2_Traitement_GAZ'!D24</f>
        <v>Ratio CHAUFFAGE réf - Mai</v>
      </c>
      <c r="F23" s="189" t="s">
        <v>102</v>
      </c>
      <c r="G23" s="409" t="str">
        <f>'2_Traitement_ELEC'!C24</f>
        <v>Ratio ELECTRICTE - S20</v>
      </c>
      <c r="H23" s="410" t="str">
        <f>'2_Traitement_ELEC'!D24</f>
        <v>Ratio ELECTRICTE réf - S20</v>
      </c>
      <c r="I23" s="189" t="s">
        <v>104</v>
      </c>
      <c r="J23" s="436" t="str">
        <f>'2_Traitement_EAU'!C24</f>
        <v>Ratio EAU - S20</v>
      </c>
      <c r="K23" s="437" t="str">
        <f>'2_Traitement_EAU'!D24</f>
        <v>Ratio EAU réf - S20</v>
      </c>
      <c r="L23" s="189" t="s">
        <v>103</v>
      </c>
      <c r="M23" s="35"/>
      <c r="N23" s="35"/>
      <c r="O23" s="186" t="str">
        <f>'2_Traitement_GAZ'!J24</f>
        <v>Ratio CHAUFFAGE type - Mai</v>
      </c>
      <c r="P23" s="186" t="str">
        <f>'2_Traitement_ELEC'!I24</f>
        <v>Ratio ELECTRICITE type</v>
      </c>
      <c r="Q23" s="186" t="str">
        <f>'2_Traitement_EAU'!L24</f>
        <v>Ratio EAU type - Mai</v>
      </c>
      <c r="R23" s="35"/>
    </row>
    <row r="24" spans="1:18" s="4" customFormat="1" x14ac:dyDescent="0.25">
      <c r="A24" s="36"/>
      <c r="B24" s="192"/>
      <c r="C24" s="195" t="s">
        <v>32</v>
      </c>
      <c r="D24" s="385" t="str">
        <f>'2_Traitement_GAZ'!C25</f>
        <v>kWh PCI / m²</v>
      </c>
      <c r="E24" s="386" t="str">
        <f>'2_Traitement_GAZ'!D25</f>
        <v>kWh PCI / m²</v>
      </c>
      <c r="F24" s="190" t="s">
        <v>32</v>
      </c>
      <c r="G24" s="411" t="str">
        <f>'2_Traitement_ELEC'!C25</f>
        <v>kWh / m²</v>
      </c>
      <c r="H24" s="412" t="str">
        <f>'2_Traitement_ELEC'!D25</f>
        <v>kWh / m²</v>
      </c>
      <c r="I24" s="190" t="s">
        <v>32</v>
      </c>
      <c r="J24" s="438" t="str">
        <f>'2_Traitement_EAU'!C25</f>
        <v>litres / occup</v>
      </c>
      <c r="K24" s="421" t="str">
        <f>'2_Traitement_EAU'!D25</f>
        <v>litres / occup</v>
      </c>
      <c r="L24" s="190" t="s">
        <v>32</v>
      </c>
      <c r="M24" s="36"/>
      <c r="N24" s="36"/>
      <c r="O24" s="187" t="str">
        <f>'2_Traitement_GAZ'!J25</f>
        <v>kWh PCI / m²</v>
      </c>
      <c r="P24" s="187" t="str">
        <f>'2_Traitement_ELEC'!I25</f>
        <v>kWh PCI / m²</v>
      </c>
      <c r="Q24" s="187" t="str">
        <f>'2_Traitement_EAU'!L25</f>
        <v>litres / occup</v>
      </c>
      <c r="R24" s="36"/>
    </row>
    <row r="25" spans="1:18" s="4" customFormat="1" x14ac:dyDescent="0.25">
      <c r="A25" s="63"/>
      <c r="B25" s="193" t="str">
        <f>CONCATENATE("Ratio - ",'0_ENTREE LOGICIEL'!B25," - ",$B$5," - ",$B$7)</f>
        <v>Ratio - GC - 274 - T4 - 83m² - 2014 - S20</v>
      </c>
      <c r="C25" s="196">
        <f t="shared" ref="C25:C37" si="0">AVERAGE(F25,I25,L25)</f>
        <v>0.50631235390984308</v>
      </c>
      <c r="D25" s="397">
        <f>'2_Traitement_GAZ'!C26</f>
        <v>-0.5323836896700368</v>
      </c>
      <c r="E25" s="398">
        <f>'2_Traitement_GAZ'!D26</f>
        <v>1.0259118666446607</v>
      </c>
      <c r="F25" s="191">
        <f t="shared" ref="F25:F37" si="1">(E25-D25)/E25</f>
        <v>1.5189370617295292</v>
      </c>
      <c r="G25" s="393">
        <f>'2_Traitement_ELEC'!C26</f>
        <v>0.61387951807228913</v>
      </c>
      <c r="H25" s="394">
        <f>'2_Traitement_ELEC'!D26</f>
        <v>0.61387951807228913</v>
      </c>
      <c r="I25" s="191">
        <f t="shared" ref="I25:I37" si="2">(H25-G25)/H25</f>
        <v>0</v>
      </c>
      <c r="J25" s="389">
        <f>'2_Traitement_EAU'!C26</f>
        <v>1085.9999999999986</v>
      </c>
      <c r="K25" s="390">
        <f>'2_Traitement_EAU'!D26</f>
        <v>1085.9999999999986</v>
      </c>
      <c r="L25" s="191">
        <f t="shared" ref="L25:L37" si="3">(K25-J25)/K25</f>
        <v>0</v>
      </c>
      <c r="N25" s="5"/>
      <c r="O25" s="185">
        <f>'2_Traitement_GAZ'!J26</f>
        <v>4.602739726027397</v>
      </c>
      <c r="P25" s="185">
        <f>'2_Traitement_ELEC'!I26</f>
        <v>0.63160333642261346</v>
      </c>
      <c r="Q25" s="185">
        <f>'2_Traitement_EAU'!L26</f>
        <v>1050</v>
      </c>
      <c r="R25" s="5"/>
    </row>
    <row r="26" spans="1:18" s="4" customFormat="1" x14ac:dyDescent="0.25">
      <c r="A26" s="63"/>
      <c r="B26" s="193" t="str">
        <f>CONCATENATE("Ratio - ",'0_ENTREE LOGICIEL'!B26," - ",$B$5," - ",$B$7)</f>
        <v>Ratio - GC - 277 - T2 - 53m² - 2014 - S20</v>
      </c>
      <c r="C26" s="196">
        <f t="shared" si="0"/>
        <v>0.20040572257323896</v>
      </c>
      <c r="D26" s="397">
        <f>'2_Traitement_GAZ'!C27</f>
        <v>0.48138416642073761</v>
      </c>
      <c r="E26" s="398">
        <f>'2_Traitement_GAZ'!D27</f>
        <v>1.2071336262600154</v>
      </c>
      <c r="F26" s="191">
        <f t="shared" si="1"/>
        <v>0.60121716771971689</v>
      </c>
      <c r="G26" s="393">
        <f>'2_Traitement_ELEC'!C27</f>
        <v>0.56220754716981181</v>
      </c>
      <c r="H26" s="394">
        <f>'2_Traitement_ELEC'!D27</f>
        <v>0.56220754716981181</v>
      </c>
      <c r="I26" s="191">
        <f t="shared" si="2"/>
        <v>0</v>
      </c>
      <c r="J26" s="389">
        <f>'2_Traitement_EAU'!C27</f>
        <v>416.00000000000034</v>
      </c>
      <c r="K26" s="390">
        <f>'2_Traitement_EAU'!D27</f>
        <v>416.00000000000034</v>
      </c>
      <c r="L26" s="191">
        <f t="shared" si="3"/>
        <v>0</v>
      </c>
      <c r="N26" s="5"/>
      <c r="O26" s="185">
        <f>'2_Traitement_GAZ'!J27</f>
        <v>4.602739726027397</v>
      </c>
      <c r="P26" s="185">
        <f>'2_Traitement_ELEC'!I27</f>
        <v>0.98911465892597961</v>
      </c>
      <c r="Q26" s="185">
        <f>'2_Traitement_EAU'!L27</f>
        <v>1050</v>
      </c>
      <c r="R26" s="5"/>
    </row>
    <row r="27" spans="1:18" s="4" customFormat="1" x14ac:dyDescent="0.25">
      <c r="A27" s="63"/>
      <c r="B27" s="193" t="str">
        <f>CONCATENATE("Ratio - ",'0_ENTREE LOGICIEL'!B27," - ",$B$5," - ",$B$7)</f>
        <v>Ratio - GC - 281 - T3 - 71m² - 2014 - S20</v>
      </c>
      <c r="C27" s="196">
        <f t="shared" si="0"/>
        <v>0.98201969738572192</v>
      </c>
      <c r="D27" s="397">
        <f>'2_Traitement_GAZ'!C28</f>
        <v>-1.9806773920408023</v>
      </c>
      <c r="E27" s="398">
        <f>'2_Traitement_GAZ'!D28</f>
        <v>1.0177889253328187</v>
      </c>
      <c r="F27" s="191">
        <f t="shared" si="1"/>
        <v>2.9460590921571659</v>
      </c>
      <c r="G27" s="393">
        <f>'2_Traitement_ELEC'!C28</f>
        <v>0.6479295774647893</v>
      </c>
      <c r="H27" s="394">
        <f>'2_Traitement_ELEC'!D28</f>
        <v>0.6479295774647893</v>
      </c>
      <c r="I27" s="191">
        <f t="shared" si="2"/>
        <v>0</v>
      </c>
      <c r="J27" s="389">
        <f>'2_Traitement_EAU'!C28</f>
        <v>1325.4999999999982</v>
      </c>
      <c r="K27" s="390">
        <f>'2_Traitement_EAU'!D28</f>
        <v>1325.4999999999982</v>
      </c>
      <c r="L27" s="191">
        <f t="shared" si="3"/>
        <v>0</v>
      </c>
      <c r="N27" s="5"/>
      <c r="O27" s="185">
        <f>'2_Traitement_GAZ'!J28</f>
        <v>4.602739726027397</v>
      </c>
      <c r="P27" s="185">
        <f>'2_Traitement_ELEC'!I28</f>
        <v>0.73835319609967498</v>
      </c>
      <c r="Q27" s="185">
        <f>'2_Traitement_EAU'!L28</f>
        <v>1050</v>
      </c>
      <c r="R27" s="5"/>
    </row>
    <row r="28" spans="1:18" s="4" customFormat="1" x14ac:dyDescent="0.25">
      <c r="A28" s="63"/>
      <c r="B28" s="193" t="str">
        <f>CONCATENATE("Ratio - ",'0_ENTREE LOGICIEL'!B28," - ",$B$5," - ",$B$7)</f>
        <v>Ratio - GC - 283 - T3 - 70m² - 2014 - S20</v>
      </c>
      <c r="C28" s="196">
        <f t="shared" si="0"/>
        <v>0.5564083306241755</v>
      </c>
      <c r="D28" s="397">
        <f>'2_Traitement_GAZ'!C29</f>
        <v>-0.34983048890213159</v>
      </c>
      <c r="E28" s="398">
        <f>'2_Traitement_GAZ'!D29</f>
        <v>0.52273972602739716</v>
      </c>
      <c r="F28" s="191">
        <f t="shared" si="1"/>
        <v>1.6692249918725264</v>
      </c>
      <c r="G28" s="393">
        <f>'2_Traitement_ELEC'!C29</f>
        <v>0.39374285714285734</v>
      </c>
      <c r="H28" s="394">
        <f>'2_Traitement_ELEC'!D29</f>
        <v>0.39374285714285734</v>
      </c>
      <c r="I28" s="191">
        <f t="shared" si="2"/>
        <v>0</v>
      </c>
      <c r="J28" s="389">
        <f>'2_Traitement_EAU'!C29</f>
        <v>549.99999999999898</v>
      </c>
      <c r="K28" s="390">
        <f>'2_Traitement_EAU'!D29</f>
        <v>549.99999999999898</v>
      </c>
      <c r="L28" s="191">
        <f t="shared" si="3"/>
        <v>0</v>
      </c>
      <c r="N28" s="5"/>
      <c r="O28" s="185">
        <f>'2_Traitement_GAZ'!J29</f>
        <v>4.602739726027397</v>
      </c>
      <c r="P28" s="185">
        <f>'2_Traitement_ELEC'!I29</f>
        <v>0.74890109890109891</v>
      </c>
      <c r="Q28" s="185">
        <f>'2_Traitement_EAU'!L29</f>
        <v>1050</v>
      </c>
      <c r="R28" s="5"/>
    </row>
    <row r="29" spans="1:18" s="4" customFormat="1" x14ac:dyDescent="0.25">
      <c r="A29" s="63"/>
      <c r="B29" s="193" t="str">
        <f>CONCATENATE("Ratio - ",'0_ENTREE LOGICIEL'!B29," - ",$B$5," - ",$B$7)</f>
        <v>Ratio - GC - 285 - T3 - 64m² - 2014 - S20</v>
      </c>
      <c r="C29" s="196">
        <f t="shared" si="0"/>
        <v>-0.22704138121600578</v>
      </c>
      <c r="D29" s="397">
        <f>'2_Traitement_GAZ'!C30</f>
        <v>1.4266526123149954</v>
      </c>
      <c r="E29" s="398">
        <f>'2_Traitement_GAZ'!D30</f>
        <v>0.8486301369863013</v>
      </c>
      <c r="F29" s="191">
        <f t="shared" si="1"/>
        <v>-0.68112414364801732</v>
      </c>
      <c r="G29" s="393">
        <f>'2_Traitement_ELEC'!C30</f>
        <v>0.53323437499999926</v>
      </c>
      <c r="H29" s="394">
        <f>'2_Traitement_ELEC'!D30</f>
        <v>0.53323437499999926</v>
      </c>
      <c r="I29" s="191">
        <f t="shared" si="2"/>
        <v>0</v>
      </c>
      <c r="J29" s="389">
        <f>'2_Traitement_EAU'!C30</f>
        <v>419.33333333333303</v>
      </c>
      <c r="K29" s="390">
        <f>'2_Traitement_EAU'!D30</f>
        <v>419.33333333333303</v>
      </c>
      <c r="L29" s="191">
        <f t="shared" si="3"/>
        <v>0</v>
      </c>
      <c r="N29" s="5"/>
      <c r="O29" s="185">
        <f>'2_Traitement_GAZ'!J30</f>
        <v>4.602739726027397</v>
      </c>
      <c r="P29" s="185">
        <f>'2_Traitement_ELEC'!I30</f>
        <v>0.81911057692307687</v>
      </c>
      <c r="Q29" s="185">
        <f>'2_Traitement_EAU'!L30</f>
        <v>1050</v>
      </c>
      <c r="R29" s="5"/>
    </row>
    <row r="30" spans="1:18" s="4" customFormat="1" x14ac:dyDescent="0.25">
      <c r="A30" s="63"/>
      <c r="B30" s="193" t="str">
        <f>CONCATENATE("Ratio - ",'0_ENTREE LOGICIEL'!B30," - ",$B$5," - ",$B$7)</f>
        <v>Ratio - GC - 286 - T3 - 68m² - 2014 - S20</v>
      </c>
      <c r="C30" s="196">
        <f t="shared" si="0"/>
        <v>0.37610934117950817</v>
      </c>
      <c r="D30" s="397">
        <f>'2_Traitement_GAZ'!C31</f>
        <v>-0.11596055245455386</v>
      </c>
      <c r="E30" s="398">
        <f>'2_Traitement_GAZ'!D31</f>
        <v>0.90362610797743737</v>
      </c>
      <c r="F30" s="191">
        <f t="shared" si="1"/>
        <v>1.1283280235385245</v>
      </c>
      <c r="G30" s="393">
        <f>'2_Traitement_ELEC'!C31</f>
        <v>0.44151470588235331</v>
      </c>
      <c r="H30" s="394">
        <f>'2_Traitement_ELEC'!D31</f>
        <v>0.44151470588235331</v>
      </c>
      <c r="I30" s="191">
        <f t="shared" si="2"/>
        <v>0</v>
      </c>
      <c r="J30" s="389">
        <f>'2_Traitement_EAU'!C31</f>
        <v>898.33333333333348</v>
      </c>
      <c r="K30" s="390">
        <f>'2_Traitement_EAU'!D31</f>
        <v>898.33333333333348</v>
      </c>
      <c r="L30" s="191">
        <f t="shared" si="3"/>
        <v>0</v>
      </c>
      <c r="O30" s="185">
        <f>'2_Traitement_GAZ'!J31</f>
        <v>4.602739726027397</v>
      </c>
      <c r="P30" s="185">
        <f>'2_Traitement_ELEC'!I31</f>
        <v>0.77092760180995468</v>
      </c>
      <c r="Q30" s="185">
        <f>'2_Traitement_EAU'!L31</f>
        <v>1050</v>
      </c>
    </row>
    <row r="31" spans="1:18" s="4" customFormat="1" x14ac:dyDescent="0.25">
      <c r="A31" s="63"/>
      <c r="B31" s="193" t="str">
        <f>CONCATENATE("Ratio - ",'0_ENTREE LOGICIEL'!B31," - ",$B$5," - ",$B$7)</f>
        <v>Ratio - GC - 289 - T3 - 76m² - 2014 - S20</v>
      </c>
      <c r="C31" s="196">
        <f t="shared" si="0"/>
        <v>0.40756030238281521</v>
      </c>
      <c r="D31" s="397">
        <f>'2_Traitement_GAZ'!C32</f>
        <v>-0.2373550491191507</v>
      </c>
      <c r="E31" s="398">
        <f>'2_Traitement_GAZ'!D32</f>
        <v>1.0658976207642392</v>
      </c>
      <c r="F31" s="191">
        <f t="shared" si="1"/>
        <v>1.2226809071484457</v>
      </c>
      <c r="G31" s="393">
        <f>'2_Traitement_ELEC'!C32</f>
        <v>0.31405263157894803</v>
      </c>
      <c r="H31" s="394">
        <f>'2_Traitement_ELEC'!D32</f>
        <v>0.31405263157894803</v>
      </c>
      <c r="I31" s="191">
        <f t="shared" si="2"/>
        <v>0</v>
      </c>
      <c r="J31" s="389">
        <f>'2_Traitement_EAU'!C32</f>
        <v>606.99999999999932</v>
      </c>
      <c r="K31" s="390">
        <f>'2_Traitement_EAU'!D32</f>
        <v>606.99999999999932</v>
      </c>
      <c r="L31" s="191">
        <f t="shared" si="3"/>
        <v>0</v>
      </c>
      <c r="O31" s="185">
        <f>'2_Traitement_GAZ'!J32</f>
        <v>4.602739726027397</v>
      </c>
      <c r="P31" s="185">
        <f>'2_Traitement_ELEC'!I32</f>
        <v>0.68977732793522262</v>
      </c>
      <c r="Q31" s="185">
        <f>'2_Traitement_EAU'!L32</f>
        <v>1050</v>
      </c>
    </row>
    <row r="32" spans="1:18" s="4" customFormat="1" x14ac:dyDescent="0.25">
      <c r="A32" s="63"/>
      <c r="B32" s="193" t="str">
        <f>CONCATENATE("Ratio - ",'0_ENTREE LOGICIEL'!B32," - ",$B$5," - ",$B$7)</f>
        <v>Ratio - GC - 303 - T4 - 81m² - 2014 - S20</v>
      </c>
      <c r="C32" s="196">
        <f t="shared" si="0"/>
        <v>0.38264617512159282</v>
      </c>
      <c r="D32" s="397">
        <f>'2_Traitement_GAZ'!C33</f>
        <v>-0.12735773203397055</v>
      </c>
      <c r="E32" s="398">
        <f>'2_Traitement_GAZ'!D33</f>
        <v>0.86088280060882794</v>
      </c>
      <c r="F32" s="191">
        <f t="shared" si="1"/>
        <v>1.1479385253647785</v>
      </c>
      <c r="G32" s="393">
        <f>'2_Traitement_ELEC'!C33</f>
        <v>0.90301234567901245</v>
      </c>
      <c r="H32" s="394">
        <f>'2_Traitement_ELEC'!D33</f>
        <v>0.90301234567901245</v>
      </c>
      <c r="I32" s="191">
        <f t="shared" si="2"/>
        <v>0</v>
      </c>
      <c r="J32" s="389">
        <f>'2_Traitement_EAU'!C33</f>
        <v>1804.000000000002</v>
      </c>
      <c r="K32" s="390">
        <f>'2_Traitement_EAU'!D33</f>
        <v>1804.000000000002</v>
      </c>
      <c r="L32" s="191">
        <f t="shared" si="3"/>
        <v>0</v>
      </c>
      <c r="O32" s="185">
        <f>'2_Traitement_GAZ'!J33</f>
        <v>4.602739726027397</v>
      </c>
      <c r="P32" s="185">
        <f>'2_Traitement_ELEC'!I33</f>
        <v>0.64719848053181384</v>
      </c>
      <c r="Q32" s="185">
        <f>'2_Traitement_EAU'!L33</f>
        <v>1050</v>
      </c>
    </row>
    <row r="33" spans="1:17" s="4" customFormat="1" x14ac:dyDescent="0.25">
      <c r="A33" s="63"/>
      <c r="B33" s="193" t="str">
        <f>CONCATENATE("Ratio - ",'0_ENTREE LOGICIEL'!B33," - ",$B$5," - ",$B$7)</f>
        <v>Ratio - GC - 304 - T3 - 66m² - 2014 - S20</v>
      </c>
      <c r="C33" s="196">
        <f t="shared" si="0"/>
        <v>0.86388701676372437</v>
      </c>
      <c r="D33" s="397">
        <f>'2_Traitement_GAZ'!C34</f>
        <v>-1.8870003983526733</v>
      </c>
      <c r="E33" s="398">
        <f>'2_Traitement_GAZ'!D34</f>
        <v>1.1855541718555416</v>
      </c>
      <c r="F33" s="191">
        <f t="shared" si="1"/>
        <v>2.5916610502911732</v>
      </c>
      <c r="G33" s="393">
        <f>'2_Traitement_ELEC'!C34</f>
        <v>0.51196969696969641</v>
      </c>
      <c r="H33" s="394">
        <f>'2_Traitement_ELEC'!D34</f>
        <v>0.51196969696969641</v>
      </c>
      <c r="I33" s="191">
        <f t="shared" si="2"/>
        <v>0</v>
      </c>
      <c r="J33" s="389">
        <f>'2_Traitement_EAU'!C34</f>
        <v>3272.9999999999964</v>
      </c>
      <c r="K33" s="390">
        <f>'2_Traitement_EAU'!D34</f>
        <v>3272.9999999999964</v>
      </c>
      <c r="L33" s="191">
        <f t="shared" si="3"/>
        <v>0</v>
      </c>
      <c r="O33" s="185">
        <f>'2_Traitement_GAZ'!J34</f>
        <v>4.602739726027397</v>
      </c>
      <c r="P33" s="185">
        <f>'2_Traitement_ELEC'!I34</f>
        <v>0.79428904428904423</v>
      </c>
      <c r="Q33" s="185">
        <f>'2_Traitement_EAU'!L34</f>
        <v>1050</v>
      </c>
    </row>
    <row r="34" spans="1:17" s="4" customFormat="1" x14ac:dyDescent="0.25">
      <c r="A34" s="63"/>
      <c r="B34" s="193" t="str">
        <f>CONCATENATE("Ratio - ",'0_ENTREE LOGICIEL'!B34," - ",$B$5," - ",$B$7)</f>
        <v>Ratio - GC - 306 - T3 - 66m² - 2014 - S20</v>
      </c>
      <c r="C34" s="196">
        <f t="shared" si="0"/>
        <v>-4.3222023418197351</v>
      </c>
      <c r="D34" s="397">
        <f>'2_Traitement_GAZ'!C35</f>
        <v>-0.34090348405853094</v>
      </c>
      <c r="E34" s="398">
        <f>'2_Traitement_GAZ'!D35</f>
        <v>-2.4408468244084679E-2</v>
      </c>
      <c r="F34" s="191">
        <f t="shared" si="1"/>
        <v>-12.966607025459204</v>
      </c>
      <c r="G34" s="393">
        <f>'2_Traitement_ELEC'!C35</f>
        <v>0.24995454545454482</v>
      </c>
      <c r="H34" s="394">
        <f>'2_Traitement_ELEC'!D35</f>
        <v>0.24995454545454482</v>
      </c>
      <c r="I34" s="191">
        <f t="shared" si="2"/>
        <v>0</v>
      </c>
      <c r="J34" s="389">
        <f>'2_Traitement_EAU'!C35</f>
        <v>465.49999999999869</v>
      </c>
      <c r="K34" s="390">
        <f>'2_Traitement_EAU'!D35</f>
        <v>465.49999999999869</v>
      </c>
      <c r="L34" s="191">
        <f t="shared" si="3"/>
        <v>0</v>
      </c>
      <c r="O34" s="185">
        <f>'2_Traitement_GAZ'!J35</f>
        <v>4.602739726027397</v>
      </c>
      <c r="P34" s="185">
        <f>'2_Traitement_ELEC'!I35</f>
        <v>0.79428904428904423</v>
      </c>
      <c r="Q34" s="185">
        <f>'2_Traitement_EAU'!L35</f>
        <v>1050</v>
      </c>
    </row>
    <row r="35" spans="1:17" s="4" customFormat="1" x14ac:dyDescent="0.25">
      <c r="A35" s="63"/>
      <c r="B35" s="193" t="str">
        <f>CONCATENATE("Ratio - ",'0_ENTREE LOGICIEL'!B35," - ",$B$5," - ",$B$7)</f>
        <v>Ratio - GC - 307 - T3 - 66m² - 2014 - S20</v>
      </c>
      <c r="C35" s="196">
        <f t="shared" si="0"/>
        <v>-9.0541922488110729E-2</v>
      </c>
      <c r="D35" s="397">
        <f>'2_Traitement_GAZ'!C36</f>
        <v>0.87351030303029331</v>
      </c>
      <c r="E35" s="398">
        <f>'2_Traitement_GAZ'!D36</f>
        <v>0.68692403486924025</v>
      </c>
      <c r="F35" s="191">
        <f t="shared" si="1"/>
        <v>-0.2716257674643322</v>
      </c>
      <c r="G35" s="393">
        <f>'2_Traitement_ELEC'!C36</f>
        <v>0.74192424242424393</v>
      </c>
      <c r="H35" s="394">
        <f>'2_Traitement_ELEC'!D36</f>
        <v>0.74192424242424393</v>
      </c>
      <c r="I35" s="191">
        <f t="shared" si="2"/>
        <v>0</v>
      </c>
      <c r="J35" s="389">
        <f>'2_Traitement_EAU'!C36</f>
        <v>922.33333333333201</v>
      </c>
      <c r="K35" s="390">
        <f>'2_Traitement_EAU'!D36</f>
        <v>922.33333333333201</v>
      </c>
      <c r="L35" s="191">
        <f t="shared" si="3"/>
        <v>0</v>
      </c>
      <c r="O35" s="185">
        <f>'2_Traitement_GAZ'!J36</f>
        <v>4.602739726027397</v>
      </c>
      <c r="P35" s="185">
        <f>'2_Traitement_ELEC'!I36</f>
        <v>0.79428904428904423</v>
      </c>
      <c r="Q35" s="185">
        <f>'2_Traitement_EAU'!L36</f>
        <v>1050</v>
      </c>
    </row>
    <row r="36" spans="1:17" s="4" customFormat="1" x14ac:dyDescent="0.25">
      <c r="A36" s="63"/>
      <c r="B36" s="193" t="str">
        <f>CONCATENATE("Ratio - ",'0_ENTREE LOGICIEL'!B36," - ",$B$5," - ",$B$7)</f>
        <v>Ratio - GC - 308 - T3 - 66m² - 2014 - S20</v>
      </c>
      <c r="C36" s="196">
        <f t="shared" si="0"/>
        <v>0.44076096072866172</v>
      </c>
      <c r="D36" s="397">
        <f>'2_Traitement_GAZ'!C37</f>
        <v>-0.69336974752740677</v>
      </c>
      <c r="E36" s="398">
        <f>'2_Traitement_GAZ'!D37</f>
        <v>2.1514321295143208</v>
      </c>
      <c r="F36" s="191">
        <f t="shared" si="1"/>
        <v>1.3222828821859851</v>
      </c>
      <c r="G36" s="393">
        <f>'2_Traitement_ELEC'!C37</f>
        <v>0.30803030303030365</v>
      </c>
      <c r="H36" s="394">
        <f>'2_Traitement_ELEC'!D37</f>
        <v>0.30803030303030365</v>
      </c>
      <c r="I36" s="191">
        <f t="shared" si="2"/>
        <v>0</v>
      </c>
      <c r="J36" s="389">
        <f>'2_Traitement_EAU'!C37</f>
        <v>720.00000000000068</v>
      </c>
      <c r="K36" s="390">
        <f>'2_Traitement_EAU'!D37</f>
        <v>720.00000000000068</v>
      </c>
      <c r="L36" s="191">
        <f t="shared" si="3"/>
        <v>0</v>
      </c>
      <c r="O36" s="185">
        <f>'2_Traitement_GAZ'!J37</f>
        <v>4.602739726027397</v>
      </c>
      <c r="P36" s="185">
        <f>'2_Traitement_ELEC'!I37</f>
        <v>0.79428904428904423</v>
      </c>
      <c r="Q36" s="185">
        <f>'2_Traitement_EAU'!L37</f>
        <v>1050</v>
      </c>
    </row>
    <row r="37" spans="1:17" s="4" customFormat="1" x14ac:dyDescent="0.25">
      <c r="A37" s="63"/>
      <c r="B37" s="193" t="str">
        <f>CONCATENATE("Ratio - ",'0_ENTREE LOGICIEL'!B37," - ",$B$5," - ",$B$7)</f>
        <v>Ratio - GC - 314 - T4 - 75m² - 2014 - S20</v>
      </c>
      <c r="C37" s="196">
        <f t="shared" si="0"/>
        <v>-35.826551534612115</v>
      </c>
      <c r="D37" s="397">
        <f>'2_Traitement_GAZ'!C38</f>
        <v>-2.3300835399837725</v>
      </c>
      <c r="E37" s="398">
        <f>'2_Traitement_GAZ'!D38</f>
        <v>-2.1479452054794519E-2</v>
      </c>
      <c r="F37" s="191">
        <f t="shared" si="1"/>
        <v>-107.47965460383634</v>
      </c>
      <c r="G37" s="393">
        <f>'2_Traitement_ELEC'!C38</f>
        <v>1.5176400000000043</v>
      </c>
      <c r="H37" s="394">
        <f>'2_Traitement_ELEC'!D38</f>
        <v>1.5176400000000043</v>
      </c>
      <c r="I37" s="191">
        <f t="shared" si="2"/>
        <v>0</v>
      </c>
      <c r="J37" s="389">
        <f>'2_Traitement_EAU'!C38</f>
        <v>930.19999999999925</v>
      </c>
      <c r="K37" s="390">
        <f>'2_Traitement_EAU'!D38</f>
        <v>930.19999999999925</v>
      </c>
      <c r="L37" s="191">
        <f t="shared" si="3"/>
        <v>0</v>
      </c>
      <c r="O37" s="185">
        <f>'2_Traitement_GAZ'!J38</f>
        <v>4.602739726027397</v>
      </c>
      <c r="P37" s="185">
        <f>'2_Traitement_ELEC'!I38</f>
        <v>0.69897435897435889</v>
      </c>
      <c r="Q37" s="185">
        <f>'2_Traitement_EAU'!L38</f>
        <v>1050</v>
      </c>
    </row>
    <row r="38" spans="1:17" s="452" customFormat="1" x14ac:dyDescent="0.25">
      <c r="B38" s="197" t="str">
        <f>CONCATENATE("Ratio - ",'0_ENTREE LOGICIEL'!B38," - ",$B$5," - ",$B$7)</f>
        <v>Ratio - MOYENNE GC - 2014 - S20</v>
      </c>
      <c r="C38" s="450">
        <f>AVERAGE(C25:C37)</f>
        <v>-2.750017483035899</v>
      </c>
      <c r="D38" s="399">
        <f>AVERAGE(D25:D37)</f>
        <v>-0.44718269172130792</v>
      </c>
      <c r="E38" s="400">
        <f t="shared" ref="E38:L38" si="4">AVERAGE(E25:E37)</f>
        <v>0.87927947896476333</v>
      </c>
      <c r="F38" s="451">
        <f t="shared" si="4"/>
        <v>-8.2500524491076952</v>
      </c>
      <c r="G38" s="405">
        <f t="shared" si="4"/>
        <v>0.59531479583606572</v>
      </c>
      <c r="H38" s="406">
        <f t="shared" si="4"/>
        <v>0.59531479583606572</v>
      </c>
      <c r="I38" s="451">
        <f t="shared" si="4"/>
        <v>0</v>
      </c>
      <c r="J38" s="444">
        <f t="shared" si="4"/>
        <v>1032.0923076923068</v>
      </c>
      <c r="K38" s="425">
        <f t="shared" si="4"/>
        <v>1032.0923076923068</v>
      </c>
      <c r="L38" s="451">
        <f t="shared" si="4"/>
        <v>0</v>
      </c>
      <c r="O38" s="198">
        <f>AVERAGE(O25:O37)</f>
        <v>4.6027397260273961</v>
      </c>
      <c r="P38" s="198">
        <f>AVERAGE(P25:P37)</f>
        <v>0.76239360105230547</v>
      </c>
      <c r="Q38" s="198">
        <f>AVERAGE(Q25:Q37)</f>
        <v>1050</v>
      </c>
    </row>
    <row r="39" spans="1:17" x14ac:dyDescent="0.25">
      <c r="B39" s="193" t="str">
        <f>CONCATENATE("Ratio - ",'0_ENTREE LOGICIEL'!B39," - ",$B$5," - ",$B$7)</f>
        <v>Ratio - GE2.1 - 275 - T3 - 74m² - 2014 - S20</v>
      </c>
      <c r="C39" s="196">
        <f t="shared" ref="C39:C51" si="5">AVERAGE(F39,I39,L39)</f>
        <v>0.64011632501651428</v>
      </c>
      <c r="D39" s="397">
        <f>'2_Traitement_GAZ'!C40</f>
        <v>-1.0075112363667114</v>
      </c>
      <c r="E39" s="398">
        <f>'2_Traitement_GAZ'!D40</f>
        <v>1.0947056645686781</v>
      </c>
      <c r="F39" s="191">
        <f t="shared" ref="F39:F51" si="6">(E39-D39)/E39</f>
        <v>1.9203489750495428</v>
      </c>
      <c r="G39" s="393">
        <f>'2_Traitement_ELEC'!C40</f>
        <v>0.70935135135135086</v>
      </c>
      <c r="H39" s="394">
        <f>'2_Traitement_ELEC'!D40</f>
        <v>0.70935135135135086</v>
      </c>
      <c r="I39" s="191">
        <f t="shared" ref="I39:I51" si="7">(H39-G39)/H39</f>
        <v>0</v>
      </c>
      <c r="J39" s="389">
        <f>'2_Traitement_EAU'!C40</f>
        <v>839.00000000000045</v>
      </c>
      <c r="K39" s="390">
        <f>'2_Traitement_EAU'!D40</f>
        <v>839.00000000000045</v>
      </c>
      <c r="L39" s="191">
        <f t="shared" ref="L39:L51" si="8">(K39-J39)/K39</f>
        <v>0</v>
      </c>
      <c r="O39" s="185">
        <f>'2_Traitement_GAZ'!J40</f>
        <v>4.602739726027397</v>
      </c>
      <c r="P39" s="185">
        <f>'2_Traitement_ELEC'!I40</f>
        <v>0.70841995841995842</v>
      </c>
      <c r="Q39" s="185">
        <f>'2_Traitement_EAU'!L40</f>
        <v>1050</v>
      </c>
    </row>
    <row r="40" spans="1:17" x14ac:dyDescent="0.25">
      <c r="B40" s="193" t="str">
        <f>CONCATENATE("Ratio - ",'0_ENTREE LOGICIEL'!B40," - ",$B$5," - ",$B$7)</f>
        <v>Ratio - GE2.1 - 278 - T2 - 57m² - 2014 - S20</v>
      </c>
      <c r="C40" s="196">
        <f t="shared" si="5"/>
        <v>2.0086749703844511</v>
      </c>
      <c r="D40" s="397">
        <f>'2_Traitement_GAZ'!C41</f>
        <v>0.14204771198068594</v>
      </c>
      <c r="E40" s="398">
        <f>'2_Traitement_GAZ'!D41</f>
        <v>-2.8262436914203312E-2</v>
      </c>
      <c r="F40" s="191">
        <f t="shared" si="6"/>
        <v>6.0260249111533533</v>
      </c>
      <c r="G40" s="393">
        <f>'2_Traitement_ELEC'!C41</f>
        <v>6.9087719298245406E-2</v>
      </c>
      <c r="H40" s="394">
        <f>'2_Traitement_ELEC'!D41</f>
        <v>6.9087719298245406E-2</v>
      </c>
      <c r="I40" s="191">
        <f t="shared" si="7"/>
        <v>0</v>
      </c>
      <c r="J40" s="389">
        <f>'2_Traitement_EAU'!C41</f>
        <v>291.00000000000034</v>
      </c>
      <c r="K40" s="390">
        <f>'2_Traitement_EAU'!D41</f>
        <v>291.00000000000034</v>
      </c>
      <c r="L40" s="191">
        <f t="shared" si="8"/>
        <v>0</v>
      </c>
      <c r="O40" s="185">
        <f>'2_Traitement_GAZ'!J41</f>
        <v>4.602739726027397</v>
      </c>
      <c r="P40" s="185">
        <f>'2_Traitement_ELEC'!I41</f>
        <v>0.91970310391363019</v>
      </c>
      <c r="Q40" s="185">
        <f>'2_Traitement_EAU'!L41</f>
        <v>1050</v>
      </c>
    </row>
    <row r="41" spans="1:17" x14ac:dyDescent="0.25">
      <c r="B41" s="193" t="str">
        <f>CONCATENATE("Ratio - ",'0_ENTREE LOGICIEL'!B41," - ",$B$5," - ",$B$7)</f>
        <v>Ratio - GE2.1 - 280 - T3 - 66m² - 2014 - S20</v>
      </c>
      <c r="C41" s="196">
        <f t="shared" si="5"/>
        <v>0.55894702842377264</v>
      </c>
      <c r="D41" s="397">
        <f>'2_Traitement_GAZ'!C42</f>
        <v>-0.10606060606060606</v>
      </c>
      <c r="E41" s="398">
        <f>'2_Traitement_GAZ'!D42</f>
        <v>0.8996264009962639</v>
      </c>
      <c r="F41" s="191">
        <f t="shared" si="6"/>
        <v>1.1178940568475453</v>
      </c>
      <c r="G41" s="393">
        <f>'2_Traitement_ELEC'!C42</f>
        <v>3.3333333333333701E-4</v>
      </c>
      <c r="H41" s="394">
        <f>'2_Traitement_ELEC'!D42</f>
        <v>3.3333333333333701E-4</v>
      </c>
      <c r="I41" s="191">
        <f t="shared" si="7"/>
        <v>0</v>
      </c>
      <c r="J41" s="389">
        <f>'2_Traitement_EAU'!C42</f>
        <v>0</v>
      </c>
      <c r="K41" s="390">
        <f>'2_Traitement_EAU'!D42</f>
        <v>0</v>
      </c>
      <c r="L41" s="191"/>
      <c r="O41" s="185">
        <f>'2_Traitement_GAZ'!J42</f>
        <v>4.602739726027397</v>
      </c>
      <c r="P41" s="185">
        <f>'2_Traitement_ELEC'!I42</f>
        <v>0.79428904428904423</v>
      </c>
      <c r="Q41" s="185">
        <f>'2_Traitement_EAU'!L42</f>
        <v>1050</v>
      </c>
    </row>
    <row r="42" spans="1:17" x14ac:dyDescent="0.25">
      <c r="B42" s="193" t="str">
        <f>CONCATENATE("Ratio - ",'0_ENTREE LOGICIEL'!B42," - ",$B$5," - ",$B$7)</f>
        <v>Ratio - GE2.1 - 282 - T4 - 78m² - 2014 - S20</v>
      </c>
      <c r="C42" s="196">
        <f t="shared" si="5"/>
        <v>0.41705721044565441</v>
      </c>
      <c r="D42" s="397">
        <f>'2_Traitement_GAZ'!C43</f>
        <v>-7.6330767626533361E-2</v>
      </c>
      <c r="E42" s="398">
        <f>'2_Traitement_GAZ'!D43</f>
        <v>0.30389884088514219</v>
      </c>
      <c r="F42" s="191">
        <f t="shared" si="6"/>
        <v>1.2511716313369632</v>
      </c>
      <c r="G42" s="393">
        <f>'2_Traitement_ELEC'!C43</f>
        <v>0.3336538461538473</v>
      </c>
      <c r="H42" s="394">
        <f>'2_Traitement_ELEC'!D43</f>
        <v>0.3336538461538473</v>
      </c>
      <c r="I42" s="191">
        <f t="shared" si="7"/>
        <v>0</v>
      </c>
      <c r="J42" s="389">
        <f>'2_Traitement_EAU'!C43</f>
        <v>230.66666666666674</v>
      </c>
      <c r="K42" s="390">
        <f>'2_Traitement_EAU'!D43</f>
        <v>230.66666666666674</v>
      </c>
      <c r="L42" s="191">
        <f t="shared" si="8"/>
        <v>0</v>
      </c>
      <c r="O42" s="185">
        <f>'2_Traitement_GAZ'!J43</f>
        <v>4.602739726027397</v>
      </c>
      <c r="P42" s="185">
        <f>'2_Traitement_ELEC'!I43</f>
        <v>0.67209072978303741</v>
      </c>
      <c r="Q42" s="185">
        <f>'2_Traitement_EAU'!L43</f>
        <v>1050</v>
      </c>
    </row>
    <row r="43" spans="1:17" s="240" customFormat="1" x14ac:dyDescent="0.25">
      <c r="B43" s="241" t="str">
        <f>CONCATENATE("Ratio - ",'0_ENTREE LOGICIEL'!B43," - ",$B$5," - ",$B$7)</f>
        <v>Ratio - GE2.1 - 292 - T3 - 63m² - 2014 - S20</v>
      </c>
      <c r="C43" s="242">
        <f t="shared" si="5"/>
        <v>0.29554063691354782</v>
      </c>
      <c r="D43" s="401">
        <f>'2_Traitement_GAZ'!C44</f>
        <v>7.8277475324268056E-2</v>
      </c>
      <c r="E43" s="402">
        <f>'2_Traitement_GAZ'!D44</f>
        <v>0.69041095890410953</v>
      </c>
      <c r="F43" s="244">
        <f t="shared" si="6"/>
        <v>0.88662191074064345</v>
      </c>
      <c r="G43" s="391">
        <f>'2_Traitement_ELEC'!C44</f>
        <v>0.51390476190476153</v>
      </c>
      <c r="H43" s="392">
        <f>'2_Traitement_ELEC'!D44</f>
        <v>0.51390476190476153</v>
      </c>
      <c r="I43" s="244">
        <f t="shared" si="7"/>
        <v>0</v>
      </c>
      <c r="J43" s="387">
        <f>'2_Traitement_EAU'!C44</f>
        <v>867.99999999999852</v>
      </c>
      <c r="K43" s="388">
        <f>'2_Traitement_EAU'!D44</f>
        <v>867.99999999999852</v>
      </c>
      <c r="L43" s="244">
        <f t="shared" si="8"/>
        <v>0</v>
      </c>
      <c r="O43" s="243">
        <f>'2_Traitement_GAZ'!J44</f>
        <v>4.602739726027397</v>
      </c>
      <c r="P43" s="243">
        <f>'2_Traitement_ELEC'!I44</f>
        <v>0.83211233211233204</v>
      </c>
      <c r="Q43" s="243">
        <f>'2_Traitement_EAU'!L44</f>
        <v>1050</v>
      </c>
    </row>
    <row r="44" spans="1:17" s="240" customFormat="1" x14ac:dyDescent="0.25">
      <c r="B44" s="241" t="str">
        <f>CONCATENATE("Ratio - ",'0_ENTREE LOGICIEL'!B44," - ",$B$5," - ",$B$7)</f>
        <v>Ratio - GE2.1 - 293 - T3 - 63m² - 2014 - S20</v>
      </c>
      <c r="C44" s="242">
        <f t="shared" si="5"/>
        <v>0.63422943909482055</v>
      </c>
      <c r="D44" s="401">
        <f>'2_Traitement_GAZ'!C45</f>
        <v>-1.361864018405416</v>
      </c>
      <c r="E44" s="402">
        <f>'2_Traitement_GAZ'!D45</f>
        <v>1.5086757990867579</v>
      </c>
      <c r="F44" s="244">
        <f t="shared" si="6"/>
        <v>1.9026883172844617</v>
      </c>
      <c r="G44" s="391">
        <f>'2_Traitement_ELEC'!C45</f>
        <v>0.39069841269841232</v>
      </c>
      <c r="H44" s="392">
        <f>'2_Traitement_ELEC'!D45</f>
        <v>0.39069841269841232</v>
      </c>
      <c r="I44" s="244">
        <f t="shared" si="7"/>
        <v>0</v>
      </c>
      <c r="J44" s="387">
        <f>'2_Traitement_EAU'!C45</f>
        <v>1702.9999999999993</v>
      </c>
      <c r="K44" s="388">
        <f>'2_Traitement_EAU'!D45</f>
        <v>1702.9999999999993</v>
      </c>
      <c r="L44" s="244">
        <f t="shared" si="8"/>
        <v>0</v>
      </c>
      <c r="O44" s="243">
        <f>'2_Traitement_GAZ'!J45</f>
        <v>4.602739726027397</v>
      </c>
      <c r="P44" s="243">
        <f>'2_Traitement_ELEC'!I45</f>
        <v>0.83211233211233204</v>
      </c>
      <c r="Q44" s="243">
        <f>'2_Traitement_EAU'!L45</f>
        <v>1050</v>
      </c>
    </row>
    <row r="45" spans="1:17" s="240" customFormat="1" x14ac:dyDescent="0.25">
      <c r="B45" s="241" t="str">
        <f>CONCATENATE("Ratio - ",'0_ENTREE LOGICIEL'!B45," - ",$B$5," - ",$B$7)</f>
        <v>Ratio - GE2.1 - 295 - T3 - 63m² - 2014 - S20</v>
      </c>
      <c r="C45" s="242">
        <f t="shared" si="5"/>
        <v>-18.423068008491931</v>
      </c>
      <c r="D45" s="401">
        <f>'2_Traitement_GAZ'!C46</f>
        <v>-1.4388472262222118</v>
      </c>
      <c r="E45" s="402">
        <f>'2_Traitement_GAZ'!D46</f>
        <v>-2.5570776255707757E-2</v>
      </c>
      <c r="F45" s="244">
        <f t="shared" si="6"/>
        <v>-55.269204025475794</v>
      </c>
      <c r="G45" s="391">
        <f>'2_Traitement_ELEC'!C46</f>
        <v>0.60038095238095346</v>
      </c>
      <c r="H45" s="392">
        <f>'2_Traitement_ELEC'!D46</f>
        <v>0.60038095238095346</v>
      </c>
      <c r="I45" s="244">
        <f t="shared" si="7"/>
        <v>0</v>
      </c>
      <c r="J45" s="387">
        <f>'2_Traitement_EAU'!C46</f>
        <v>1741.500000000002</v>
      </c>
      <c r="K45" s="388">
        <f>'2_Traitement_EAU'!D46</f>
        <v>1741.500000000002</v>
      </c>
      <c r="L45" s="244">
        <f t="shared" si="8"/>
        <v>0</v>
      </c>
      <c r="O45" s="243">
        <f>'2_Traitement_GAZ'!J46</f>
        <v>4.602739726027397</v>
      </c>
      <c r="P45" s="243">
        <f>'2_Traitement_ELEC'!I46</f>
        <v>0.83211233211233204</v>
      </c>
      <c r="Q45" s="243">
        <f>'2_Traitement_EAU'!L46</f>
        <v>1050</v>
      </c>
    </row>
    <row r="46" spans="1:17" s="240" customFormat="1" x14ac:dyDescent="0.25">
      <c r="B46" s="241" t="str">
        <f>CONCATENATE("Ratio - ",'0_ENTREE LOGICIEL'!B46," - ",$B$5," - ",$B$7)</f>
        <v>Ratio - GE2.1 - 296 - T4 - 78m² - 2014 - S20</v>
      </c>
      <c r="C46" s="242">
        <f t="shared" si="5"/>
        <v>0.51735211752290045</v>
      </c>
      <c r="D46" s="401">
        <f>'2_Traitement_GAZ'!C47</f>
        <v>-0.54402855734694355</v>
      </c>
      <c r="E46" s="402">
        <f>'2_Traitement_GAZ'!D47</f>
        <v>0.98545837723919905</v>
      </c>
      <c r="F46" s="244">
        <f t="shared" si="6"/>
        <v>1.5520563525687014</v>
      </c>
      <c r="G46" s="391">
        <f>'2_Traitement_ELEC'!C47</f>
        <v>0.27103846153846106</v>
      </c>
      <c r="H46" s="392">
        <f>'2_Traitement_ELEC'!D47</f>
        <v>0.27103846153846106</v>
      </c>
      <c r="I46" s="244">
        <f t="shared" si="7"/>
        <v>0</v>
      </c>
      <c r="J46" s="387">
        <f>'2_Traitement_EAU'!C47</f>
        <v>552.2500000000008</v>
      </c>
      <c r="K46" s="388">
        <f>'2_Traitement_EAU'!D47</f>
        <v>552.2500000000008</v>
      </c>
      <c r="L46" s="244">
        <f t="shared" si="8"/>
        <v>0</v>
      </c>
      <c r="O46" s="243">
        <f>'2_Traitement_GAZ'!J47</f>
        <v>4.602739726027397</v>
      </c>
      <c r="P46" s="243">
        <f>'2_Traitement_ELEC'!I47</f>
        <v>0.67209072978303741</v>
      </c>
      <c r="Q46" s="243">
        <f>'2_Traitement_EAU'!L47</f>
        <v>1050</v>
      </c>
    </row>
    <row r="47" spans="1:17" s="240" customFormat="1" x14ac:dyDescent="0.25">
      <c r="B47" s="241" t="str">
        <f>CONCATENATE("Ratio - ",'0_ENTREE LOGICIEL'!B47," - ",$B$5," - ",$B$7)</f>
        <v>Ratio - GE2.1 - 297 - T4 - 79m² - 2014 - S20</v>
      </c>
      <c r="C47" s="242">
        <f t="shared" si="5"/>
        <v>-0.72604746513671958</v>
      </c>
      <c r="D47" s="401">
        <f>'2_Traitement_GAZ'!C48</f>
        <v>1.722049481043465</v>
      </c>
      <c r="E47" s="402">
        <f>'2_Traitement_GAZ'!D48</f>
        <v>0.54184151205132647</v>
      </c>
      <c r="F47" s="244">
        <f t="shared" si="6"/>
        <v>-2.1781423954101586</v>
      </c>
      <c r="G47" s="391">
        <f>'2_Traitement_ELEC'!C48</f>
        <v>0.78700000000000003</v>
      </c>
      <c r="H47" s="392">
        <f>'2_Traitement_ELEC'!D48</f>
        <v>0.78700000000000003</v>
      </c>
      <c r="I47" s="244">
        <f t="shared" si="7"/>
        <v>0</v>
      </c>
      <c r="J47" s="387">
        <f>'2_Traitement_EAU'!C48</f>
        <v>4782.0000000000109</v>
      </c>
      <c r="K47" s="388">
        <f>'2_Traitement_EAU'!D48</f>
        <v>4782.0000000000109</v>
      </c>
      <c r="L47" s="244">
        <f t="shared" si="8"/>
        <v>0</v>
      </c>
      <c r="O47" s="243">
        <f>'2_Traitement_GAZ'!J48</f>
        <v>4.602739726027397</v>
      </c>
      <c r="P47" s="243">
        <f>'2_Traitement_ELEC'!I48</f>
        <v>0.66358325219084713</v>
      </c>
      <c r="Q47" s="243">
        <f>'2_Traitement_EAU'!L48</f>
        <v>1050</v>
      </c>
    </row>
    <row r="48" spans="1:17" s="240" customFormat="1" x14ac:dyDescent="0.25">
      <c r="B48" s="241" t="str">
        <f>CONCATENATE("Ratio - ",'0_ENTREE LOGICIEL'!B48," - ",$B$5," - ",$B$7)</f>
        <v>Ratio - GE2.1 - 299 - T4 - 79m² - 2014 - S20</v>
      </c>
      <c r="C48" s="242">
        <f t="shared" si="5"/>
        <v>0.59757190825586426</v>
      </c>
      <c r="D48" s="401">
        <f>'2_Traitement_GAZ'!C49</f>
        <v>-0.46416550362323694</v>
      </c>
      <c r="E48" s="402">
        <f>'2_Traitement_GAZ'!D49</f>
        <v>0.58553840818449787</v>
      </c>
      <c r="F48" s="244">
        <f t="shared" si="6"/>
        <v>1.7927157247675929</v>
      </c>
      <c r="G48" s="391">
        <f>'2_Traitement_ELEC'!C49</f>
        <v>0.36330379746835473</v>
      </c>
      <c r="H48" s="392">
        <f>'2_Traitement_ELEC'!D49</f>
        <v>0.36330379746835473</v>
      </c>
      <c r="I48" s="244">
        <f t="shared" si="7"/>
        <v>0</v>
      </c>
      <c r="J48" s="387">
        <f>'2_Traitement_EAU'!C49</f>
        <v>450.66666666666674</v>
      </c>
      <c r="K48" s="388">
        <f>'2_Traitement_EAU'!D49</f>
        <v>450.66666666666674</v>
      </c>
      <c r="L48" s="244">
        <f t="shared" si="8"/>
        <v>0</v>
      </c>
      <c r="O48" s="243">
        <f>'2_Traitement_GAZ'!J49</f>
        <v>4.602739726027397</v>
      </c>
      <c r="P48" s="243">
        <f>'2_Traitement_ELEC'!I49</f>
        <v>0.66358325219084713</v>
      </c>
      <c r="Q48" s="243">
        <f>'2_Traitement_EAU'!L49</f>
        <v>1050</v>
      </c>
    </row>
    <row r="49" spans="2:17" s="240" customFormat="1" x14ac:dyDescent="0.25">
      <c r="B49" s="241" t="str">
        <f>CONCATENATE("Ratio - ",'0_ENTREE LOGICIEL'!B49," - ",$B$5," - ",$B$7)</f>
        <v>Ratio - GE2.1 - 300 - T5 - 93m² - 2014 - S20</v>
      </c>
      <c r="C49" s="242">
        <f t="shared" si="5"/>
        <v>0.79136679738390947</v>
      </c>
      <c r="D49" s="401">
        <f>'2_Traitement_GAZ'!C50</f>
        <v>-0.96909599022278325</v>
      </c>
      <c r="E49" s="402">
        <f>'2_Traitement_GAZ'!D50</f>
        <v>0.70525850640742371</v>
      </c>
      <c r="F49" s="244">
        <f t="shared" si="6"/>
        <v>2.3741003921517283</v>
      </c>
      <c r="G49" s="391">
        <f>'2_Traitement_ELEC'!C50</f>
        <v>0.72027956989247177</v>
      </c>
      <c r="H49" s="392">
        <f>'2_Traitement_ELEC'!D50</f>
        <v>0.72027956989247177</v>
      </c>
      <c r="I49" s="244">
        <f t="shared" si="7"/>
        <v>0</v>
      </c>
      <c r="J49" s="387">
        <f>'2_Traitement_EAU'!C50</f>
        <v>630.25000000000023</v>
      </c>
      <c r="K49" s="388">
        <f>'2_Traitement_EAU'!D50</f>
        <v>630.25000000000023</v>
      </c>
      <c r="L49" s="244">
        <f t="shared" si="8"/>
        <v>0</v>
      </c>
      <c r="O49" s="243">
        <f>'2_Traitement_GAZ'!J50</f>
        <v>4.602739726027397</v>
      </c>
      <c r="P49" s="243">
        <f>'2_Traitement_ELEC'!I50</f>
        <v>0.56368899917287008</v>
      </c>
      <c r="Q49" s="243">
        <f>'2_Traitement_EAU'!L50</f>
        <v>1050</v>
      </c>
    </row>
    <row r="50" spans="2:17" s="240" customFormat="1" x14ac:dyDescent="0.25">
      <c r="B50" s="241" t="str">
        <f>CONCATENATE("Ratio - ",'0_ENTREE LOGICIEL'!B50," - ",$B$5," - ",$B$7)</f>
        <v>Ratio - GE2.1 - 302 - T5 - 93m² - 2014 - S20</v>
      </c>
      <c r="C50" s="242">
        <f t="shared" si="5"/>
        <v>0.79950311621786485</v>
      </c>
      <c r="D50" s="401">
        <f>'2_Traitement_GAZ'!C51</f>
        <v>-0.49142493771512957</v>
      </c>
      <c r="E50" s="402">
        <f>'2_Traitement_GAZ'!D51</f>
        <v>0.35139195757843567</v>
      </c>
      <c r="F50" s="244">
        <f t="shared" si="6"/>
        <v>2.3985093486535947</v>
      </c>
      <c r="G50" s="391">
        <f>'2_Traitement_ELEC'!C51</f>
        <v>0.46965591397849338</v>
      </c>
      <c r="H50" s="392">
        <f>'2_Traitement_ELEC'!D51</f>
        <v>0.46965591397849338</v>
      </c>
      <c r="I50" s="244">
        <f t="shared" si="7"/>
        <v>0</v>
      </c>
      <c r="J50" s="387">
        <f>'2_Traitement_EAU'!C51</f>
        <v>643.00000000000068</v>
      </c>
      <c r="K50" s="388">
        <f>'2_Traitement_EAU'!D51</f>
        <v>643.00000000000068</v>
      </c>
      <c r="L50" s="244">
        <f t="shared" si="8"/>
        <v>0</v>
      </c>
      <c r="O50" s="243">
        <f>'2_Traitement_GAZ'!J51</f>
        <v>4.602739726027397</v>
      </c>
      <c r="P50" s="243">
        <f>'2_Traitement_ELEC'!I51</f>
        <v>0.56368899917287008</v>
      </c>
      <c r="Q50" s="243">
        <f>'2_Traitement_EAU'!L51</f>
        <v>1050</v>
      </c>
    </row>
    <row r="51" spans="2:17" s="240" customFormat="1" x14ac:dyDescent="0.25">
      <c r="B51" s="241" t="str">
        <f>CONCATENATE("Ratio - ",'0_ENTREE LOGICIEL'!B51," - ",$B$5," - ",$B$7)</f>
        <v>Ratio - GE2.1 - 312 - T4 - 75m² - 2014 - S20</v>
      </c>
      <c r="C51" s="242">
        <f t="shared" si="5"/>
        <v>-19.311908046458107</v>
      </c>
      <c r="D51" s="401">
        <f>'2_Traitement_GAZ'!C52</f>
        <v>-1.2659070609662868</v>
      </c>
      <c r="E51" s="402">
        <f>'2_Traitement_GAZ'!D52</f>
        <v>-2.1479452054794519E-2</v>
      </c>
      <c r="F51" s="244">
        <f t="shared" si="6"/>
        <v>-57.935724139374322</v>
      </c>
      <c r="G51" s="391">
        <f>'2_Traitement_ELEC'!C52</f>
        <v>0.55522666666666431</v>
      </c>
      <c r="H51" s="392">
        <f>'2_Traitement_ELEC'!D52</f>
        <v>0.55522666666666431</v>
      </c>
      <c r="I51" s="244">
        <f t="shared" si="7"/>
        <v>0</v>
      </c>
      <c r="J51" s="387">
        <f>'2_Traitement_EAU'!C52</f>
        <v>1079.4999999999995</v>
      </c>
      <c r="K51" s="388">
        <f>'2_Traitement_EAU'!D52</f>
        <v>1079.4999999999995</v>
      </c>
      <c r="L51" s="244">
        <f t="shared" si="8"/>
        <v>0</v>
      </c>
      <c r="O51" s="243">
        <f>'2_Traitement_GAZ'!J52</f>
        <v>4.602739726027397</v>
      </c>
      <c r="P51" s="243">
        <f>'2_Traitement_ELEC'!I52</f>
        <v>0.69897435897435889</v>
      </c>
      <c r="Q51" s="243">
        <f>'2_Traitement_EAU'!L52</f>
        <v>1050</v>
      </c>
    </row>
    <row r="52" spans="2:17" s="447" customFormat="1" x14ac:dyDescent="0.25">
      <c r="B52" s="245" t="str">
        <f>CONCATENATE("Ratio - ",'0_ENTREE LOGICIEL'!B52," - ",$B$5," - ",$B$7)</f>
        <v>Ratio - MOYENNE GE2.1 - 2014 - S20</v>
      </c>
      <c r="C52" s="448">
        <f>AVERAGE(C39:C51)</f>
        <v>-2.4000510746482657</v>
      </c>
      <c r="D52" s="403">
        <f>AVERAGE(D39:D51)</f>
        <v>-0.44483547970826459</v>
      </c>
      <c r="E52" s="404">
        <f t="shared" ref="E52" si="9">AVERAGE(E39:E51)</f>
        <v>0.58396105851362523</v>
      </c>
      <c r="F52" s="449">
        <f t="shared" ref="F52" si="10">AVERAGE(F39:F51)</f>
        <v>-7.2431491492081648</v>
      </c>
      <c r="G52" s="407">
        <f t="shared" ref="G52" si="11">AVERAGE(G39:G51)</f>
        <v>0.44491652205118071</v>
      </c>
      <c r="H52" s="408">
        <f t="shared" ref="H52" si="12">AVERAGE(H39:H51)</f>
        <v>0.44491652205118071</v>
      </c>
      <c r="I52" s="449">
        <f t="shared" ref="I52" si="13">AVERAGE(I39:I51)</f>
        <v>0</v>
      </c>
      <c r="J52" s="445">
        <f t="shared" ref="J52" si="14">AVERAGE(J39:J51)</f>
        <v>1062.3717948717958</v>
      </c>
      <c r="K52" s="446">
        <f t="shared" ref="K52" si="15">AVERAGE(K39:K51)</f>
        <v>1062.3717948717958</v>
      </c>
      <c r="L52" s="449">
        <f t="shared" ref="L52" si="16">AVERAGE(L39:L51)</f>
        <v>0</v>
      </c>
      <c r="O52" s="246">
        <f t="shared" ref="O52" si="17">AVERAGE(O39:O51)</f>
        <v>4.6027397260273961</v>
      </c>
      <c r="P52" s="246">
        <f t="shared" ref="P52" si="18">AVERAGE(P39:P51)</f>
        <v>0.72434226340211505</v>
      </c>
      <c r="Q52" s="246">
        <f t="shared" ref="Q52" si="19">AVERAGE(Q39:Q51)</f>
        <v>1050</v>
      </c>
    </row>
    <row r="53" spans="2:17" s="240" customFormat="1" x14ac:dyDescent="0.25">
      <c r="B53" s="241" t="str">
        <f>CONCATENATE("Ratio - ",'0_ENTREE LOGICIEL'!B53," - ",$B$5," - ",$B$7)</f>
        <v>Ratio - GE2.2 - 271 - T3 - 74m² - 2014 - S20</v>
      </c>
      <c r="C53" s="242">
        <f t="shared" ref="C53:C65" si="20">AVERAGE(F53,I53,L53)</f>
        <v>1.0666307191213689</v>
      </c>
      <c r="D53" s="401">
        <f>'2_Traitement_GAZ'!C54</f>
        <v>-1.2588498031921374</v>
      </c>
      <c r="E53" s="402">
        <f>'2_Traitement_GAZ'!D54</f>
        <v>0.57223250647908175</v>
      </c>
      <c r="F53" s="244">
        <f t="shared" ref="F53:F65" si="21">(E53-D53)/E53</f>
        <v>3.1998921573641068</v>
      </c>
      <c r="G53" s="413">
        <f>'2_Traitement_ELEC'!C54</f>
        <v>0.36048648648648557</v>
      </c>
      <c r="H53" s="414">
        <f>'2_Traitement_ELEC'!D54</f>
        <v>0.36048648648648557</v>
      </c>
      <c r="I53" s="244">
        <f t="shared" ref="I53:I65" si="22">(H53-G53)/H53</f>
        <v>0</v>
      </c>
      <c r="J53" s="387">
        <f>'2_Traitement_EAU'!C54</f>
        <v>922.99999999999829</v>
      </c>
      <c r="K53" s="388">
        <f>'2_Traitement_EAU'!D54</f>
        <v>922.99999999999829</v>
      </c>
      <c r="L53" s="244">
        <f t="shared" ref="L53:L65" si="23">(K53-J53)/K53</f>
        <v>0</v>
      </c>
      <c r="O53" s="243">
        <f>'2_Traitement_GAZ'!J54</f>
        <v>4.602739726027397</v>
      </c>
      <c r="P53" s="247">
        <f>'2_Traitement_ELEC'!I54</f>
        <v>0.70841995841995842</v>
      </c>
      <c r="Q53" s="243">
        <f>'2_Traitement_EAU'!L54</f>
        <v>1050</v>
      </c>
    </row>
    <row r="54" spans="2:17" s="240" customFormat="1" x14ac:dyDescent="0.25">
      <c r="B54" s="241" t="str">
        <f>CONCATENATE("Ratio - ",'0_ENTREE LOGICIEL'!B54," - ",$B$5," - ",$B$7)</f>
        <v>Ratio - GE2.2 - 272 - T3 - 74m² - 2014 - S20</v>
      </c>
      <c r="C54" s="242">
        <f t="shared" si="20"/>
        <v>0.41539487608065379</v>
      </c>
      <c r="D54" s="401">
        <f>'2_Traitement_GAZ'!C55</f>
        <v>-0.21973413615909662</v>
      </c>
      <c r="E54" s="402">
        <f>'2_Traitement_GAZ'!D55</f>
        <v>0.89255831173639388</v>
      </c>
      <c r="F54" s="244">
        <f t="shared" si="21"/>
        <v>1.2461846282419613</v>
      </c>
      <c r="G54" s="413">
        <f>'2_Traitement_ELEC'!C55</f>
        <v>1.4495945945945943</v>
      </c>
      <c r="H54" s="414">
        <f>'2_Traitement_ELEC'!D55</f>
        <v>1.4495945945945943</v>
      </c>
      <c r="I54" s="244">
        <f t="shared" si="22"/>
        <v>0</v>
      </c>
      <c r="J54" s="387">
        <f>'2_Traitement_EAU'!C55</f>
        <v>2026.0000000000034</v>
      </c>
      <c r="K54" s="388">
        <f>'2_Traitement_EAU'!D55</f>
        <v>2026.0000000000034</v>
      </c>
      <c r="L54" s="244">
        <f t="shared" si="23"/>
        <v>0</v>
      </c>
      <c r="O54" s="243">
        <f>'2_Traitement_GAZ'!J55</f>
        <v>4.602739726027397</v>
      </c>
      <c r="P54" s="247">
        <f>'2_Traitement_ELEC'!I55</f>
        <v>0.70841995841995842</v>
      </c>
      <c r="Q54" s="243">
        <f>'2_Traitement_EAU'!L55</f>
        <v>1050</v>
      </c>
    </row>
    <row r="55" spans="2:17" s="240" customFormat="1" x14ac:dyDescent="0.25">
      <c r="B55" s="241" t="str">
        <f>CONCATENATE("Ratio - ",'0_ENTREE LOGICIEL'!B55," - ",$B$5," - ",$B$7)</f>
        <v>Ratio - GE2.2 - 273 - T3 - 74m² - 2014 - S20</v>
      </c>
      <c r="C55" s="242">
        <f t="shared" si="20"/>
        <v>0.90446125296635194</v>
      </c>
      <c r="D55" s="401">
        <f>'2_Traitement_GAZ'!C56</f>
        <v>-0.9111826846659028</v>
      </c>
      <c r="E55" s="402">
        <f>'2_Traitement_GAZ'!D56</f>
        <v>0.5318030359126249</v>
      </c>
      <c r="F55" s="244">
        <f t="shared" si="21"/>
        <v>2.7133837588990559</v>
      </c>
      <c r="G55" s="413">
        <f>'2_Traitement_ELEC'!C56</f>
        <v>0.79736486486486324</v>
      </c>
      <c r="H55" s="414">
        <f>'2_Traitement_ELEC'!D56</f>
        <v>0.79736486486486324</v>
      </c>
      <c r="I55" s="244">
        <f t="shared" si="22"/>
        <v>0</v>
      </c>
      <c r="J55" s="387">
        <f>'2_Traitement_EAU'!C56</f>
        <v>1059.5</v>
      </c>
      <c r="K55" s="388">
        <f>'2_Traitement_EAU'!D56</f>
        <v>1059.5</v>
      </c>
      <c r="L55" s="244">
        <f t="shared" si="23"/>
        <v>0</v>
      </c>
      <c r="O55" s="243">
        <f>'2_Traitement_GAZ'!J56</f>
        <v>4.602739726027397</v>
      </c>
      <c r="P55" s="247">
        <f>'2_Traitement_ELEC'!I56</f>
        <v>0.70841995841995842</v>
      </c>
      <c r="Q55" s="243">
        <f>'2_Traitement_EAU'!L56</f>
        <v>1050</v>
      </c>
    </row>
    <row r="56" spans="2:17" s="240" customFormat="1" x14ac:dyDescent="0.25">
      <c r="B56" s="241" t="str">
        <f>CONCATENATE("Ratio - ",'0_ENTREE LOGICIEL'!B56," - ",$B$5," - ",$B$7)</f>
        <v>Ratio - GE2.2 - 276 - T4 - 83m² - 2014 - S20</v>
      </c>
      <c r="C56" s="242">
        <f t="shared" si="20"/>
        <v>0.5151750459044836</v>
      </c>
      <c r="D56" s="401">
        <f>'2_Traitement_GAZ'!C57</f>
        <v>-0.77747461118719119</v>
      </c>
      <c r="E56" s="402">
        <f>'2_Traitement_GAZ'!D57</f>
        <v>1.4251856742036637</v>
      </c>
      <c r="F56" s="244">
        <f t="shared" si="21"/>
        <v>1.5455251377134509</v>
      </c>
      <c r="G56" s="391">
        <f>'2_Traitement_ELEC'!C57</f>
        <v>0.96987951807228912</v>
      </c>
      <c r="H56" s="392">
        <f>'2_Traitement_ELEC'!D57</f>
        <v>0.96987951807228912</v>
      </c>
      <c r="I56" s="244">
        <f t="shared" si="22"/>
        <v>0</v>
      </c>
      <c r="J56" s="387">
        <f>'2_Traitement_EAU'!C57</f>
        <v>965.50000000000227</v>
      </c>
      <c r="K56" s="388">
        <f>'2_Traitement_EAU'!D57</f>
        <v>965.50000000000227</v>
      </c>
      <c r="L56" s="244">
        <f t="shared" si="23"/>
        <v>0</v>
      </c>
      <c r="O56" s="243">
        <f>'2_Traitement_GAZ'!J57</f>
        <v>4.602739726027397</v>
      </c>
      <c r="P56" s="243">
        <f>'2_Traitement_ELEC'!I57</f>
        <v>0.63160333642261346</v>
      </c>
      <c r="Q56" s="243">
        <f>'2_Traitement_EAU'!L57</f>
        <v>1050</v>
      </c>
    </row>
    <row r="57" spans="2:17" s="240" customFormat="1" x14ac:dyDescent="0.25">
      <c r="B57" s="241" t="str">
        <f>CONCATENATE("Ratio - ",'0_ENTREE LOGICIEL'!B57," - ",$B$5," - ",$B$7)</f>
        <v>Ratio - GE2.2 - 279 - T3 - 70m² - 2014 - S20</v>
      </c>
      <c r="C57" s="242">
        <f t="shared" si="20"/>
        <v>-0.51601571392709566</v>
      </c>
      <c r="D57" s="401">
        <f>'2_Traitement_GAZ'!C58</f>
        <v>1.7591996704900938</v>
      </c>
      <c r="E57" s="402">
        <f>'2_Traitement_GAZ'!D58</f>
        <v>0.69041095890410953</v>
      </c>
      <c r="F57" s="244">
        <f t="shared" si="21"/>
        <v>-1.5480471417812871</v>
      </c>
      <c r="G57" s="391">
        <f>'2_Traitement_ELEC'!C58</f>
        <v>0.68985714285714239</v>
      </c>
      <c r="H57" s="392">
        <f>'2_Traitement_ELEC'!D58</f>
        <v>0.68985714285714239</v>
      </c>
      <c r="I57" s="244">
        <f t="shared" si="22"/>
        <v>0</v>
      </c>
      <c r="J57" s="387">
        <f>'2_Traitement_EAU'!C58</f>
        <v>695.99999999999977</v>
      </c>
      <c r="K57" s="388">
        <f>'2_Traitement_EAU'!D58</f>
        <v>695.99999999999977</v>
      </c>
      <c r="L57" s="244">
        <f t="shared" si="23"/>
        <v>0</v>
      </c>
      <c r="O57" s="243">
        <f>'2_Traitement_GAZ'!J58</f>
        <v>4.602739726027397</v>
      </c>
      <c r="P57" s="243">
        <f>'2_Traitement_ELEC'!I58</f>
        <v>0.74890109890109891</v>
      </c>
      <c r="Q57" s="243">
        <f>'2_Traitement_EAU'!L58</f>
        <v>1050</v>
      </c>
    </row>
    <row r="58" spans="2:17" s="240" customFormat="1" x14ac:dyDescent="0.25">
      <c r="B58" s="241" t="str">
        <f>CONCATENATE("Ratio - ",'0_ENTREE LOGICIEL'!B58," - ",$B$5," - ",$B$7)</f>
        <v>Ratio - GE2.2 - 288 - T3 - 68m² - 2014 - S20</v>
      </c>
      <c r="C58" s="242">
        <f t="shared" si="20"/>
        <v>0.23677975695700634</v>
      </c>
      <c r="D58" s="401">
        <f>'2_Traitement_GAZ'!C59</f>
        <v>0.13724456787094344</v>
      </c>
      <c r="E58" s="402">
        <f>'2_Traitement_GAZ'!D59</f>
        <v>0.47381144238517314</v>
      </c>
      <c r="F58" s="244">
        <f t="shared" si="21"/>
        <v>0.710339270871019</v>
      </c>
      <c r="G58" s="391">
        <f>'2_Traitement_ELEC'!C59</f>
        <v>0.49985294117647072</v>
      </c>
      <c r="H58" s="392">
        <f>'2_Traitement_ELEC'!D59</f>
        <v>0.49985294117647072</v>
      </c>
      <c r="I58" s="244">
        <f t="shared" si="22"/>
        <v>0</v>
      </c>
      <c r="J58" s="387">
        <f>'2_Traitement_EAU'!C59</f>
        <v>217.24999999999994</v>
      </c>
      <c r="K58" s="388">
        <f>'2_Traitement_EAU'!D59</f>
        <v>217.24999999999994</v>
      </c>
      <c r="L58" s="244">
        <f t="shared" si="23"/>
        <v>0</v>
      </c>
      <c r="O58" s="243">
        <f>'2_Traitement_GAZ'!J59</f>
        <v>4.602739726027397</v>
      </c>
      <c r="P58" s="243">
        <f>'2_Traitement_ELEC'!I59</f>
        <v>0.77092760180995468</v>
      </c>
      <c r="Q58" s="243">
        <f>'2_Traitement_EAU'!L59</f>
        <v>1050</v>
      </c>
    </row>
    <row r="59" spans="2:17" s="240" customFormat="1" x14ac:dyDescent="0.25">
      <c r="B59" s="241" t="str">
        <f>CONCATENATE("Ratio - ",'0_ENTREE LOGICIEL'!B59," - ",$B$5," - ",$B$7)</f>
        <v>Ratio - GE2.2 - 291 - T3 - 62m² - 2014 - S20</v>
      </c>
      <c r="C59" s="242">
        <f t="shared" si="20"/>
        <v>0.35147088054064796</v>
      </c>
      <c r="D59" s="401">
        <f>'2_Traitement_GAZ'!C60</f>
        <v>-0.11290322580645161</v>
      </c>
      <c r="E59" s="402">
        <f>'2_Traitement_GAZ'!D60</f>
        <v>2.074944763588157</v>
      </c>
      <c r="F59" s="244">
        <f t="shared" si="21"/>
        <v>1.0544126416219439</v>
      </c>
      <c r="G59" s="391">
        <f>'2_Traitement_ELEC'!C60</f>
        <v>0.20582258064516076</v>
      </c>
      <c r="H59" s="392">
        <f>'2_Traitement_ELEC'!D60</f>
        <v>0.20582258064516076</v>
      </c>
      <c r="I59" s="244">
        <f t="shared" si="22"/>
        <v>0</v>
      </c>
      <c r="J59" s="387">
        <f>'2_Traitement_EAU'!C60</f>
        <v>59.499999999999886</v>
      </c>
      <c r="K59" s="388">
        <f>'2_Traitement_EAU'!D60</f>
        <v>59.499999999999886</v>
      </c>
      <c r="L59" s="244">
        <f t="shared" si="23"/>
        <v>0</v>
      </c>
      <c r="O59" s="243">
        <f>'2_Traitement_GAZ'!J60</f>
        <v>4.602739726027397</v>
      </c>
      <c r="P59" s="243">
        <f>'2_Traitement_ELEC'!I60</f>
        <v>0.84553349875930517</v>
      </c>
      <c r="Q59" s="243">
        <f>'2_Traitement_EAU'!L60</f>
        <v>1050</v>
      </c>
    </row>
    <row r="60" spans="2:17" s="240" customFormat="1" x14ac:dyDescent="0.25">
      <c r="B60" s="241" t="str">
        <f>CONCATENATE("Ratio - ",'0_ENTREE LOGICIEL'!B60," - ",$B$5," - ",$B$7)</f>
        <v>Ratio - GE2.2 - 294 - T3 - 63m² - 2014 - S20</v>
      </c>
      <c r="C60" s="242">
        <f t="shared" si="20"/>
        <v>0.41586927417628305</v>
      </c>
      <c r="D60" s="401">
        <f>'2_Traitement_GAZ'!C61</f>
        <v>-0.18451870610369028</v>
      </c>
      <c r="E60" s="402">
        <f>'2_Traitement_GAZ'!D61</f>
        <v>0.74520547945205473</v>
      </c>
      <c r="F60" s="244">
        <f t="shared" si="21"/>
        <v>1.2476078225288492</v>
      </c>
      <c r="G60" s="391">
        <f>'2_Traitement_ELEC'!C61</f>
        <v>0.74509523809523492</v>
      </c>
      <c r="H60" s="392">
        <f>'2_Traitement_ELEC'!D61</f>
        <v>0.74509523809523492</v>
      </c>
      <c r="I60" s="244">
        <f t="shared" si="22"/>
        <v>0</v>
      </c>
      <c r="J60" s="387">
        <f>'2_Traitement_EAU'!C61</f>
        <v>704.99999999999829</v>
      </c>
      <c r="K60" s="388">
        <f>'2_Traitement_EAU'!D61</f>
        <v>704.99999999999829</v>
      </c>
      <c r="L60" s="244">
        <f t="shared" si="23"/>
        <v>0</v>
      </c>
      <c r="O60" s="243">
        <f>'2_Traitement_GAZ'!J61</f>
        <v>4.602739726027397</v>
      </c>
      <c r="P60" s="243">
        <f>'2_Traitement_ELEC'!I61</f>
        <v>0.83211233211233204</v>
      </c>
      <c r="Q60" s="243">
        <f>'2_Traitement_EAU'!L61</f>
        <v>1050</v>
      </c>
    </row>
    <row r="61" spans="2:17" s="240" customFormat="1" x14ac:dyDescent="0.25">
      <c r="B61" s="241" t="str">
        <f>CONCATENATE("Ratio - ",'0_ENTREE LOGICIEL'!B61," - ",$B$5," - ",$B$7)</f>
        <v>Ratio - GE2.2 - 298 - T5 - 93m² - 2014 - S20</v>
      </c>
      <c r="C61" s="242">
        <f t="shared" si="20"/>
        <v>0.49382096917018181</v>
      </c>
      <c r="D61" s="401">
        <f>'2_Traitement_GAZ'!C62</f>
        <v>-0.4432096902014882</v>
      </c>
      <c r="E61" s="402">
        <f>'2_Traitement_GAZ'!D62</f>
        <v>0.92054794520547933</v>
      </c>
      <c r="F61" s="244">
        <f t="shared" si="21"/>
        <v>1.4814629075105454</v>
      </c>
      <c r="G61" s="391">
        <f>'2_Traitement_ELEC'!C62</f>
        <v>0.76554838709677331</v>
      </c>
      <c r="H61" s="392">
        <f>'2_Traitement_ELEC'!D62</f>
        <v>0.76554838709677331</v>
      </c>
      <c r="I61" s="244">
        <f t="shared" si="22"/>
        <v>0</v>
      </c>
      <c r="J61" s="387">
        <f>'2_Traitement_EAU'!C62</f>
        <v>4917.9999999999918</v>
      </c>
      <c r="K61" s="388">
        <f>'2_Traitement_EAU'!D62</f>
        <v>4917.9999999999918</v>
      </c>
      <c r="L61" s="244">
        <f t="shared" si="23"/>
        <v>0</v>
      </c>
      <c r="O61" s="243">
        <f>'2_Traitement_GAZ'!J62</f>
        <v>4.602739726027397</v>
      </c>
      <c r="P61" s="243">
        <f>'2_Traitement_ELEC'!I62</f>
        <v>0.56368899917287008</v>
      </c>
      <c r="Q61" s="243">
        <f>'2_Traitement_EAU'!L62</f>
        <v>1050</v>
      </c>
    </row>
    <row r="62" spans="2:17" s="240" customFormat="1" x14ac:dyDescent="0.25">
      <c r="B62" s="241" t="str">
        <f>CONCATENATE("Ratio - ",'0_ENTREE LOGICIEL'!B62," - ",$B$5," - ",$B$7)</f>
        <v>Ratio - GE2.2 - 301 - T4 - 79m² - 2014 - S20</v>
      </c>
      <c r="C62" s="242">
        <f t="shared" si="20"/>
        <v>0.70727404163262708</v>
      </c>
      <c r="D62" s="401">
        <f>'2_Traitement_GAZ'!C63</f>
        <v>-0.74510620204765798</v>
      </c>
      <c r="E62" s="402">
        <f>'2_Traitement_GAZ'!D63</f>
        <v>0.66419282122420653</v>
      </c>
      <c r="F62" s="244">
        <f t="shared" si="21"/>
        <v>2.1218221248978812</v>
      </c>
      <c r="G62" s="391">
        <f>'2_Traitement_ELEC'!C63</f>
        <v>0.89856962025316267</v>
      </c>
      <c r="H62" s="392">
        <f>'2_Traitement_ELEC'!D63</f>
        <v>0.89856962025316267</v>
      </c>
      <c r="I62" s="244">
        <f t="shared" si="22"/>
        <v>0</v>
      </c>
      <c r="J62" s="387">
        <f>'2_Traitement_EAU'!C63</f>
        <v>716.66666666666617</v>
      </c>
      <c r="K62" s="388">
        <f>'2_Traitement_EAU'!D63</f>
        <v>716.66666666666617</v>
      </c>
      <c r="L62" s="244">
        <f t="shared" si="23"/>
        <v>0</v>
      </c>
      <c r="O62" s="243">
        <f>'2_Traitement_GAZ'!J63</f>
        <v>4.602739726027397</v>
      </c>
      <c r="P62" s="243">
        <f>'2_Traitement_ELEC'!I63</f>
        <v>0.66358325219084713</v>
      </c>
      <c r="Q62" s="243">
        <f>'2_Traitement_EAU'!L63</f>
        <v>1050</v>
      </c>
    </row>
    <row r="63" spans="2:17" s="240" customFormat="1" x14ac:dyDescent="0.25">
      <c r="B63" s="241" t="str">
        <f>CONCATENATE("Ratio - ",'0_ENTREE LOGICIEL'!B63," - ",$B$5," - ",$B$7)</f>
        <v>Ratio - GE2.2 - 311 - T4 - 74m² - 2014 - S20</v>
      </c>
      <c r="C63" s="242">
        <f t="shared" si="20"/>
        <v>-6.8611935200752256</v>
      </c>
      <c r="D63" s="401">
        <f>'2_Traitement_GAZ'!C64</f>
        <v>-0.46986839575759703</v>
      </c>
      <c r="E63" s="402">
        <f>'2_Traitement_GAZ'!D64</f>
        <v>-2.1769714920399849E-2</v>
      </c>
      <c r="F63" s="244">
        <f t="shared" si="21"/>
        <v>-20.583580560225677</v>
      </c>
      <c r="G63" s="391">
        <f>'2_Traitement_ELEC'!C64</f>
        <v>0.4733243243243237</v>
      </c>
      <c r="H63" s="392">
        <f>'2_Traitement_ELEC'!D64</f>
        <v>0.4733243243243237</v>
      </c>
      <c r="I63" s="244">
        <f t="shared" si="22"/>
        <v>0</v>
      </c>
      <c r="J63" s="387">
        <f>'2_Traitement_EAU'!C64</f>
        <v>1048.9999999999995</v>
      </c>
      <c r="K63" s="388">
        <f>'2_Traitement_EAU'!D64</f>
        <v>1048.9999999999995</v>
      </c>
      <c r="L63" s="244">
        <f t="shared" si="23"/>
        <v>0</v>
      </c>
      <c r="O63" s="243">
        <f>'2_Traitement_GAZ'!J64</f>
        <v>4.602739726027397</v>
      </c>
      <c r="P63" s="243">
        <f>'2_Traitement_ELEC'!I64</f>
        <v>0.70841995841995842</v>
      </c>
      <c r="Q63" s="243">
        <f>'2_Traitement_EAU'!L64</f>
        <v>1050</v>
      </c>
    </row>
    <row r="64" spans="2:17" s="240" customFormat="1" x14ac:dyDescent="0.25">
      <c r="B64" s="241" t="str">
        <f>CONCATENATE("Ratio - ",'0_ENTREE LOGICIEL'!B64," - ",$B$5," - ",$B$7)</f>
        <v>Ratio - GE2.2 - 313 - T4 - 75m² - 2014 - S20</v>
      </c>
      <c r="C64" s="242">
        <f t="shared" si="20"/>
        <v>-10.989922511166492</v>
      </c>
      <c r="D64" s="401">
        <f>'2_Traitement_GAZ'!C65</f>
        <v>-0.72965199304831752</v>
      </c>
      <c r="E64" s="402">
        <f>'2_Traitement_GAZ'!D65</f>
        <v>-2.1479452054794519E-2</v>
      </c>
      <c r="F64" s="244">
        <f t="shared" si="21"/>
        <v>-32.969767533499478</v>
      </c>
      <c r="G64" s="391">
        <f>'2_Traitement_ELEC'!C65</f>
        <v>0.36859999999999976</v>
      </c>
      <c r="H64" s="392">
        <f>'2_Traitement_ELEC'!D65</f>
        <v>0.36859999999999976</v>
      </c>
      <c r="I64" s="244">
        <f t="shared" si="22"/>
        <v>0</v>
      </c>
      <c r="J64" s="387">
        <f>'2_Traitement_EAU'!C65</f>
        <v>615.00000000000023</v>
      </c>
      <c r="K64" s="388">
        <f>'2_Traitement_EAU'!D65</f>
        <v>615.00000000000023</v>
      </c>
      <c r="L64" s="244">
        <f t="shared" si="23"/>
        <v>0</v>
      </c>
      <c r="O64" s="243">
        <f>'2_Traitement_GAZ'!J65</f>
        <v>4.602739726027397</v>
      </c>
      <c r="P64" s="243">
        <f>'2_Traitement_ELEC'!I65</f>
        <v>0.69897435897435889</v>
      </c>
      <c r="Q64" s="243">
        <f>'2_Traitement_EAU'!L65</f>
        <v>1050</v>
      </c>
    </row>
    <row r="65" spans="1:18" s="240" customFormat="1" x14ac:dyDescent="0.25">
      <c r="B65" s="241" t="str">
        <f>CONCATENATE("Ratio - ",'0_ENTREE LOGICIEL'!B65," - ",$B$5," - ",$B$7)</f>
        <v>Ratio - GE2.2 - 315 - T4 - 75m² - 2014 - S20</v>
      </c>
      <c r="C65" s="242">
        <f t="shared" si="20"/>
        <v>-8.8401653551467145</v>
      </c>
      <c r="D65" s="401">
        <f>'2_Traitement_GAZ'!C66</f>
        <v>-0.59112517576178281</v>
      </c>
      <c r="E65" s="402">
        <f>'2_Traitement_GAZ'!D66</f>
        <v>-2.1479452054794519E-2</v>
      </c>
      <c r="F65" s="244">
        <f t="shared" si="21"/>
        <v>-26.520496065440145</v>
      </c>
      <c r="G65" s="391">
        <f>'2_Traitement_ELEC'!C66</f>
        <v>0.65184000000000197</v>
      </c>
      <c r="H65" s="392">
        <f>'2_Traitement_ELEC'!D66</f>
        <v>0.65184000000000197</v>
      </c>
      <c r="I65" s="244">
        <f t="shared" si="22"/>
        <v>0</v>
      </c>
      <c r="J65" s="387">
        <f>'2_Traitement_EAU'!C66</f>
        <v>2076.0000000000005</v>
      </c>
      <c r="K65" s="388">
        <f>'2_Traitement_EAU'!D66</f>
        <v>2076.0000000000005</v>
      </c>
      <c r="L65" s="244">
        <f t="shared" si="23"/>
        <v>0</v>
      </c>
      <c r="O65" s="243">
        <f>'2_Traitement_GAZ'!J66</f>
        <v>4.602739726027397</v>
      </c>
      <c r="P65" s="243">
        <f>'2_Traitement_ELEC'!I66</f>
        <v>0.69897435897435889</v>
      </c>
      <c r="Q65" s="243">
        <f>'2_Traitement_EAU'!L66</f>
        <v>1050</v>
      </c>
    </row>
    <row r="66" spans="1:18" s="447" customFormat="1" x14ac:dyDescent="0.25">
      <c r="B66" s="245" t="str">
        <f>CONCATENATE("Ratio - ",'0_ENTREE LOGICIEL'!B66," - ",$B$5," - ",$B$7)</f>
        <v>Ratio - MOYENNE GE2.2 - 2014 - S20</v>
      </c>
      <c r="C66" s="448">
        <f>AVERAGE(C53:C65)</f>
        <v>-1.7000323295204554</v>
      </c>
      <c r="D66" s="403">
        <f>AVERAGE(D53:D65)</f>
        <v>-0.34978310658232886</v>
      </c>
      <c r="E66" s="404">
        <f t="shared" ref="E66" si="24">AVERAGE(E53:E65)</f>
        <v>0.68662802462007366</v>
      </c>
      <c r="F66" s="449">
        <f t="shared" ref="F66" si="25">AVERAGE(F53:F65)</f>
        <v>-5.1000969885613667</v>
      </c>
      <c r="G66" s="407">
        <f t="shared" ref="G66" si="26">AVERAGE(G53:G65)</f>
        <v>0.68275659218973095</v>
      </c>
      <c r="H66" s="408">
        <f t="shared" ref="H66" si="27">AVERAGE(H53:H65)</f>
        <v>0.68275659218973095</v>
      </c>
      <c r="I66" s="449">
        <f t="shared" ref="I66" si="28">AVERAGE(I53:I65)</f>
        <v>0</v>
      </c>
      <c r="J66" s="445">
        <f t="shared" ref="J66" si="29">AVERAGE(J53:J65)</f>
        <v>1232.8012820512815</v>
      </c>
      <c r="K66" s="446">
        <f t="shared" ref="K66" si="30">AVERAGE(K53:K65)</f>
        <v>1232.8012820512815</v>
      </c>
      <c r="L66" s="449">
        <f t="shared" ref="L66" si="31">AVERAGE(L53:L65)</f>
        <v>0</v>
      </c>
      <c r="O66" s="246">
        <f t="shared" ref="O66" si="32">AVERAGE(O53:O65)</f>
        <v>4.6027397260273961</v>
      </c>
      <c r="P66" s="246">
        <f t="shared" ref="P66" si="33">AVERAGE(P53:P65)</f>
        <v>0.71445989776904406</v>
      </c>
      <c r="Q66" s="246">
        <f t="shared" ref="Q66" si="34">AVERAGE(Q53:Q65)</f>
        <v>1050</v>
      </c>
    </row>
    <row r="67" spans="1:18" s="240" customFormat="1" x14ac:dyDescent="0.25">
      <c r="B67" s="241" t="str">
        <f>CONCATENATE("Ratio - ",'0_ENTREE LOGICIEL'!B67," - ",$B$5," - ",$B$7)</f>
        <v>Ratio - SO - 284 - T - 64m² - 2014 - S20</v>
      </c>
      <c r="C67" s="242">
        <f t="shared" ref="C67:C72" si="35">AVERAGE(F67,I67,L67)</f>
        <v>0.14986641298029163</v>
      </c>
      <c r="D67" s="401">
        <f>'2_Traitement_GAZ'!C68</f>
        <v>0.21770989007646899</v>
      </c>
      <c r="E67" s="402">
        <f>'2_Traitement_GAZ'!D68</f>
        <v>0.39554794520547942</v>
      </c>
      <c r="F67" s="244">
        <f t="shared" ref="F67:F72" si="36">(E67-D67)/E67</f>
        <v>0.44959923894087489</v>
      </c>
      <c r="G67" s="391">
        <f>'2_Traitement_ELEC'!C68</f>
        <v>1.0108593750000026</v>
      </c>
      <c r="H67" s="392">
        <f>'2_Traitement_ELEC'!D68</f>
        <v>1.0108593750000026</v>
      </c>
      <c r="I67" s="244">
        <f t="shared" ref="I67:I72" si="37">(H67-G67)/H67</f>
        <v>0</v>
      </c>
      <c r="J67" s="387">
        <f>'2_Traitement_EAU'!C68</f>
        <v>176.9999999999996</v>
      </c>
      <c r="K67" s="388">
        <f>'2_Traitement_EAU'!D68</f>
        <v>176.9999999999996</v>
      </c>
      <c r="L67" s="244">
        <f t="shared" ref="L67:L72" si="38">(K67-J67)/K67</f>
        <v>0</v>
      </c>
      <c r="O67" s="243">
        <f>'2_Traitement_GAZ'!J68</f>
        <v>4.602739726027397</v>
      </c>
      <c r="P67" s="243">
        <f>'2_Traitement_ELEC'!I68</f>
        <v>0.81911057692307687</v>
      </c>
      <c r="Q67" s="243">
        <f>'2_Traitement_EAU'!L68</f>
        <v>1050</v>
      </c>
    </row>
    <row r="68" spans="1:18" s="240" customFormat="1" x14ac:dyDescent="0.25">
      <c r="B68" s="241" t="str">
        <f>CONCATENATE("Ratio - ",'0_ENTREE LOGICIEL'!B68," - ",$B$5," - ",$B$7)</f>
        <v>Ratio - SO - 287 - T - 81m² - 2014 - S20</v>
      </c>
      <c r="C68" s="242">
        <f t="shared" si="35"/>
        <v>0.4724486130393768</v>
      </c>
      <c r="D68" s="401">
        <f>'2_Traitement_GAZ'!C69</f>
        <v>-0.17786428455567196</v>
      </c>
      <c r="E68" s="402">
        <f>'2_Traitement_GAZ'!D69</f>
        <v>0.42617960426179596</v>
      </c>
      <c r="F68" s="244">
        <f t="shared" si="36"/>
        <v>1.4173458391181304</v>
      </c>
      <c r="G68" s="391">
        <f>'2_Traitement_ELEC'!C69</f>
        <v>0.425765432098765</v>
      </c>
      <c r="H68" s="392">
        <f>'2_Traitement_ELEC'!D69</f>
        <v>0.425765432098765</v>
      </c>
      <c r="I68" s="244">
        <f t="shared" si="37"/>
        <v>0</v>
      </c>
      <c r="J68" s="387">
        <f>'2_Traitement_EAU'!C69</f>
        <v>966.00000000000114</v>
      </c>
      <c r="K68" s="388">
        <f>'2_Traitement_EAU'!D69</f>
        <v>966.00000000000114</v>
      </c>
      <c r="L68" s="244">
        <f t="shared" si="38"/>
        <v>0</v>
      </c>
      <c r="O68" s="243">
        <f>'2_Traitement_GAZ'!J69</f>
        <v>4.602739726027397</v>
      </c>
      <c r="P68" s="243">
        <f>'2_Traitement_ELEC'!I69</f>
        <v>0.64719848053181384</v>
      </c>
      <c r="Q68" s="243">
        <f>'2_Traitement_EAU'!L69</f>
        <v>1050</v>
      </c>
    </row>
    <row r="69" spans="1:18" s="240" customFormat="1" x14ac:dyDescent="0.25">
      <c r="B69" s="241" t="str">
        <f>CONCATENATE("Ratio - ",'0_ENTREE LOGICIEL'!B69," - ",$B$5," - ",$B$7)</f>
        <v>Ratio - SO - 290 - T - 40m² - 2014 - S20</v>
      </c>
      <c r="C69" s="242">
        <f t="shared" si="35"/>
        <v>0.24520229029830318</v>
      </c>
      <c r="D69" s="401">
        <f>'2_Traitement_GAZ'!C70</f>
        <v>0.70582100000000025</v>
      </c>
      <c r="E69" s="402">
        <f>'2_Traitement_GAZ'!D70</f>
        <v>2.66958904109589</v>
      </c>
      <c r="F69" s="244">
        <f t="shared" si="36"/>
        <v>0.7356068708949095</v>
      </c>
      <c r="G69" s="391">
        <f>'2_Traitement_ELEC'!C70</f>
        <v>0.58717500000000056</v>
      </c>
      <c r="H69" s="392">
        <f>'2_Traitement_ELEC'!D70</f>
        <v>0.58717500000000056</v>
      </c>
      <c r="I69" s="244">
        <f t="shared" si="37"/>
        <v>0</v>
      </c>
      <c r="J69" s="387">
        <f>'2_Traitement_EAU'!C70</f>
        <v>1115.9999999999995</v>
      </c>
      <c r="K69" s="388">
        <f>'2_Traitement_EAU'!D70</f>
        <v>1115.9999999999995</v>
      </c>
      <c r="L69" s="244">
        <f t="shared" si="38"/>
        <v>0</v>
      </c>
      <c r="O69" s="243">
        <f>'2_Traitement_GAZ'!J70</f>
        <v>4.602739726027397</v>
      </c>
      <c r="P69" s="243">
        <f>'2_Traitement_ELEC'!I70</f>
        <v>1.3105769230769231</v>
      </c>
      <c r="Q69" s="243">
        <f>'2_Traitement_EAU'!L70</f>
        <v>1050</v>
      </c>
    </row>
    <row r="70" spans="1:18" s="240" customFormat="1" x14ac:dyDescent="0.25">
      <c r="B70" s="241" t="str">
        <f>CONCATENATE("Ratio - ",'0_ENTREE LOGICIEL'!B70," - ",$B$5," - ",$B$7)</f>
        <v>Ratio - SO - 305 - T - 66m² - 2014 - S20</v>
      </c>
      <c r="C70" s="242">
        <f t="shared" si="35"/>
        <v>7.4838560028063175E-2</v>
      </c>
      <c r="D70" s="401">
        <f>'2_Traitement_GAZ'!C71</f>
        <v>0.48943393939393859</v>
      </c>
      <c r="E70" s="402">
        <f>'2_Traitement_GAZ'!D71</f>
        <v>0.63113325031133238</v>
      </c>
      <c r="F70" s="244">
        <f t="shared" si="36"/>
        <v>0.22451568008418951</v>
      </c>
      <c r="G70" s="391">
        <f>'2_Traitement_ELEC'!C71</f>
        <v>0.56927272727272726</v>
      </c>
      <c r="H70" s="392">
        <f>'2_Traitement_ELEC'!D71</f>
        <v>0.56927272727272726</v>
      </c>
      <c r="I70" s="244">
        <f t="shared" si="37"/>
        <v>0</v>
      </c>
      <c r="J70" s="387">
        <f>'2_Traitement_EAU'!C71</f>
        <v>366.33333333333343</v>
      </c>
      <c r="K70" s="388">
        <f>'2_Traitement_EAU'!D71</f>
        <v>366.33333333333343</v>
      </c>
      <c r="L70" s="244">
        <f t="shared" si="38"/>
        <v>0</v>
      </c>
      <c r="O70" s="243">
        <f>'2_Traitement_GAZ'!J71</f>
        <v>4.602739726027397</v>
      </c>
      <c r="P70" s="243">
        <f>'2_Traitement_ELEC'!I71</f>
        <v>0.79428904428904423</v>
      </c>
      <c r="Q70" s="243">
        <f>'2_Traitement_EAU'!L71</f>
        <v>1050</v>
      </c>
    </row>
    <row r="71" spans="1:18" s="240" customFormat="1" x14ac:dyDescent="0.25">
      <c r="B71" s="241" t="str">
        <f>CONCATENATE("Ratio - ",'0_ENTREE LOGICIEL'!B71," - ",$B$5," - ",$B$7)</f>
        <v>Ratio - SO - 309 - T - 66m² - 2014 - S20</v>
      </c>
      <c r="C71" s="242">
        <f t="shared" si="35"/>
        <v>-0.31234994665762433</v>
      </c>
      <c r="D71" s="401">
        <f>'2_Traitement_GAZ'!C72</f>
        <v>3.1272620330520953</v>
      </c>
      <c r="E71" s="402">
        <f>'2_Traitement_GAZ'!D72</f>
        <v>1.6144458281444583</v>
      </c>
      <c r="F71" s="244">
        <f t="shared" si="36"/>
        <v>-0.93704983997287294</v>
      </c>
      <c r="G71" s="391">
        <f>'2_Traitement_ELEC'!C72</f>
        <v>0.33403030303030379</v>
      </c>
      <c r="H71" s="392">
        <f>'2_Traitement_ELEC'!D72</f>
        <v>0.33403030303030379</v>
      </c>
      <c r="I71" s="244">
        <f t="shared" si="37"/>
        <v>0</v>
      </c>
      <c r="J71" s="387">
        <f>'2_Traitement_EAU'!C72</f>
        <v>1141.0000000000018</v>
      </c>
      <c r="K71" s="388">
        <f>'2_Traitement_EAU'!D72</f>
        <v>1141.0000000000018</v>
      </c>
      <c r="L71" s="244">
        <f t="shared" si="38"/>
        <v>0</v>
      </c>
      <c r="O71" s="243">
        <f>'2_Traitement_GAZ'!J72</f>
        <v>4.602739726027397</v>
      </c>
      <c r="P71" s="243">
        <f>'2_Traitement_ELEC'!I72</f>
        <v>0.79428904428904423</v>
      </c>
      <c r="Q71" s="243">
        <f>'2_Traitement_EAU'!L72</f>
        <v>1050</v>
      </c>
    </row>
    <row r="72" spans="1:18" s="240" customFormat="1" x14ac:dyDescent="0.25">
      <c r="B72" s="241" t="str">
        <f>CONCATENATE("Ratio - ",'0_ENTREE LOGICIEL'!B72," - ",$B$5," - ",$B$7)</f>
        <v>Ratio - SO - 310 - T - 54m² - 2014 - S20</v>
      </c>
      <c r="C72" s="242">
        <f t="shared" si="35"/>
        <v>-2.0060006726270596</v>
      </c>
      <c r="D72" s="401">
        <f>'2_Traitement_GAZ'!C73</f>
        <v>-0.20936505258823607</v>
      </c>
      <c r="E72" s="402">
        <f>'2_Traitement_GAZ'!D73</f>
        <v>-2.9832572298325716E-2</v>
      </c>
      <c r="F72" s="244">
        <f t="shared" si="36"/>
        <v>-6.0180020178811793</v>
      </c>
      <c r="G72" s="391">
        <f>'2_Traitement_ELEC'!C73</f>
        <v>1.0915000000000006</v>
      </c>
      <c r="H72" s="392">
        <f>'2_Traitement_ELEC'!D73</f>
        <v>1.0915000000000006</v>
      </c>
      <c r="I72" s="244">
        <f t="shared" si="37"/>
        <v>0</v>
      </c>
      <c r="J72" s="387">
        <f>'2_Traitement_EAU'!C73</f>
        <v>1754.0000000000014</v>
      </c>
      <c r="K72" s="388">
        <f>'2_Traitement_EAU'!D73</f>
        <v>1754.0000000000014</v>
      </c>
      <c r="L72" s="244">
        <f t="shared" si="38"/>
        <v>0</v>
      </c>
      <c r="O72" s="243">
        <f>'2_Traitement_GAZ'!J73</f>
        <v>4.602739726027397</v>
      </c>
      <c r="P72" s="243">
        <f>'2_Traitement_ELEC'!I73</f>
        <v>0.97079772079772075</v>
      </c>
      <c r="Q72" s="243">
        <f>'2_Traitement_EAU'!L73</f>
        <v>1050</v>
      </c>
    </row>
    <row r="73" spans="1:18" s="21" customFormat="1" x14ac:dyDescent="0.25">
      <c r="B73" s="199" t="str">
        <f>CONCATENATE("Ratio - ",'0_ENTREE LOGICIEL'!B73," - ",$B$5," - ",$B$7)</f>
        <v>Ratio - MOYENNE SO - 2014 - S20</v>
      </c>
      <c r="C73" s="450">
        <f>AVERAGE(C60:C72)</f>
        <v>-2.1654110902975727</v>
      </c>
      <c r="D73" s="399">
        <f>AVERAGE(D60:D72)</f>
        <v>4.9210327375056373E-2</v>
      </c>
      <c r="E73" s="400">
        <f t="shared" ref="E73" si="39">AVERAGE(E60:E72)</f>
        <v>0.66606990370711194</v>
      </c>
      <c r="F73" s="451">
        <f t="shared" ref="F73" si="40">AVERAGE(F60:F72)</f>
        <v>-6.4962332708927164</v>
      </c>
      <c r="G73" s="405">
        <f t="shared" ref="G73" si="41">AVERAGE(G60:G72)</f>
        <v>0.66187207687392502</v>
      </c>
      <c r="H73" s="406">
        <f t="shared" ref="H73" si="42">AVERAGE(H60:H72)</f>
        <v>0.66187207687392502</v>
      </c>
      <c r="I73" s="451">
        <f t="shared" ref="I73" si="43">AVERAGE(I60:I72)</f>
        <v>0</v>
      </c>
      <c r="J73" s="444">
        <f t="shared" ref="J73" si="44">AVERAGE(J60:J72)</f>
        <v>1294.830867850098</v>
      </c>
      <c r="K73" s="425">
        <f t="shared" ref="K73" si="45">AVERAGE(K60:K72)</f>
        <v>1294.830867850098</v>
      </c>
      <c r="L73" s="451">
        <f t="shared" ref="L73" si="46">AVERAGE(L60:L72)</f>
        <v>0</v>
      </c>
      <c r="O73" s="198">
        <f t="shared" ref="O73" si="47">AVERAGE(O60:O72)</f>
        <v>4.6027397260273961</v>
      </c>
      <c r="P73" s="198">
        <f t="shared" ref="P73" si="48">AVERAGE(P60:P72)</f>
        <v>0.78588268827087637</v>
      </c>
      <c r="Q73" s="198">
        <f t="shared" ref="Q73" si="49">AVERAGE(Q60:Q72)</f>
        <v>1050</v>
      </c>
    </row>
    <row r="74" spans="1:18" ht="13.5" thickBot="1" x14ac:dyDescent="0.3"/>
    <row r="75" spans="1:18" s="4" customFormat="1" ht="38.25" x14ac:dyDescent="0.25">
      <c r="A75" s="35"/>
      <c r="B75" s="223" t="s">
        <v>167</v>
      </c>
      <c r="C75" s="223" t="str">
        <f t="shared" ref="C75:L75" si="50">C23</f>
        <v>ECONOMIE GLOBALE</v>
      </c>
      <c r="D75" s="422" t="str">
        <f t="shared" si="50"/>
        <v>Ratio CHAUFFAGE corrigé - S20</v>
      </c>
      <c r="E75" s="423" t="str">
        <f t="shared" si="50"/>
        <v>Ratio CHAUFFAGE réf - Mai</v>
      </c>
      <c r="F75" s="221" t="str">
        <f t="shared" si="50"/>
        <v>ECONOMIE CHAUFFAGE</v>
      </c>
      <c r="G75" s="415" t="str">
        <f t="shared" si="50"/>
        <v>Ratio ELECTRICTE - S20</v>
      </c>
      <c r="H75" s="416" t="str">
        <f t="shared" si="50"/>
        <v>Ratio ELECTRICTE réf - S20</v>
      </c>
      <c r="I75" s="221" t="str">
        <f t="shared" si="50"/>
        <v>ECONOMIE ELECTRICTE</v>
      </c>
      <c r="J75" s="418" t="str">
        <f t="shared" si="50"/>
        <v>Ratio EAU - S20</v>
      </c>
      <c r="K75" s="419" t="str">
        <f t="shared" si="50"/>
        <v>Ratio EAU réf - S20</v>
      </c>
      <c r="L75" s="221" t="str">
        <f t="shared" si="50"/>
        <v>ECONOMIE EAU</v>
      </c>
      <c r="M75" s="35"/>
      <c r="N75" s="35"/>
      <c r="O75" s="220" t="str">
        <f t="shared" ref="O75:Q76" si="51">O23</f>
        <v>Ratio CHAUFFAGE type - Mai</v>
      </c>
      <c r="P75" s="220" t="str">
        <f t="shared" si="51"/>
        <v>Ratio ELECTRICITE type</v>
      </c>
      <c r="Q75" s="220" t="str">
        <f t="shared" si="51"/>
        <v>Ratio EAU type - Mai</v>
      </c>
      <c r="R75" s="35"/>
    </row>
    <row r="76" spans="1:18" s="4" customFormat="1" ht="13.5" thickBot="1" x14ac:dyDescent="0.3">
      <c r="A76" s="36"/>
      <c r="B76" s="228"/>
      <c r="C76" s="224" t="str">
        <f>C24</f>
        <v>%</v>
      </c>
      <c r="D76" s="424" t="str">
        <f t="shared" ref="D76:L76" si="52">D24</f>
        <v>kWh PCI / m²</v>
      </c>
      <c r="E76" s="386" t="str">
        <f t="shared" si="52"/>
        <v>kWh PCI / m²</v>
      </c>
      <c r="F76" s="222" t="str">
        <f t="shared" si="52"/>
        <v>%</v>
      </c>
      <c r="G76" s="417" t="str">
        <f t="shared" si="52"/>
        <v>kWh / m²</v>
      </c>
      <c r="H76" s="412" t="str">
        <f t="shared" si="52"/>
        <v>kWh / m²</v>
      </c>
      <c r="I76" s="222" t="str">
        <f t="shared" si="52"/>
        <v>%</v>
      </c>
      <c r="J76" s="420" t="str">
        <f t="shared" si="52"/>
        <v>litres / occup</v>
      </c>
      <c r="K76" s="421" t="str">
        <f t="shared" si="52"/>
        <v>litres / occup</v>
      </c>
      <c r="L76" s="222" t="str">
        <f t="shared" si="52"/>
        <v>%</v>
      </c>
      <c r="M76" s="36"/>
      <c r="N76" s="36"/>
      <c r="O76" s="187" t="str">
        <f t="shared" si="51"/>
        <v>kWh PCI / m²</v>
      </c>
      <c r="P76" s="187" t="str">
        <f t="shared" si="51"/>
        <v>kWh PCI / m²</v>
      </c>
      <c r="Q76" s="187" t="str">
        <f t="shared" si="51"/>
        <v>litres / occup</v>
      </c>
      <c r="R76" s="36"/>
    </row>
    <row r="77" spans="1:18" x14ac:dyDescent="0.25">
      <c r="B77" s="229" t="s">
        <v>163</v>
      </c>
      <c r="C77" s="225">
        <f>MAX(C25:C37,C39:C51,C53:C65,C67:C72)</f>
        <v>2.0086749703844511</v>
      </c>
      <c r="D77" s="426">
        <f t="shared" ref="D77:L77" si="53">MAX(D25:D73)</f>
        <v>3.1272620330520953</v>
      </c>
      <c r="E77" s="427">
        <f t="shared" si="53"/>
        <v>2.66958904109589</v>
      </c>
      <c r="F77" s="216">
        <f t="shared" si="53"/>
        <v>6.0260249111533533</v>
      </c>
      <c r="G77" s="428">
        <f t="shared" si="53"/>
        <v>1.5176400000000043</v>
      </c>
      <c r="H77" s="429">
        <f t="shared" si="53"/>
        <v>1.5176400000000043</v>
      </c>
      <c r="I77" s="216">
        <f t="shared" si="53"/>
        <v>0</v>
      </c>
      <c r="J77" s="439">
        <f t="shared" si="53"/>
        <v>4917.9999999999918</v>
      </c>
      <c r="K77" s="440">
        <f t="shared" si="53"/>
        <v>4917.9999999999918</v>
      </c>
      <c r="L77" s="216">
        <f t="shared" si="53"/>
        <v>0</v>
      </c>
      <c r="O77" s="215">
        <f>MAX(O25:O73)</f>
        <v>4.602739726027397</v>
      </c>
      <c r="P77" s="215">
        <f>MAX(P25:P73)</f>
        <v>1.3105769230769231</v>
      </c>
      <c r="Q77" s="215">
        <f>MAX(Q25:Q73)</f>
        <v>1050</v>
      </c>
    </row>
    <row r="78" spans="1:18" x14ac:dyDescent="0.25">
      <c r="B78" s="230" t="s">
        <v>166</v>
      </c>
      <c r="C78" s="226">
        <f t="shared" ref="C78:L78" si="54">AVERAGE(C25:C37,C39:C51,C53:C65,C67:C72)</f>
        <v>-2.0094956950355267</v>
      </c>
      <c r="D78" s="430">
        <f t="shared" si="54"/>
        <v>-0.26645375752835831</v>
      </c>
      <c r="E78" s="395">
        <f t="shared" si="54"/>
        <v>0.74789676453334752</v>
      </c>
      <c r="F78" s="217">
        <f t="shared" si="54"/>
        <v>-6.0409081301826646</v>
      </c>
      <c r="G78" s="431">
        <f t="shared" si="54"/>
        <v>0.58705434818672264</v>
      </c>
      <c r="H78" s="394">
        <f t="shared" si="54"/>
        <v>0.58705434818672264</v>
      </c>
      <c r="I78" s="217">
        <f t="shared" si="54"/>
        <v>0</v>
      </c>
      <c r="J78" s="441">
        <f t="shared" si="54"/>
        <v>1083.8840740740741</v>
      </c>
      <c r="K78" s="390">
        <f t="shared" si="54"/>
        <v>1083.8840740740741</v>
      </c>
      <c r="L78" s="217">
        <f t="shared" si="54"/>
        <v>0</v>
      </c>
      <c r="O78" s="214">
        <f>AVERAGE(O25:O37,O39:O51,O53:O65,O67:O72)</f>
        <v>4.6027397260274006</v>
      </c>
      <c r="P78" s="214">
        <f>AVERAGE(P25:P37,P39:P51,P53:P65,P67:P72)</f>
        <v>0.75448459330694817</v>
      </c>
      <c r="Q78" s="214">
        <f>AVERAGE(Q25:Q37,Q39:Q51,Q53:Q65,Q67:Q72)</f>
        <v>1050</v>
      </c>
    </row>
    <row r="79" spans="1:18" x14ac:dyDescent="0.25">
      <c r="B79" s="230" t="s">
        <v>165</v>
      </c>
      <c r="C79" s="226">
        <f>MEDIAN(C67:C72,C53:C65,C39:C51,C25:C37)</f>
        <v>0.40756030238281521</v>
      </c>
      <c r="D79" s="430">
        <f t="shared" ref="D79:L79" si="55">MEDIAN(D67:D72,D53:D65,D39:D51,D25:D37)</f>
        <v>-0.34090348405853094</v>
      </c>
      <c r="E79" s="395">
        <f t="shared" si="55"/>
        <v>0.69041095890410953</v>
      </c>
      <c r="F79" s="217">
        <f t="shared" si="55"/>
        <v>1.1479385253647785</v>
      </c>
      <c r="G79" s="431">
        <f t="shared" si="55"/>
        <v>0.55522666666666431</v>
      </c>
      <c r="H79" s="394">
        <f t="shared" si="55"/>
        <v>0.55522666666666431</v>
      </c>
      <c r="I79" s="217">
        <f t="shared" si="55"/>
        <v>0</v>
      </c>
      <c r="J79" s="441">
        <f t="shared" si="55"/>
        <v>867.99999999999852</v>
      </c>
      <c r="K79" s="390">
        <f t="shared" si="55"/>
        <v>867.99999999999852</v>
      </c>
      <c r="L79" s="217">
        <f t="shared" si="55"/>
        <v>0</v>
      </c>
      <c r="O79" s="214">
        <f>MEDIAN(O67:O72,O53:O65,O39:O51,O25:O37)</f>
        <v>4.602739726027397</v>
      </c>
      <c r="P79" s="214">
        <f>MEDIAN(P67:P72,P53:P65,P39:P51,P25:P37)</f>
        <v>0.73835319609967498</v>
      </c>
      <c r="Q79" s="214">
        <f>MEDIAN(Q67:Q72,Q53:Q65,Q39:Q51,Q25:Q37)</f>
        <v>1050</v>
      </c>
    </row>
    <row r="80" spans="1:18" ht="13.5" thickBot="1" x14ac:dyDescent="0.3">
      <c r="B80" s="231" t="s">
        <v>164</v>
      </c>
      <c r="C80" s="227">
        <f>MIN(C67:C72,C53:C65,C39:C51,C25:C37)</f>
        <v>-35.826551534612115</v>
      </c>
      <c r="D80" s="432">
        <f t="shared" ref="D80:L80" si="56">MIN(D25:D73)</f>
        <v>-2.3300835399837725</v>
      </c>
      <c r="E80" s="433">
        <f t="shared" si="56"/>
        <v>-2.9832572298325716E-2</v>
      </c>
      <c r="F80" s="219">
        <f t="shared" si="56"/>
        <v>-107.47965460383634</v>
      </c>
      <c r="G80" s="434">
        <f t="shared" si="56"/>
        <v>3.3333333333333701E-4</v>
      </c>
      <c r="H80" s="435">
        <f t="shared" si="56"/>
        <v>3.3333333333333701E-4</v>
      </c>
      <c r="I80" s="219">
        <f t="shared" si="56"/>
        <v>0</v>
      </c>
      <c r="J80" s="442">
        <f t="shared" si="56"/>
        <v>0</v>
      </c>
      <c r="K80" s="443">
        <f t="shared" si="56"/>
        <v>0</v>
      </c>
      <c r="L80" s="219">
        <f t="shared" si="56"/>
        <v>0</v>
      </c>
      <c r="O80" s="218">
        <f>MIN(O25:O73)</f>
        <v>4.6027397260273961</v>
      </c>
      <c r="P80" s="218">
        <f>MIN(P25:P73)</f>
        <v>0.56368899917287008</v>
      </c>
      <c r="Q80" s="218">
        <f>MIN(Q25:Q73)</f>
        <v>1050</v>
      </c>
    </row>
    <row r="83" spans="18:18" x14ac:dyDescent="0.25">
      <c r="R83" s="35"/>
    </row>
    <row r="84" spans="18:18" x14ac:dyDescent="0.25">
      <c r="R84" s="36"/>
    </row>
    <row r="85" spans="18:18" x14ac:dyDescent="0.25">
      <c r="R85" s="5"/>
    </row>
    <row r="86" spans="18:18" x14ac:dyDescent="0.25">
      <c r="R86" s="5"/>
    </row>
    <row r="87" spans="18:18" x14ac:dyDescent="0.25">
      <c r="R87" s="5"/>
    </row>
    <row r="88" spans="18:18" x14ac:dyDescent="0.25">
      <c r="R88" s="5"/>
    </row>
    <row r="89" spans="18:18" x14ac:dyDescent="0.25">
      <c r="R89" s="5"/>
    </row>
    <row r="90" spans="18:18" x14ac:dyDescent="0.25">
      <c r="R90" s="4"/>
    </row>
    <row r="91" spans="18:18" x14ac:dyDescent="0.25">
      <c r="R91" s="4"/>
    </row>
    <row r="92" spans="18:18" x14ac:dyDescent="0.25">
      <c r="R92" s="4"/>
    </row>
    <row r="93" spans="18:18" x14ac:dyDescent="0.25">
      <c r="R93" s="4"/>
    </row>
    <row r="94" spans="18:18" x14ac:dyDescent="0.25">
      <c r="R94" s="4"/>
    </row>
    <row r="95" spans="18:18" x14ac:dyDescent="0.25">
      <c r="R95" s="4"/>
    </row>
    <row r="96" spans="18:18" x14ac:dyDescent="0.25">
      <c r="R96" s="4"/>
    </row>
    <row r="97" spans="18:18" x14ac:dyDescent="0.25">
      <c r="R97" s="4"/>
    </row>
    <row r="98" spans="18:18" x14ac:dyDescent="0.25">
      <c r="R98" s="30"/>
    </row>
    <row r="103" spans="18:18" x14ac:dyDescent="0.25">
      <c r="R103" s="240"/>
    </row>
    <row r="104" spans="18:18" x14ac:dyDescent="0.25">
      <c r="R104" s="240"/>
    </row>
    <row r="105" spans="18:18" x14ac:dyDescent="0.25">
      <c r="R105" s="240"/>
    </row>
    <row r="106" spans="18:18" x14ac:dyDescent="0.25">
      <c r="R106" s="240"/>
    </row>
    <row r="107" spans="18:18" x14ac:dyDescent="0.25">
      <c r="R107" s="240"/>
    </row>
    <row r="108" spans="18:18" x14ac:dyDescent="0.25">
      <c r="R108" s="240"/>
    </row>
    <row r="109" spans="18:18" x14ac:dyDescent="0.25">
      <c r="R109" s="240"/>
    </row>
    <row r="110" spans="18:18" x14ac:dyDescent="0.25">
      <c r="R110" s="240"/>
    </row>
    <row r="111" spans="18:18" x14ac:dyDescent="0.25">
      <c r="R111" s="240"/>
    </row>
    <row r="112" spans="18:18" x14ac:dyDescent="0.25">
      <c r="R112" s="240"/>
    </row>
    <row r="113" spans="18:18" x14ac:dyDescent="0.25">
      <c r="R113" s="240"/>
    </row>
    <row r="114" spans="18:18" x14ac:dyDescent="0.25">
      <c r="R114" s="240"/>
    </row>
    <row r="115" spans="18:18" x14ac:dyDescent="0.25">
      <c r="R115" s="240"/>
    </row>
    <row r="116" spans="18:18" x14ac:dyDescent="0.25">
      <c r="R116" s="240"/>
    </row>
    <row r="117" spans="18:18" x14ac:dyDescent="0.25">
      <c r="R117" s="240"/>
    </row>
    <row r="118" spans="18:18" x14ac:dyDescent="0.25">
      <c r="R118" s="240"/>
    </row>
    <row r="119" spans="18:18" x14ac:dyDescent="0.25">
      <c r="R119" s="240"/>
    </row>
    <row r="120" spans="18:18" x14ac:dyDescent="0.25">
      <c r="R120" s="240"/>
    </row>
    <row r="121" spans="18:18" x14ac:dyDescent="0.25">
      <c r="R121" s="240"/>
    </row>
    <row r="122" spans="18:18" x14ac:dyDescent="0.25">
      <c r="R122" s="240"/>
    </row>
    <row r="123" spans="18:18" x14ac:dyDescent="0.25">
      <c r="R123" s="240"/>
    </row>
    <row r="124" spans="18:18" x14ac:dyDescent="0.25">
      <c r="R124" s="240"/>
    </row>
    <row r="125" spans="18:18" x14ac:dyDescent="0.25">
      <c r="R125" s="240"/>
    </row>
    <row r="126" spans="18:18" x14ac:dyDescent="0.25">
      <c r="R126" s="240"/>
    </row>
    <row r="127" spans="18:18" x14ac:dyDescent="0.25">
      <c r="R127" s="240"/>
    </row>
    <row r="128" spans="18:18" x14ac:dyDescent="0.25">
      <c r="R128" s="240"/>
    </row>
    <row r="129" spans="18:18" x14ac:dyDescent="0.25">
      <c r="R129" s="240"/>
    </row>
    <row r="130" spans="18:18" x14ac:dyDescent="0.25">
      <c r="R130" s="240"/>
    </row>
    <row r="131" spans="18:18" x14ac:dyDescent="0.25">
      <c r="R131" s="240"/>
    </row>
    <row r="132" spans="18:18" x14ac:dyDescent="0.25">
      <c r="R132" s="240"/>
    </row>
    <row r="135" spans="18:18" x14ac:dyDescent="0.25">
      <c r="R135" s="35"/>
    </row>
    <row r="136" spans="18:18" x14ac:dyDescent="0.25">
      <c r="R136" s="36"/>
    </row>
  </sheetData>
  <mergeCells count="3">
    <mergeCell ref="A1:D1"/>
    <mergeCell ref="D3:F3"/>
    <mergeCell ref="G3:H3"/>
  </mergeCells>
  <conditionalFormatting sqref="F25:F73 C25:C7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{A0322031-6D4E-436E-8DF2-EDF132506069}</x14:id>
        </ext>
      </extLst>
    </cfRule>
  </conditionalFormatting>
  <conditionalFormatting sqref="I25:I73 L25:L7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{53224C1C-E2F4-49ED-90CD-5684A6B41F08}</x14:id>
        </ext>
      </extLst>
    </cfRule>
  </conditionalFormatting>
  <hyperlinks>
    <hyperlink ref="E14" r:id="rId1"/>
  </hyperlinks>
  <pageMargins left="0.70866141732283472" right="0.70866141732283472" top="0.74803149606299213" bottom="0.74803149606299213" header="0.31496062992125984" footer="0.31496062992125984"/>
  <pageSetup paperSize="8" scale="59" orientation="landscape" r:id="rId2"/>
  <headerFooter>
    <oddFooter>&amp;L&amp;F&amp;CSOLAIR&amp;R&amp;A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322031-6D4E-436E-8DF2-EDF1325060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F25:F73 C25:C73</xm:sqref>
        </x14:conditionalFormatting>
        <x14:conditionalFormatting xmlns:xm="http://schemas.microsoft.com/office/excel/2006/main">
          <x14:cfRule type="dataBar" id="{53224C1C-E2F4-49ED-90CD-5684A6B41F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I25:I73 L25:L73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0_ENTREE LOGICIEL</vt:lpstr>
      <vt:lpstr>1_Valeur_Référence</vt:lpstr>
      <vt:lpstr>2_Traitement_GAZ</vt:lpstr>
      <vt:lpstr>2_Traitement_ELEC</vt:lpstr>
      <vt:lpstr>2_Traitement_EAU</vt:lpstr>
      <vt:lpstr>2_TRAITEMENT_METEO</vt:lpstr>
      <vt:lpstr>3_SORTIE_LOGICIEL</vt:lpstr>
      <vt:lpstr>Mois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2014-06-06T08:51:58Z</dcterms:modified>
</cp:coreProperties>
</file>