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540" windowWidth="15480" windowHeight="11400" tabRatio="938" activeTab="5"/>
  </bookViews>
  <sheets>
    <sheet name="0_ENTREE" sheetId="20" r:id="rId1"/>
    <sheet name="1_REFERENCE" sheetId="16" r:id="rId2"/>
    <sheet name="2_CHAUFFAGE" sheetId="10" r:id="rId3"/>
    <sheet name="2_ELECTRICITE" sheetId="18" r:id="rId4"/>
    <sheet name="2_EAU" sheetId="19" r:id="rId5"/>
    <sheet name="3_SORTIE" sheetId="11" r:id="rId6"/>
    <sheet name="4_SUIVI" sheetId="22" r:id="rId7"/>
  </sheets>
  <definedNames>
    <definedName name="Mois">'0_ENTREE'!$U$2:$U$15</definedName>
    <definedName name="Semaine" localSheetId="6">'0_ENTREE'!$N$4:$P$13,'0_ENTREE'!#REF!</definedName>
    <definedName name="Semaine">'0_ENTREE'!$N$4:$P$13,'0_ENTREE'!#REF!</definedName>
    <definedName name="_xlnm.Print_Area" localSheetId="0">'0_ENTREE'!$A$1:$Q$82</definedName>
    <definedName name="_xlnm.Print_Area" localSheetId="1">'1_REFERENCE'!$A$1:$O$150</definedName>
    <definedName name="_xlnm.Print_Area" localSheetId="2">'2_CHAUFFAGE'!$A$1:$P$82</definedName>
    <definedName name="_xlnm.Print_Area" localSheetId="4">'2_EAU'!$A$1:$J$83</definedName>
    <definedName name="_xlnm.Print_Area" localSheetId="3">'2_ELECTRICITE'!$A$1:$H$83</definedName>
    <definedName name="_xlnm.Print_Area" localSheetId="5">'3_SORTIE'!$A$1:$Q$89</definedName>
    <definedName name="_xlnm.Print_Area" localSheetId="6">'4_SUIVI'!$A$1:$Y$223</definedName>
  </definedNames>
  <calcPr calcId="145621"/>
</workbook>
</file>

<file path=xl/calcChain.xml><?xml version="1.0" encoding="utf-8"?>
<calcChain xmlns="http://schemas.openxmlformats.org/spreadsheetml/2006/main">
  <c r="C80" i="11" l="1"/>
  <c r="C79" i="11"/>
  <c r="C78" i="11"/>
  <c r="C77" i="11"/>
  <c r="C76" i="11"/>
  <c r="C75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G9" i="16" l="1"/>
  <c r="B6" i="16" l="1"/>
  <c r="N32" i="19" l="1"/>
  <c r="M32" i="19"/>
  <c r="I32" i="18"/>
  <c r="H32" i="18"/>
  <c r="AB95" i="16"/>
  <c r="AB94" i="16"/>
  <c r="AB93" i="16"/>
  <c r="AB92" i="16"/>
  <c r="AB91" i="16"/>
  <c r="AB90" i="16"/>
  <c r="AB88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4" i="16"/>
  <c r="AB73" i="16"/>
  <c r="AB72" i="16"/>
  <c r="AB71" i="16"/>
  <c r="AB70" i="16"/>
  <c r="AB69" i="16"/>
  <c r="AB68" i="16"/>
  <c r="AB67" i="16"/>
  <c r="AB66" i="16"/>
  <c r="AB65" i="16"/>
  <c r="AB64" i="16"/>
  <c r="AB63" i="16"/>
  <c r="AB62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R32" i="10"/>
  <c r="Q32" i="10"/>
  <c r="C17" i="20" l="1"/>
  <c r="A1" i="22"/>
  <c r="O83" i="11"/>
  <c r="O84" i="11"/>
  <c r="I81" i="19"/>
  <c r="N80" i="11" s="1"/>
  <c r="I80" i="19"/>
  <c r="N79" i="11" s="1"/>
  <c r="I79" i="19"/>
  <c r="N78" i="11" s="1"/>
  <c r="I78" i="19"/>
  <c r="N77" i="11" s="1"/>
  <c r="I77" i="19"/>
  <c r="N76" i="11" s="1"/>
  <c r="I76" i="19"/>
  <c r="N75" i="11" s="1"/>
  <c r="I74" i="19"/>
  <c r="N73" i="11" s="1"/>
  <c r="I73" i="19"/>
  <c r="N72" i="11" s="1"/>
  <c r="I72" i="19"/>
  <c r="N71" i="11" s="1"/>
  <c r="I71" i="19"/>
  <c r="N70" i="11" s="1"/>
  <c r="I70" i="19"/>
  <c r="N69" i="11" s="1"/>
  <c r="I69" i="19"/>
  <c r="N68" i="11" s="1"/>
  <c r="I68" i="19"/>
  <c r="N67" i="11" s="1"/>
  <c r="I67" i="19"/>
  <c r="N66" i="11" s="1"/>
  <c r="I66" i="19"/>
  <c r="N65" i="11" s="1"/>
  <c r="I65" i="19"/>
  <c r="N64" i="11" s="1"/>
  <c r="I64" i="19"/>
  <c r="N63" i="11" s="1"/>
  <c r="I63" i="19"/>
  <c r="N62" i="11" s="1"/>
  <c r="I62" i="19"/>
  <c r="I60" i="19"/>
  <c r="N59" i="11" s="1"/>
  <c r="I59" i="19"/>
  <c r="N58" i="11" s="1"/>
  <c r="I58" i="19"/>
  <c r="N57" i="11" s="1"/>
  <c r="I57" i="19"/>
  <c r="N56" i="11" s="1"/>
  <c r="I56" i="19"/>
  <c r="N55" i="11" s="1"/>
  <c r="I55" i="19"/>
  <c r="N54" i="11" s="1"/>
  <c r="I54" i="19"/>
  <c r="N53" i="11" s="1"/>
  <c r="I53" i="19"/>
  <c r="N52" i="11" s="1"/>
  <c r="I52" i="19"/>
  <c r="N51" i="11" s="1"/>
  <c r="I51" i="19"/>
  <c r="N50" i="11" s="1"/>
  <c r="I50" i="19"/>
  <c r="N49" i="11" s="1"/>
  <c r="I49" i="19"/>
  <c r="N48" i="11" s="1"/>
  <c r="I48" i="19"/>
  <c r="N32" i="11"/>
  <c r="N84" i="11" s="1"/>
  <c r="M32" i="11"/>
  <c r="M84" i="11" s="1"/>
  <c r="I46" i="19"/>
  <c r="N45" i="11" s="1"/>
  <c r="I45" i="19"/>
  <c r="N44" i="11" s="1"/>
  <c r="I44" i="19"/>
  <c r="N43" i="11" s="1"/>
  <c r="I43" i="19"/>
  <c r="N42" i="11" s="1"/>
  <c r="I42" i="19"/>
  <c r="N41" i="11" s="1"/>
  <c r="I41" i="19"/>
  <c r="N40" i="11" s="1"/>
  <c r="I40" i="19"/>
  <c r="N39" i="11" s="1"/>
  <c r="I39" i="19"/>
  <c r="N38" i="11" s="1"/>
  <c r="I38" i="19"/>
  <c r="N37" i="11" s="1"/>
  <c r="I37" i="19"/>
  <c r="N36" i="11" s="1"/>
  <c r="I36" i="19"/>
  <c r="N35" i="11" s="1"/>
  <c r="I35" i="19"/>
  <c r="N34" i="11" s="1"/>
  <c r="I34" i="19"/>
  <c r="N33" i="11" s="1"/>
  <c r="D81" i="19"/>
  <c r="D80" i="19"/>
  <c r="D79" i="19"/>
  <c r="D78" i="19"/>
  <c r="D77" i="19"/>
  <c r="D76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4" i="18"/>
  <c r="D81" i="18"/>
  <c r="D80" i="18"/>
  <c r="D79" i="18"/>
  <c r="D78" i="18"/>
  <c r="D77" i="18"/>
  <c r="D76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E9" i="20"/>
  <c r="E7" i="20"/>
  <c r="N4" i="10"/>
  <c r="N5" i="10"/>
  <c r="N6" i="10"/>
  <c r="N7" i="10"/>
  <c r="N8" i="10"/>
  <c r="N9" i="10"/>
  <c r="N10" i="10"/>
  <c r="N11" i="10"/>
  <c r="N12" i="10"/>
  <c r="N13" i="10"/>
  <c r="N14" i="10"/>
  <c r="N15" i="10"/>
  <c r="B47" i="16"/>
  <c r="B25" i="10"/>
  <c r="B25" i="18"/>
  <c r="B25" i="19"/>
  <c r="B25" i="11"/>
  <c r="B25" i="16"/>
  <c r="B23" i="10"/>
  <c r="B23" i="18"/>
  <c r="B23" i="19"/>
  <c r="B23" i="11"/>
  <c r="B23" i="16"/>
  <c r="B22" i="10"/>
  <c r="B22" i="18"/>
  <c r="B22" i="19"/>
  <c r="B22" i="11"/>
  <c r="B22" i="16"/>
  <c r="B21" i="10"/>
  <c r="B21" i="18"/>
  <c r="B21" i="19"/>
  <c r="B21" i="11"/>
  <c r="B21" i="16"/>
  <c r="B19" i="10"/>
  <c r="B19" i="18"/>
  <c r="B19" i="19"/>
  <c r="B19" i="11"/>
  <c r="B19" i="16"/>
  <c r="B18" i="10"/>
  <c r="B18" i="18"/>
  <c r="B18" i="19"/>
  <c r="B18" i="11"/>
  <c r="B18" i="16"/>
  <c r="B17" i="10"/>
  <c r="B17" i="18"/>
  <c r="B17" i="19"/>
  <c r="B17" i="11"/>
  <c r="B17" i="16"/>
  <c r="B16" i="10"/>
  <c r="B16" i="18"/>
  <c r="B16" i="19"/>
  <c r="B16" i="11"/>
  <c r="B16" i="16"/>
  <c r="B15" i="10"/>
  <c r="B15" i="18"/>
  <c r="B15" i="19"/>
  <c r="B15" i="11"/>
  <c r="B15" i="16"/>
  <c r="B14" i="10"/>
  <c r="B14" i="18"/>
  <c r="B14" i="19"/>
  <c r="B14" i="11"/>
  <c r="B14" i="16"/>
  <c r="B13" i="10"/>
  <c r="B13" i="18"/>
  <c r="B13" i="19"/>
  <c r="B13" i="11"/>
  <c r="B13" i="16"/>
  <c r="I3" i="10"/>
  <c r="I3" i="18"/>
  <c r="I3" i="19"/>
  <c r="I3" i="11"/>
  <c r="I3" i="16"/>
  <c r="I5" i="10"/>
  <c r="I6" i="10"/>
  <c r="I7" i="10"/>
  <c r="I8" i="10"/>
  <c r="I9" i="10"/>
  <c r="I10" i="10"/>
  <c r="I11" i="10"/>
  <c r="I12" i="10"/>
  <c r="I13" i="10"/>
  <c r="I14" i="10"/>
  <c r="I15" i="10"/>
  <c r="I5" i="18"/>
  <c r="I6" i="18"/>
  <c r="I7" i="18"/>
  <c r="I8" i="18"/>
  <c r="I9" i="18"/>
  <c r="I10" i="18"/>
  <c r="I11" i="18"/>
  <c r="I12" i="18"/>
  <c r="I13" i="18"/>
  <c r="I14" i="18"/>
  <c r="I15" i="18"/>
  <c r="I5" i="19"/>
  <c r="I6" i="19"/>
  <c r="I7" i="19"/>
  <c r="I8" i="19"/>
  <c r="I9" i="19"/>
  <c r="I10" i="19"/>
  <c r="I11" i="19"/>
  <c r="I12" i="19"/>
  <c r="I13" i="19"/>
  <c r="I14" i="19"/>
  <c r="I15" i="19"/>
  <c r="I5" i="11"/>
  <c r="I6" i="11"/>
  <c r="I7" i="11"/>
  <c r="I8" i="11"/>
  <c r="I9" i="11"/>
  <c r="I10" i="11"/>
  <c r="I11" i="11"/>
  <c r="I12" i="11"/>
  <c r="I13" i="11"/>
  <c r="I14" i="11"/>
  <c r="I15" i="11"/>
  <c r="I5" i="16"/>
  <c r="I6" i="16"/>
  <c r="I7" i="16"/>
  <c r="I8" i="16"/>
  <c r="I9" i="16"/>
  <c r="I10" i="16"/>
  <c r="I11" i="16"/>
  <c r="I12" i="16"/>
  <c r="I13" i="16"/>
  <c r="I14" i="16"/>
  <c r="I15" i="16"/>
  <c r="I4" i="10"/>
  <c r="I4" i="18"/>
  <c r="I4" i="19"/>
  <c r="I4" i="11"/>
  <c r="I4" i="16"/>
  <c r="I5" i="20"/>
  <c r="I6" i="20"/>
  <c r="I7" i="20"/>
  <c r="I8" i="20"/>
  <c r="I9" i="20"/>
  <c r="I10" i="20"/>
  <c r="I11" i="20"/>
  <c r="I12" i="20"/>
  <c r="I13" i="20"/>
  <c r="I14" i="20"/>
  <c r="I15" i="20"/>
  <c r="I4" i="20"/>
  <c r="I61" i="19" l="1"/>
  <c r="N60" i="11" s="1"/>
  <c r="D61" i="18"/>
  <c r="D75" i="18"/>
  <c r="I75" i="19"/>
  <c r="N74" i="11" s="1"/>
  <c r="N47" i="11"/>
  <c r="N88" i="11" s="1"/>
  <c r="I82" i="19"/>
  <c r="N81" i="11" s="1"/>
  <c r="N61" i="11"/>
  <c r="I47" i="19"/>
  <c r="N46" i="11" s="1"/>
  <c r="D82" i="19"/>
  <c r="D82" i="18"/>
  <c r="D47" i="18"/>
  <c r="N86" i="11" l="1"/>
  <c r="N85" i="11"/>
  <c r="N87" i="11"/>
  <c r="BC119" i="22"/>
  <c r="BC174" i="22" s="1"/>
  <c r="BB119" i="22"/>
  <c r="BB174" i="22" s="1"/>
  <c r="BA119" i="22"/>
  <c r="BA174" i="22" s="1"/>
  <c r="AZ119" i="22"/>
  <c r="AZ174" i="22" s="1"/>
  <c r="AY119" i="22"/>
  <c r="AY174" i="22" s="1"/>
  <c r="AX119" i="22"/>
  <c r="AX174" i="22" s="1"/>
  <c r="AW119" i="22"/>
  <c r="AW174" i="22" s="1"/>
  <c r="AV119" i="22"/>
  <c r="AV174" i="22" s="1"/>
  <c r="AU119" i="22"/>
  <c r="AU174" i="22" s="1"/>
  <c r="AT119" i="22"/>
  <c r="AT174" i="22" s="1"/>
  <c r="AS119" i="22"/>
  <c r="AS174" i="22" s="1"/>
  <c r="AR119" i="22"/>
  <c r="AR174" i="22" s="1"/>
  <c r="AQ119" i="22"/>
  <c r="AQ174" i="22" s="1"/>
  <c r="AP119" i="22"/>
  <c r="AP174" i="22" s="1"/>
  <c r="AO119" i="22"/>
  <c r="AO174" i="22" s="1"/>
  <c r="AN119" i="22"/>
  <c r="AN174" i="22" s="1"/>
  <c r="AM119" i="22"/>
  <c r="AM174" i="22" s="1"/>
  <c r="AL119" i="22"/>
  <c r="AL174" i="22" s="1"/>
  <c r="AK119" i="22"/>
  <c r="AK174" i="22" s="1"/>
  <c r="AJ119" i="22"/>
  <c r="AJ174" i="22" s="1"/>
  <c r="AI119" i="22"/>
  <c r="AI174" i="22" s="1"/>
  <c r="AH119" i="22"/>
  <c r="AH174" i="22" s="1"/>
  <c r="AG119" i="22"/>
  <c r="AG174" i="22" s="1"/>
  <c r="AF119" i="22"/>
  <c r="AF174" i="22" s="1"/>
  <c r="AE119" i="22"/>
  <c r="AE174" i="22" s="1"/>
  <c r="AD119" i="22"/>
  <c r="AD174" i="22" s="1"/>
  <c r="AC119" i="22"/>
  <c r="AC174" i="22" s="1"/>
  <c r="AB119" i="22"/>
  <c r="AB174" i="22" s="1"/>
  <c r="AA119" i="22"/>
  <c r="AA174" i="22" s="1"/>
  <c r="Z119" i="22"/>
  <c r="Z174" i="22" s="1"/>
  <c r="Y119" i="22"/>
  <c r="Y174" i="22" s="1"/>
  <c r="X119" i="22"/>
  <c r="X174" i="22" s="1"/>
  <c r="W119" i="22"/>
  <c r="W174" i="22" s="1"/>
  <c r="V119" i="22"/>
  <c r="V174" i="22" s="1"/>
  <c r="U119" i="22"/>
  <c r="U174" i="22" s="1"/>
  <c r="T119" i="22"/>
  <c r="T174" i="22" s="1"/>
  <c r="S119" i="22"/>
  <c r="S174" i="22" s="1"/>
  <c r="R119" i="22"/>
  <c r="R174" i="22" s="1"/>
  <c r="Q119" i="22"/>
  <c r="Q174" i="22" s="1"/>
  <c r="P119" i="22"/>
  <c r="P174" i="22" s="1"/>
  <c r="O119" i="22"/>
  <c r="O174" i="22" s="1"/>
  <c r="N119" i="22"/>
  <c r="N174" i="22" s="1"/>
  <c r="M119" i="22"/>
  <c r="M174" i="22" s="1"/>
  <c r="L119" i="22"/>
  <c r="L174" i="22" s="1"/>
  <c r="K119" i="22"/>
  <c r="K174" i="22" s="1"/>
  <c r="J119" i="22"/>
  <c r="J174" i="22" s="1"/>
  <c r="I119" i="22"/>
  <c r="I174" i="22" s="1"/>
  <c r="H119" i="22"/>
  <c r="H174" i="22" s="1"/>
  <c r="G119" i="22"/>
  <c r="G174" i="22" s="1"/>
  <c r="F119" i="22"/>
  <c r="F174" i="22" s="1"/>
  <c r="E119" i="22"/>
  <c r="E174" i="22" s="1"/>
  <c r="D119" i="22"/>
  <c r="D174" i="22" s="1"/>
  <c r="C119" i="22"/>
  <c r="C174" i="22" s="1"/>
  <c r="B57" i="22"/>
  <c r="B112" i="22" s="1"/>
  <c r="B167" i="22" s="1"/>
  <c r="B222" i="22" s="1"/>
  <c r="B56" i="22"/>
  <c r="B111" i="22" s="1"/>
  <c r="B166" i="22" s="1"/>
  <c r="B221" i="22" s="1"/>
  <c r="B55" i="22"/>
  <c r="B110" i="22" s="1"/>
  <c r="B165" i="22" s="1"/>
  <c r="B220" i="22" s="1"/>
  <c r="B54" i="22"/>
  <c r="B109" i="22" s="1"/>
  <c r="B164" i="22" s="1"/>
  <c r="B219" i="22" s="1"/>
  <c r="B53" i="22"/>
  <c r="B108" i="22" s="1"/>
  <c r="B163" i="22" s="1"/>
  <c r="B218" i="22" s="1"/>
  <c r="B52" i="22"/>
  <c r="B107" i="22" s="1"/>
  <c r="B162" i="22" s="1"/>
  <c r="B217" i="22" s="1"/>
  <c r="B50" i="22"/>
  <c r="B105" i="22" s="1"/>
  <c r="B160" i="22" s="1"/>
  <c r="B215" i="22" s="1"/>
  <c r="B49" i="22"/>
  <c r="B104" i="22" s="1"/>
  <c r="B159" i="22" s="1"/>
  <c r="B214" i="22" s="1"/>
  <c r="B48" i="22"/>
  <c r="B103" i="22" s="1"/>
  <c r="B158" i="22" s="1"/>
  <c r="B213" i="22" s="1"/>
  <c r="B47" i="22"/>
  <c r="B102" i="22" s="1"/>
  <c r="B157" i="22" s="1"/>
  <c r="B212" i="22" s="1"/>
  <c r="B46" i="22"/>
  <c r="B101" i="22" s="1"/>
  <c r="B156" i="22" s="1"/>
  <c r="B211" i="22" s="1"/>
  <c r="B45" i="22"/>
  <c r="B100" i="22" s="1"/>
  <c r="B155" i="22" s="1"/>
  <c r="B210" i="22" s="1"/>
  <c r="B44" i="22"/>
  <c r="B99" i="22" s="1"/>
  <c r="B154" i="22" s="1"/>
  <c r="B209" i="22" s="1"/>
  <c r="B43" i="22"/>
  <c r="B98" i="22" s="1"/>
  <c r="B153" i="22" s="1"/>
  <c r="B208" i="22" s="1"/>
  <c r="B42" i="22"/>
  <c r="B97" i="22" s="1"/>
  <c r="B152" i="22" s="1"/>
  <c r="B207" i="22" s="1"/>
  <c r="B41" i="22"/>
  <c r="B96" i="22" s="1"/>
  <c r="B151" i="22" s="1"/>
  <c r="B206" i="22" s="1"/>
  <c r="B40" i="22"/>
  <c r="B95" i="22" s="1"/>
  <c r="B150" i="22" s="1"/>
  <c r="B205" i="22" s="1"/>
  <c r="B39" i="22"/>
  <c r="B94" i="22" s="1"/>
  <c r="B149" i="22" s="1"/>
  <c r="B204" i="22" s="1"/>
  <c r="B38" i="22"/>
  <c r="B93" i="22" s="1"/>
  <c r="B148" i="22" s="1"/>
  <c r="B203" i="22" s="1"/>
  <c r="J16" i="18" l="1"/>
  <c r="K16" i="18"/>
  <c r="L16" i="18"/>
  <c r="M16" i="18"/>
  <c r="O16" i="18"/>
  <c r="P16" i="18"/>
  <c r="J16" i="19"/>
  <c r="K16" i="19"/>
  <c r="L16" i="19"/>
  <c r="M16" i="19"/>
  <c r="O16" i="19"/>
  <c r="P16" i="19"/>
  <c r="J16" i="11"/>
  <c r="K16" i="11"/>
  <c r="L16" i="11"/>
  <c r="M16" i="11"/>
  <c r="O16" i="11"/>
  <c r="P16" i="11"/>
  <c r="J16" i="10"/>
  <c r="K16" i="10"/>
  <c r="L16" i="10"/>
  <c r="M16" i="10"/>
  <c r="O16" i="10"/>
  <c r="P16" i="10"/>
  <c r="J12" i="18"/>
  <c r="K12" i="18"/>
  <c r="L12" i="18"/>
  <c r="M12" i="18"/>
  <c r="N12" i="18"/>
  <c r="O12" i="18"/>
  <c r="P12" i="18"/>
  <c r="J13" i="18"/>
  <c r="K13" i="18"/>
  <c r="L13" i="18"/>
  <c r="M13" i="18"/>
  <c r="N13" i="18"/>
  <c r="O13" i="18"/>
  <c r="P13" i="18"/>
  <c r="J14" i="18"/>
  <c r="K14" i="18"/>
  <c r="L14" i="18"/>
  <c r="M14" i="18"/>
  <c r="N14" i="18"/>
  <c r="O14" i="18"/>
  <c r="P14" i="18"/>
  <c r="J15" i="18"/>
  <c r="K15" i="18"/>
  <c r="L15" i="18"/>
  <c r="M15" i="18"/>
  <c r="N15" i="18"/>
  <c r="O15" i="18"/>
  <c r="P15" i="18"/>
  <c r="J12" i="19"/>
  <c r="K12" i="19"/>
  <c r="L12" i="19"/>
  <c r="M12" i="19"/>
  <c r="N12" i="19"/>
  <c r="O12" i="19"/>
  <c r="P12" i="19"/>
  <c r="J13" i="19"/>
  <c r="K13" i="19"/>
  <c r="L13" i="19"/>
  <c r="M13" i="19"/>
  <c r="N13" i="19"/>
  <c r="O13" i="19"/>
  <c r="P13" i="19"/>
  <c r="J14" i="19"/>
  <c r="K14" i="19"/>
  <c r="L14" i="19"/>
  <c r="M14" i="19"/>
  <c r="N14" i="19"/>
  <c r="O14" i="19"/>
  <c r="P14" i="19"/>
  <c r="J15" i="19"/>
  <c r="K15" i="19"/>
  <c r="L15" i="19"/>
  <c r="M15" i="19"/>
  <c r="N15" i="19"/>
  <c r="O15" i="19"/>
  <c r="P15" i="19"/>
  <c r="J12" i="11"/>
  <c r="K12" i="11"/>
  <c r="L12" i="11"/>
  <c r="M12" i="11"/>
  <c r="N12" i="11"/>
  <c r="O12" i="11"/>
  <c r="P12" i="11"/>
  <c r="J13" i="11"/>
  <c r="K13" i="11"/>
  <c r="L13" i="11"/>
  <c r="M13" i="11"/>
  <c r="N13" i="11"/>
  <c r="O13" i="11"/>
  <c r="P13" i="11"/>
  <c r="J14" i="11"/>
  <c r="K14" i="11"/>
  <c r="L14" i="11"/>
  <c r="M14" i="11"/>
  <c r="N14" i="11"/>
  <c r="O14" i="11"/>
  <c r="P14" i="11"/>
  <c r="J15" i="11"/>
  <c r="K15" i="11"/>
  <c r="L15" i="11"/>
  <c r="M15" i="11"/>
  <c r="N15" i="11"/>
  <c r="O15" i="11"/>
  <c r="P15" i="11"/>
  <c r="J12" i="10"/>
  <c r="K12" i="10"/>
  <c r="L12" i="10"/>
  <c r="M12" i="10"/>
  <c r="O12" i="10"/>
  <c r="P12" i="10"/>
  <c r="J13" i="10"/>
  <c r="K13" i="10"/>
  <c r="L13" i="10"/>
  <c r="M13" i="10"/>
  <c r="O13" i="10"/>
  <c r="P13" i="10"/>
  <c r="J14" i="10"/>
  <c r="K14" i="10"/>
  <c r="L14" i="10"/>
  <c r="M14" i="10"/>
  <c r="O14" i="10"/>
  <c r="P14" i="10"/>
  <c r="J15" i="10"/>
  <c r="K15" i="10"/>
  <c r="L15" i="10"/>
  <c r="M15" i="10"/>
  <c r="O15" i="10"/>
  <c r="P15" i="10"/>
  <c r="C25" i="18"/>
  <c r="C22" i="18"/>
  <c r="C16" i="18"/>
  <c r="C13" i="18"/>
  <c r="C25" i="19"/>
  <c r="C22" i="19"/>
  <c r="C16" i="19"/>
  <c r="C13" i="19"/>
  <c r="C25" i="11"/>
  <c r="C22" i="11"/>
  <c r="C16" i="11"/>
  <c r="C13" i="11"/>
  <c r="C25" i="10"/>
  <c r="C22" i="10"/>
  <c r="C16" i="10"/>
  <c r="C13" i="10"/>
  <c r="P11" i="18"/>
  <c r="O11" i="18"/>
  <c r="N11" i="18"/>
  <c r="M11" i="18"/>
  <c r="L11" i="18"/>
  <c r="K11" i="18"/>
  <c r="J11" i="18"/>
  <c r="P10" i="18"/>
  <c r="O10" i="18"/>
  <c r="N10" i="18"/>
  <c r="M10" i="18"/>
  <c r="L10" i="18"/>
  <c r="K10" i="18"/>
  <c r="J10" i="18"/>
  <c r="P9" i="18"/>
  <c r="O9" i="18"/>
  <c r="N9" i="18"/>
  <c r="M9" i="18"/>
  <c r="L9" i="18"/>
  <c r="K9" i="18"/>
  <c r="J9" i="18"/>
  <c r="E9" i="18"/>
  <c r="P8" i="18"/>
  <c r="O8" i="18"/>
  <c r="N8" i="18"/>
  <c r="M8" i="18"/>
  <c r="L8" i="18"/>
  <c r="K8" i="18"/>
  <c r="J8" i="18"/>
  <c r="P7" i="18"/>
  <c r="O7" i="18"/>
  <c r="N7" i="18"/>
  <c r="M7" i="18"/>
  <c r="L7" i="18"/>
  <c r="K7" i="18"/>
  <c r="J7" i="18"/>
  <c r="E7" i="18"/>
  <c r="P6" i="18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E5" i="18"/>
  <c r="P4" i="18"/>
  <c r="O4" i="18"/>
  <c r="N4" i="18"/>
  <c r="M4" i="18"/>
  <c r="L4" i="18"/>
  <c r="K4" i="18"/>
  <c r="J4" i="18"/>
  <c r="Q3" i="18"/>
  <c r="P3" i="18"/>
  <c r="O3" i="18"/>
  <c r="N3" i="18"/>
  <c r="M3" i="18"/>
  <c r="L3" i="18"/>
  <c r="K3" i="18"/>
  <c r="P11" i="19"/>
  <c r="O11" i="19"/>
  <c r="N11" i="19"/>
  <c r="M11" i="19"/>
  <c r="L11" i="19"/>
  <c r="K11" i="19"/>
  <c r="J11" i="19"/>
  <c r="P10" i="19"/>
  <c r="O10" i="19"/>
  <c r="N10" i="19"/>
  <c r="M10" i="19"/>
  <c r="L10" i="19"/>
  <c r="K10" i="19"/>
  <c r="J10" i="19"/>
  <c r="P9" i="19"/>
  <c r="O9" i="19"/>
  <c r="N9" i="19"/>
  <c r="M9" i="19"/>
  <c r="L9" i="19"/>
  <c r="K9" i="19"/>
  <c r="J9" i="19"/>
  <c r="P8" i="19"/>
  <c r="O8" i="19"/>
  <c r="N8" i="19"/>
  <c r="M8" i="19"/>
  <c r="L8" i="19"/>
  <c r="K8" i="19"/>
  <c r="J8" i="19"/>
  <c r="P7" i="19"/>
  <c r="O7" i="19"/>
  <c r="N7" i="19"/>
  <c r="M7" i="19"/>
  <c r="L7" i="19"/>
  <c r="K7" i="19"/>
  <c r="J7" i="19"/>
  <c r="P6" i="19"/>
  <c r="O6" i="19"/>
  <c r="N6" i="19"/>
  <c r="M6" i="19"/>
  <c r="L6" i="19"/>
  <c r="K6" i="19"/>
  <c r="J6" i="19"/>
  <c r="P5" i="19"/>
  <c r="O5" i="19"/>
  <c r="N5" i="19"/>
  <c r="M5" i="19"/>
  <c r="L5" i="19"/>
  <c r="K5" i="19"/>
  <c r="J5" i="19"/>
  <c r="P4" i="19"/>
  <c r="O4" i="19"/>
  <c r="N4" i="19"/>
  <c r="M4" i="19"/>
  <c r="L4" i="19"/>
  <c r="K4" i="19"/>
  <c r="J4" i="19"/>
  <c r="Q3" i="19"/>
  <c r="P3" i="19"/>
  <c r="O3" i="19"/>
  <c r="N3" i="19"/>
  <c r="M3" i="19"/>
  <c r="L3" i="19"/>
  <c r="K3" i="19"/>
  <c r="P11" i="11"/>
  <c r="O11" i="11"/>
  <c r="N11" i="11"/>
  <c r="M11" i="11"/>
  <c r="L11" i="11"/>
  <c r="K11" i="11"/>
  <c r="J11" i="11"/>
  <c r="P10" i="11"/>
  <c r="O10" i="11"/>
  <c r="N10" i="11"/>
  <c r="M10" i="11"/>
  <c r="L10" i="11"/>
  <c r="K10" i="11"/>
  <c r="J10" i="11"/>
  <c r="P9" i="11"/>
  <c r="O9" i="11"/>
  <c r="N9" i="11"/>
  <c r="M9" i="11"/>
  <c r="L9" i="11"/>
  <c r="K9" i="11"/>
  <c r="J9" i="11"/>
  <c r="P8" i="11"/>
  <c r="O8" i="11"/>
  <c r="N8" i="11"/>
  <c r="M8" i="11"/>
  <c r="L8" i="11"/>
  <c r="K8" i="11"/>
  <c r="J8" i="11"/>
  <c r="P7" i="11"/>
  <c r="O7" i="11"/>
  <c r="N7" i="11"/>
  <c r="M7" i="11"/>
  <c r="L7" i="11"/>
  <c r="K7" i="11"/>
  <c r="J7" i="11"/>
  <c r="P6" i="11"/>
  <c r="O6" i="11"/>
  <c r="N6" i="11"/>
  <c r="M6" i="11"/>
  <c r="L6" i="11"/>
  <c r="K6" i="11"/>
  <c r="J6" i="11"/>
  <c r="P5" i="11"/>
  <c r="O5" i="11"/>
  <c r="N5" i="11"/>
  <c r="M5" i="11"/>
  <c r="L5" i="11"/>
  <c r="K5" i="11"/>
  <c r="J5" i="11"/>
  <c r="P4" i="11"/>
  <c r="O4" i="11"/>
  <c r="N4" i="11"/>
  <c r="M4" i="11"/>
  <c r="L4" i="11"/>
  <c r="K4" i="11"/>
  <c r="J4" i="11"/>
  <c r="Q3" i="11"/>
  <c r="P3" i="11"/>
  <c r="O3" i="11"/>
  <c r="N3" i="11"/>
  <c r="M3" i="11"/>
  <c r="L3" i="11"/>
  <c r="K3" i="11"/>
  <c r="P11" i="10"/>
  <c r="O11" i="10"/>
  <c r="M11" i="10"/>
  <c r="L11" i="10"/>
  <c r="K11" i="10"/>
  <c r="J11" i="10"/>
  <c r="P10" i="10"/>
  <c r="O10" i="10"/>
  <c r="M10" i="10"/>
  <c r="L10" i="10"/>
  <c r="K10" i="10"/>
  <c r="J10" i="10"/>
  <c r="P9" i="10"/>
  <c r="O9" i="10"/>
  <c r="M9" i="10"/>
  <c r="L9" i="10"/>
  <c r="K9" i="10"/>
  <c r="J9" i="10"/>
  <c r="E9" i="10"/>
  <c r="P8" i="10"/>
  <c r="O8" i="10"/>
  <c r="M8" i="10"/>
  <c r="L8" i="10"/>
  <c r="K8" i="10"/>
  <c r="J8" i="10"/>
  <c r="P7" i="10"/>
  <c r="O7" i="10"/>
  <c r="M7" i="10"/>
  <c r="L7" i="10"/>
  <c r="K7" i="10"/>
  <c r="J7" i="10"/>
  <c r="E7" i="10"/>
  <c r="P6" i="10"/>
  <c r="O6" i="10"/>
  <c r="M6" i="10"/>
  <c r="L6" i="10"/>
  <c r="K6" i="10"/>
  <c r="J6" i="10"/>
  <c r="P5" i="10"/>
  <c r="O5" i="10"/>
  <c r="M5" i="10"/>
  <c r="L5" i="10"/>
  <c r="K5" i="10"/>
  <c r="J5" i="10"/>
  <c r="E5" i="10"/>
  <c r="P4" i="10"/>
  <c r="O4" i="10"/>
  <c r="M4" i="10"/>
  <c r="L4" i="10"/>
  <c r="K4" i="10"/>
  <c r="J4" i="10"/>
  <c r="Q3" i="10"/>
  <c r="P3" i="10"/>
  <c r="O3" i="10"/>
  <c r="N3" i="10"/>
  <c r="M3" i="10"/>
  <c r="L3" i="10"/>
  <c r="K3" i="10"/>
  <c r="C8" i="19"/>
  <c r="C8" i="11"/>
  <c r="C8" i="18"/>
  <c r="B8" i="19"/>
  <c r="B8" i="11"/>
  <c r="B8" i="18"/>
  <c r="B7" i="19"/>
  <c r="B7" i="11"/>
  <c r="B7" i="18"/>
  <c r="B6" i="19"/>
  <c r="B6" i="11"/>
  <c r="B6" i="18"/>
  <c r="B5" i="19"/>
  <c r="B5" i="11"/>
  <c r="B5" i="18"/>
  <c r="C5" i="19"/>
  <c r="E8" i="20"/>
  <c r="E8" i="16" s="1"/>
  <c r="E9" i="19"/>
  <c r="Q16" i="20"/>
  <c r="E4" i="20"/>
  <c r="E4" i="16" s="1"/>
  <c r="E9" i="16"/>
  <c r="E5" i="20"/>
  <c r="E5" i="16" s="1"/>
  <c r="E7" i="19"/>
  <c r="E7" i="16"/>
  <c r="L3" i="16"/>
  <c r="M3" i="16"/>
  <c r="N3" i="16"/>
  <c r="O3" i="16"/>
  <c r="P3" i="16"/>
  <c r="Q3" i="16"/>
  <c r="K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C5" i="20"/>
  <c r="N16" i="20"/>
  <c r="N16" i="19" s="1"/>
  <c r="E6" i="20"/>
  <c r="E6" i="16" s="1"/>
  <c r="K5" i="16"/>
  <c r="D35" i="16" s="1"/>
  <c r="K6" i="16"/>
  <c r="E35" i="16" s="1"/>
  <c r="L4" i="16"/>
  <c r="C36" i="16" s="1"/>
  <c r="M4" i="16"/>
  <c r="C37" i="16" s="1"/>
  <c r="N4" i="16"/>
  <c r="O4" i="16"/>
  <c r="Q4" i="16" s="1"/>
  <c r="P4" i="16"/>
  <c r="L5" i="16"/>
  <c r="D36" i="16" s="1"/>
  <c r="M5" i="16"/>
  <c r="D37" i="16" s="1"/>
  <c r="N5" i="16"/>
  <c r="O5" i="16"/>
  <c r="Q5" i="16" s="1"/>
  <c r="P5" i="16"/>
  <c r="L6" i="16"/>
  <c r="E36" i="16" s="1"/>
  <c r="M6" i="16"/>
  <c r="E37" i="16" s="1"/>
  <c r="N6" i="16"/>
  <c r="O6" i="16"/>
  <c r="Q6" i="16" s="1"/>
  <c r="P6" i="16"/>
  <c r="L7" i="16"/>
  <c r="F36" i="16" s="1"/>
  <c r="M7" i="16"/>
  <c r="F37" i="16" s="1"/>
  <c r="N7" i="16"/>
  <c r="O7" i="16"/>
  <c r="Q7" i="16" s="1"/>
  <c r="P7" i="16"/>
  <c r="L8" i="16"/>
  <c r="G36" i="16" s="1"/>
  <c r="M8" i="16"/>
  <c r="G37" i="16" s="1"/>
  <c r="N8" i="16"/>
  <c r="O8" i="16"/>
  <c r="Q8" i="16" s="1"/>
  <c r="P8" i="16"/>
  <c r="L9" i="16"/>
  <c r="H36" i="16" s="1"/>
  <c r="M9" i="16"/>
  <c r="H37" i="16" s="1"/>
  <c r="N9" i="16"/>
  <c r="O9" i="16"/>
  <c r="Q9" i="16" s="1"/>
  <c r="P9" i="16"/>
  <c r="L10" i="16"/>
  <c r="I36" i="16" s="1"/>
  <c r="M10" i="16"/>
  <c r="I37" i="16" s="1"/>
  <c r="N10" i="16"/>
  <c r="O10" i="16"/>
  <c r="Q10" i="16" s="1"/>
  <c r="P10" i="16"/>
  <c r="L11" i="16"/>
  <c r="J36" i="16" s="1"/>
  <c r="M11" i="16"/>
  <c r="J37" i="16" s="1"/>
  <c r="N11" i="16"/>
  <c r="O11" i="16"/>
  <c r="Q11" i="16" s="1"/>
  <c r="P11" i="16"/>
  <c r="L12" i="16"/>
  <c r="K36" i="16" s="1"/>
  <c r="M12" i="16"/>
  <c r="K37" i="16" s="1"/>
  <c r="N12" i="16"/>
  <c r="O12" i="16"/>
  <c r="Q12" i="16" s="1"/>
  <c r="P12" i="16"/>
  <c r="L13" i="16"/>
  <c r="L36" i="16" s="1"/>
  <c r="M13" i="16"/>
  <c r="L37" i="16" s="1"/>
  <c r="N13" i="16"/>
  <c r="O13" i="16"/>
  <c r="Q13" i="16" s="1"/>
  <c r="P13" i="16"/>
  <c r="L14" i="16"/>
  <c r="M36" i="16" s="1"/>
  <c r="M14" i="16"/>
  <c r="M37" i="16" s="1"/>
  <c r="N14" i="16"/>
  <c r="O14" i="16"/>
  <c r="Q14" i="16" s="1"/>
  <c r="P14" i="16"/>
  <c r="L15" i="16"/>
  <c r="N36" i="16" s="1"/>
  <c r="M15" i="16"/>
  <c r="N37" i="16" s="1"/>
  <c r="N15" i="16"/>
  <c r="O15" i="16"/>
  <c r="Q15" i="16" s="1"/>
  <c r="P15" i="16"/>
  <c r="K7" i="16"/>
  <c r="F35" i="16" s="1"/>
  <c r="K8" i="16"/>
  <c r="G35" i="16" s="1"/>
  <c r="K9" i="16"/>
  <c r="H35" i="16" s="1"/>
  <c r="K10" i="16"/>
  <c r="I35" i="16" s="1"/>
  <c r="K11" i="16"/>
  <c r="J35" i="16" s="1"/>
  <c r="K12" i="16"/>
  <c r="K35" i="16" s="1"/>
  <c r="K13" i="16"/>
  <c r="L35" i="16" s="1"/>
  <c r="K14" i="16"/>
  <c r="M35" i="16" s="1"/>
  <c r="K15" i="16"/>
  <c r="N35" i="16" s="1"/>
  <c r="K4" i="16"/>
  <c r="C35" i="16" s="1"/>
  <c r="C22" i="16"/>
  <c r="C25" i="16"/>
  <c r="C16" i="16"/>
  <c r="C13" i="16"/>
  <c r="C6" i="20"/>
  <c r="C6" i="18" s="1"/>
  <c r="C7" i="20"/>
  <c r="C7" i="19" s="1"/>
  <c r="L16" i="20"/>
  <c r="L16" i="16" s="1"/>
  <c r="M16" i="20"/>
  <c r="M16" i="16" s="1"/>
  <c r="O16" i="20"/>
  <c r="O16" i="16" s="1"/>
  <c r="Q16" i="18" s="1"/>
  <c r="P16" i="20"/>
  <c r="P16" i="16" s="1"/>
  <c r="K16" i="20"/>
  <c r="K16" i="16" s="1"/>
  <c r="E6" i="18" l="1"/>
  <c r="E6" i="10"/>
  <c r="I32" i="19"/>
  <c r="N31" i="11" s="1"/>
  <c r="N83" i="11" s="1"/>
  <c r="H32" i="19"/>
  <c r="M31" i="11" s="1"/>
  <c r="M83" i="11" s="1"/>
  <c r="N16" i="11"/>
  <c r="N16" i="10"/>
  <c r="N16" i="18"/>
  <c r="Q15" i="10"/>
  <c r="Q14" i="10"/>
  <c r="Q13" i="10"/>
  <c r="Q12" i="10"/>
  <c r="Q15" i="11"/>
  <c r="Q14" i="11"/>
  <c r="Q13" i="11"/>
  <c r="Q12" i="11"/>
  <c r="Q15" i="19"/>
  <c r="Q14" i="19"/>
  <c r="Q13" i="19"/>
  <c r="Q12" i="19"/>
  <c r="Q15" i="18"/>
  <c r="Q14" i="18"/>
  <c r="Q13" i="18"/>
  <c r="Q12" i="18"/>
  <c r="Q16" i="10"/>
  <c r="Q16" i="11"/>
  <c r="Q16" i="19"/>
  <c r="C5" i="18"/>
  <c r="C7" i="11"/>
  <c r="E4" i="11"/>
  <c r="E5" i="11"/>
  <c r="E6" i="11"/>
  <c r="E7" i="11"/>
  <c r="E8" i="11"/>
  <c r="E9" i="11"/>
  <c r="C6" i="19"/>
  <c r="E4" i="10"/>
  <c r="E8" i="10"/>
  <c r="E4" i="18"/>
  <c r="G9" i="20"/>
  <c r="G9" i="19" s="1"/>
  <c r="C5" i="11"/>
  <c r="C7" i="18"/>
  <c r="C6" i="11"/>
  <c r="E8" i="18"/>
  <c r="E4" i="19"/>
  <c r="E5" i="19"/>
  <c r="E6" i="19"/>
  <c r="E8" i="19"/>
  <c r="Q7" i="10"/>
  <c r="Q6" i="11"/>
  <c r="Q4" i="19"/>
  <c r="Q8" i="19"/>
  <c r="Q7" i="18"/>
  <c r="Q4" i="10"/>
  <c r="Q8" i="10"/>
  <c r="Q7" i="11"/>
  <c r="Q5" i="19"/>
  <c r="Q9" i="19"/>
  <c r="Q10" i="19"/>
  <c r="Q11" i="19"/>
  <c r="Q4" i="18"/>
  <c r="Q8" i="18"/>
  <c r="Q5" i="10"/>
  <c r="Q9" i="10"/>
  <c r="Q10" i="10"/>
  <c r="Q11" i="10"/>
  <c r="Q4" i="11"/>
  <c r="Q8" i="11"/>
  <c r="Q6" i="19"/>
  <c r="Q5" i="18"/>
  <c r="Q9" i="18"/>
  <c r="Q10" i="18"/>
  <c r="Q11" i="18"/>
  <c r="Q6" i="10"/>
  <c r="Q5" i="11"/>
  <c r="Q9" i="11"/>
  <c r="Q10" i="11"/>
  <c r="Q11" i="11"/>
  <c r="Q7" i="19"/>
  <c r="Q6" i="18"/>
  <c r="G7" i="20"/>
  <c r="G4" i="16"/>
  <c r="G4" i="20" s="1"/>
  <c r="K38" i="16"/>
  <c r="G38" i="16"/>
  <c r="G5" i="20"/>
  <c r="N16" i="16"/>
  <c r="J38" i="16"/>
  <c r="F38" i="16"/>
  <c r="I38" i="16"/>
  <c r="E38" i="16"/>
  <c r="D38" i="16"/>
  <c r="N38" i="16"/>
  <c r="M38" i="16"/>
  <c r="L38" i="16"/>
  <c r="H38" i="16"/>
  <c r="C38" i="16"/>
  <c r="G33" i="16"/>
  <c r="G39" i="16" s="1"/>
  <c r="O36" i="16"/>
  <c r="O37" i="16"/>
  <c r="O35" i="16"/>
  <c r="G9" i="10" l="1"/>
  <c r="G9" i="11"/>
  <c r="G9" i="18"/>
  <c r="G4" i="18"/>
  <c r="G4" i="10"/>
  <c r="G4" i="19"/>
  <c r="G4" i="11"/>
  <c r="G5" i="16"/>
  <c r="G5" i="19"/>
  <c r="G5" i="11"/>
  <c r="G5" i="18"/>
  <c r="G5" i="10"/>
  <c r="G7" i="16"/>
  <c r="G7" i="11"/>
  <c r="G7" i="19"/>
  <c r="G7" i="18"/>
  <c r="G7" i="10"/>
  <c r="O40" i="16"/>
  <c r="C33" i="16"/>
  <c r="C39" i="16" s="1"/>
  <c r="Q38" i="10" l="1"/>
  <c r="S38" i="10" s="1"/>
  <c r="Q79" i="10"/>
  <c r="S79" i="10" s="1"/>
  <c r="Q62" i="10"/>
  <c r="S62" i="10" s="1"/>
  <c r="Q51" i="10"/>
  <c r="S51" i="10" s="1"/>
  <c r="Q60" i="10"/>
  <c r="S60" i="10" s="1"/>
  <c r="Q72" i="10"/>
  <c r="S72" i="10" s="1"/>
  <c r="Q37" i="10"/>
  <c r="S37" i="10" s="1"/>
  <c r="Q67" i="10"/>
  <c r="S67" i="10" s="1"/>
  <c r="Q74" i="10"/>
  <c r="S74" i="10" s="1"/>
  <c r="Q57" i="10"/>
  <c r="S57" i="10" s="1"/>
  <c r="Q40" i="10"/>
  <c r="S40" i="10" s="1"/>
  <c r="Q42" i="10"/>
  <c r="S42" i="10" s="1"/>
  <c r="Q73" i="10"/>
  <c r="S73" i="10" s="1"/>
  <c r="Q56" i="10"/>
  <c r="S56" i="10" s="1"/>
  <c r="Q39" i="10"/>
  <c r="S39" i="10" s="1"/>
  <c r="Q64" i="10"/>
  <c r="S64" i="10" s="1"/>
  <c r="Q58" i="10"/>
  <c r="S58" i="10" s="1"/>
  <c r="Q81" i="10"/>
  <c r="S81" i="10" s="1"/>
  <c r="Q80" i="10"/>
  <c r="S80" i="10" s="1"/>
  <c r="Q54" i="10"/>
  <c r="S54" i="10" s="1"/>
  <c r="Q70" i="10"/>
  <c r="S70" i="10" s="1"/>
  <c r="Q53" i="10"/>
  <c r="S53" i="10" s="1"/>
  <c r="Q36" i="10"/>
  <c r="S36" i="10" s="1"/>
  <c r="Q63" i="10"/>
  <c r="S63" i="10" s="1"/>
  <c r="Q69" i="10"/>
  <c r="S69" i="10" s="1"/>
  <c r="Q52" i="10"/>
  <c r="S52" i="10" s="1"/>
  <c r="Q35" i="10"/>
  <c r="S35" i="10" s="1"/>
  <c r="Q55" i="10"/>
  <c r="S55" i="10" s="1"/>
  <c r="Q50" i="10"/>
  <c r="S50" i="10" s="1"/>
  <c r="Q71" i="10"/>
  <c r="S71" i="10" s="1"/>
  <c r="Q78" i="10"/>
  <c r="S78" i="10" s="1"/>
  <c r="Q43" i="10"/>
  <c r="S43" i="10" s="1"/>
  <c r="Q34" i="10"/>
  <c r="S34" i="10" s="1"/>
  <c r="Q59" i="10"/>
  <c r="S59" i="10" s="1"/>
  <c r="Q76" i="10"/>
  <c r="S76" i="10" s="1"/>
  <c r="Q41" i="10"/>
  <c r="S41" i="10" s="1"/>
  <c r="Q66" i="10"/>
  <c r="S66" i="10" s="1"/>
  <c r="Q49" i="10"/>
  <c r="S49" i="10" s="1"/>
  <c r="Q68" i="10"/>
  <c r="S68" i="10" s="1"/>
  <c r="Q45" i="10"/>
  <c r="S45" i="10" s="1"/>
  <c r="Q65" i="10"/>
  <c r="S65" i="10" s="1"/>
  <c r="Q48" i="10"/>
  <c r="S48" i="10" s="1"/>
  <c r="Q77" i="10"/>
  <c r="S77" i="10" s="1"/>
  <c r="Q46" i="10"/>
  <c r="S46" i="10" s="1"/>
  <c r="Q44" i="10"/>
  <c r="S44" i="10" s="1"/>
  <c r="N33" i="16"/>
  <c r="N39" i="16" s="1"/>
  <c r="M33" i="16"/>
  <c r="M39" i="16" s="1"/>
  <c r="L33" i="16"/>
  <c r="L39" i="16" s="1"/>
  <c r="K33" i="16"/>
  <c r="K39" i="16" s="1"/>
  <c r="J33" i="16"/>
  <c r="J39" i="16" s="1"/>
  <c r="I33" i="16"/>
  <c r="I39" i="16" s="1"/>
  <c r="H33" i="16"/>
  <c r="H39" i="16" s="1"/>
  <c r="F33" i="16"/>
  <c r="F39" i="16" s="1"/>
  <c r="E33" i="16"/>
  <c r="E39" i="16" s="1"/>
  <c r="D33" i="16"/>
  <c r="D39" i="16" s="1"/>
  <c r="E34" i="18" l="1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C74" i="18" s="1"/>
  <c r="E76" i="18"/>
  <c r="F76" i="18"/>
  <c r="E77" i="18"/>
  <c r="F77" i="18"/>
  <c r="C77" i="18" s="1"/>
  <c r="E78" i="18"/>
  <c r="F78" i="18"/>
  <c r="E79" i="18"/>
  <c r="F79" i="18"/>
  <c r="C79" i="18" s="1"/>
  <c r="E80" i="18"/>
  <c r="F80" i="18"/>
  <c r="E81" i="18"/>
  <c r="F81" i="18"/>
  <c r="C81" i="18" s="1"/>
  <c r="C14" i="20"/>
  <c r="C18" i="20"/>
  <c r="C19" i="20"/>
  <c r="C15" i="20"/>
  <c r="C80" i="18" l="1"/>
  <c r="C78" i="18"/>
  <c r="C76" i="18"/>
  <c r="C73" i="18"/>
  <c r="C71" i="18"/>
  <c r="C72" i="18"/>
  <c r="C70" i="18"/>
  <c r="C68" i="18"/>
  <c r="C66" i="18"/>
  <c r="C64" i="18"/>
  <c r="C62" i="18"/>
  <c r="C59" i="18"/>
  <c r="C57" i="18"/>
  <c r="C55" i="18"/>
  <c r="C53" i="18"/>
  <c r="C51" i="18"/>
  <c r="C49" i="18"/>
  <c r="C46" i="18"/>
  <c r="C44" i="18"/>
  <c r="C42" i="18"/>
  <c r="C40" i="18"/>
  <c r="C38" i="18"/>
  <c r="C36" i="18"/>
  <c r="C34" i="18"/>
  <c r="C69" i="18"/>
  <c r="C67" i="18"/>
  <c r="C65" i="18"/>
  <c r="C63" i="18"/>
  <c r="C60" i="18"/>
  <c r="C58" i="18"/>
  <c r="C56" i="18"/>
  <c r="C54" i="18"/>
  <c r="C52" i="18"/>
  <c r="C50" i="18"/>
  <c r="C48" i="18"/>
  <c r="C45" i="18"/>
  <c r="C43" i="18"/>
  <c r="C41" i="18"/>
  <c r="C39" i="18"/>
  <c r="C37" i="18"/>
  <c r="C35" i="18"/>
  <c r="C15" i="18"/>
  <c r="C15" i="10"/>
  <c r="C15" i="11"/>
  <c r="C15" i="19"/>
  <c r="C19" i="16"/>
  <c r="C19" i="18"/>
  <c r="C19" i="10"/>
  <c r="C19" i="11"/>
  <c r="C19" i="19"/>
  <c r="C18" i="16"/>
  <c r="C18" i="19"/>
  <c r="C18" i="18"/>
  <c r="I34" i="18" s="1"/>
  <c r="C18" i="10"/>
  <c r="C18" i="11"/>
  <c r="C14" i="16"/>
  <c r="C14" i="19"/>
  <c r="C14" i="18"/>
  <c r="C14" i="10"/>
  <c r="C14" i="11"/>
  <c r="C15" i="16"/>
  <c r="C82" i="18" l="1"/>
  <c r="C75" i="18"/>
  <c r="C61" i="18"/>
  <c r="N81" i="19"/>
  <c r="O81" i="19" s="1"/>
  <c r="N77" i="19"/>
  <c r="O77" i="19" s="1"/>
  <c r="N68" i="19"/>
  <c r="O68" i="19" s="1"/>
  <c r="N59" i="19"/>
  <c r="O59" i="19" s="1"/>
  <c r="N51" i="19"/>
  <c r="O51" i="19" s="1"/>
  <c r="N38" i="19"/>
  <c r="O38" i="19" s="1"/>
  <c r="N80" i="19"/>
  <c r="O80" i="19" s="1"/>
  <c r="N76" i="19"/>
  <c r="O76" i="19" s="1"/>
  <c r="N71" i="19"/>
  <c r="O71" i="19" s="1"/>
  <c r="N67" i="19"/>
  <c r="O67" i="19" s="1"/>
  <c r="N63" i="19"/>
  <c r="O63" i="19" s="1"/>
  <c r="N58" i="19"/>
  <c r="O58" i="19" s="1"/>
  <c r="N54" i="19"/>
  <c r="O54" i="19" s="1"/>
  <c r="N50" i="19"/>
  <c r="O50" i="19" s="1"/>
  <c r="N45" i="19"/>
  <c r="O45" i="19" s="1"/>
  <c r="N41" i="19"/>
  <c r="O41" i="19" s="1"/>
  <c r="N37" i="19"/>
  <c r="O37" i="19" s="1"/>
  <c r="N79" i="19"/>
  <c r="O79" i="19" s="1"/>
  <c r="N74" i="19"/>
  <c r="O74" i="19" s="1"/>
  <c r="N70" i="19"/>
  <c r="O70" i="19" s="1"/>
  <c r="N66" i="19"/>
  <c r="O66" i="19" s="1"/>
  <c r="N62" i="19"/>
  <c r="O62" i="19" s="1"/>
  <c r="N57" i="19"/>
  <c r="O57" i="19" s="1"/>
  <c r="N53" i="19"/>
  <c r="O53" i="19" s="1"/>
  <c r="N49" i="19"/>
  <c r="O49" i="19" s="1"/>
  <c r="N44" i="19"/>
  <c r="O44" i="19" s="1"/>
  <c r="N40" i="19"/>
  <c r="O40" i="19" s="1"/>
  <c r="N36" i="19"/>
  <c r="O36" i="19" s="1"/>
  <c r="N78" i="19"/>
  <c r="O78" i="19" s="1"/>
  <c r="N73" i="19"/>
  <c r="O73" i="19" s="1"/>
  <c r="N69" i="19"/>
  <c r="O69" i="19" s="1"/>
  <c r="N65" i="19"/>
  <c r="O65" i="19" s="1"/>
  <c r="N60" i="19"/>
  <c r="O60" i="19" s="1"/>
  <c r="N56" i="19"/>
  <c r="O56" i="19" s="1"/>
  <c r="N52" i="19"/>
  <c r="O52" i="19" s="1"/>
  <c r="N48" i="19"/>
  <c r="O48" i="19" s="1"/>
  <c r="N43" i="19"/>
  <c r="O43" i="19" s="1"/>
  <c r="N39" i="19"/>
  <c r="O39" i="19" s="1"/>
  <c r="N35" i="19"/>
  <c r="O35" i="19" s="1"/>
  <c r="N72" i="19"/>
  <c r="O72" i="19" s="1"/>
  <c r="N64" i="19"/>
  <c r="O64" i="19" s="1"/>
  <c r="N55" i="19"/>
  <c r="O55" i="19" s="1"/>
  <c r="N46" i="19"/>
  <c r="O46" i="19" s="1"/>
  <c r="N42" i="19"/>
  <c r="O42" i="19" s="1"/>
  <c r="N34" i="19"/>
  <c r="O34" i="19" s="1"/>
  <c r="J34" i="18"/>
  <c r="I35" i="18"/>
  <c r="C17" i="16"/>
  <c r="C17" i="19"/>
  <c r="C17" i="18"/>
  <c r="C17" i="10"/>
  <c r="C17" i="11"/>
  <c r="C47" i="18"/>
  <c r="C7" i="10"/>
  <c r="C7" i="16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81" i="19"/>
  <c r="F80" i="19"/>
  <c r="F79" i="19"/>
  <c r="F78" i="19"/>
  <c r="F77" i="19"/>
  <c r="F76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J35" i="18" l="1"/>
  <c r="I36" i="18"/>
  <c r="L84" i="11"/>
  <c r="I84" i="11"/>
  <c r="F84" i="11"/>
  <c r="C84" i="11"/>
  <c r="L83" i="11"/>
  <c r="I83" i="11"/>
  <c r="F83" i="11"/>
  <c r="C83" i="11"/>
  <c r="K32" i="19"/>
  <c r="J32" i="19"/>
  <c r="I37" i="18" l="1"/>
  <c r="J36" i="18"/>
  <c r="B7" i="10"/>
  <c r="D32" i="18"/>
  <c r="D32" i="19"/>
  <c r="B7" i="16"/>
  <c r="B8" i="10"/>
  <c r="B8" i="16"/>
  <c r="B6" i="10"/>
  <c r="B5" i="16"/>
  <c r="B5" i="10"/>
  <c r="I38" i="18" l="1"/>
  <c r="J37" i="18"/>
  <c r="C6" i="16"/>
  <c r="C6" i="10"/>
  <c r="I39" i="18" l="1"/>
  <c r="J38" i="18"/>
  <c r="G6" i="16"/>
  <c r="G8" i="16"/>
  <c r="G8" i="20" s="1"/>
  <c r="I40" i="18" l="1"/>
  <c r="J39" i="18"/>
  <c r="G8" i="18"/>
  <c r="G8" i="10"/>
  <c r="G8" i="11"/>
  <c r="G8" i="19"/>
  <c r="B28" i="11"/>
  <c r="B82" i="18"/>
  <c r="B75" i="19"/>
  <c r="B61" i="19"/>
  <c r="B34" i="20"/>
  <c r="B35" i="20"/>
  <c r="B36" i="20"/>
  <c r="B37" i="20"/>
  <c r="B14" i="22" s="1"/>
  <c r="B69" i="22" s="1"/>
  <c r="B124" i="22" s="1"/>
  <c r="B179" i="22" s="1"/>
  <c r="B38" i="20"/>
  <c r="B39" i="20"/>
  <c r="B40" i="20"/>
  <c r="B17" i="22" s="1"/>
  <c r="B72" i="22" s="1"/>
  <c r="B127" i="22" s="1"/>
  <c r="B182" i="22" s="1"/>
  <c r="B41" i="20"/>
  <c r="B18" i="22" s="1"/>
  <c r="B73" i="22" s="1"/>
  <c r="B128" i="22" s="1"/>
  <c r="B183" i="22" s="1"/>
  <c r="B42" i="20"/>
  <c r="B43" i="20"/>
  <c r="B20" i="22" s="1"/>
  <c r="B75" i="22" s="1"/>
  <c r="B130" i="22" s="1"/>
  <c r="B185" i="22" s="1"/>
  <c r="B44" i="20"/>
  <c r="B45" i="20"/>
  <c r="B47" i="20"/>
  <c r="B48" i="20"/>
  <c r="B49" i="20"/>
  <c r="B26" i="22" s="1"/>
  <c r="B81" i="22" s="1"/>
  <c r="B136" i="22" s="1"/>
  <c r="B191" i="22" s="1"/>
  <c r="B50" i="20"/>
  <c r="B51" i="20"/>
  <c r="B52" i="20"/>
  <c r="B53" i="20"/>
  <c r="B54" i="20"/>
  <c r="B55" i="20"/>
  <c r="B56" i="20"/>
  <c r="B57" i="20"/>
  <c r="B34" i="22" s="1"/>
  <c r="B89" i="22" s="1"/>
  <c r="B144" i="22" s="1"/>
  <c r="B199" i="22" s="1"/>
  <c r="B58" i="20"/>
  <c r="B59" i="20"/>
  <c r="B61" i="20"/>
  <c r="B76" i="16" s="1"/>
  <c r="B131" i="16" s="1"/>
  <c r="B62" i="20"/>
  <c r="B63" i="10" s="1"/>
  <c r="B63" i="20"/>
  <c r="B78" i="16" s="1"/>
  <c r="B133" i="16" s="1"/>
  <c r="B64" i="20"/>
  <c r="B65" i="19" s="1"/>
  <c r="B65" i="20"/>
  <c r="B65" i="11" s="1"/>
  <c r="B66" i="20"/>
  <c r="B67" i="19" s="1"/>
  <c r="B67" i="20"/>
  <c r="B68" i="18" s="1"/>
  <c r="B68" i="20"/>
  <c r="B69" i="19" s="1"/>
  <c r="B69" i="20"/>
  <c r="B84" i="16" s="1"/>
  <c r="B139" i="16" s="1"/>
  <c r="B70" i="20"/>
  <c r="B71" i="10" s="1"/>
  <c r="B71" i="20"/>
  <c r="B86" i="16" s="1"/>
  <c r="B141" i="16" s="1"/>
  <c r="B72" i="20"/>
  <c r="B73" i="19" s="1"/>
  <c r="B73" i="20"/>
  <c r="B73" i="11" s="1"/>
  <c r="B75" i="20"/>
  <c r="B76" i="18" s="1"/>
  <c r="B76" i="20"/>
  <c r="B77" i="10" s="1"/>
  <c r="B77" i="20"/>
  <c r="B78" i="18" s="1"/>
  <c r="B78" i="20"/>
  <c r="B79" i="19" s="1"/>
  <c r="B79" i="20"/>
  <c r="B79" i="11" s="1"/>
  <c r="B80" i="20"/>
  <c r="B95" i="16" s="1"/>
  <c r="B150" i="16" s="1"/>
  <c r="B33" i="20"/>
  <c r="B10" i="22" s="1"/>
  <c r="B65" i="22" s="1"/>
  <c r="B120" i="22" s="1"/>
  <c r="B175" i="22" s="1"/>
  <c r="A1" i="16"/>
  <c r="A1" i="11"/>
  <c r="A1" i="20"/>
  <c r="E81" i="19"/>
  <c r="C81" i="19" s="1"/>
  <c r="E80" i="19"/>
  <c r="E79" i="19"/>
  <c r="C79" i="19" s="1"/>
  <c r="E78" i="19"/>
  <c r="C78" i="19" s="1"/>
  <c r="E77" i="19"/>
  <c r="C77" i="19" s="1"/>
  <c r="E76" i="19"/>
  <c r="C76" i="19" s="1"/>
  <c r="E74" i="19"/>
  <c r="C74" i="19" s="1"/>
  <c r="E73" i="19"/>
  <c r="C73" i="19" s="1"/>
  <c r="E72" i="19"/>
  <c r="E71" i="19"/>
  <c r="C71" i="19" s="1"/>
  <c r="E70" i="19"/>
  <c r="C70" i="19" s="1"/>
  <c r="E69" i="19"/>
  <c r="C69" i="19" s="1"/>
  <c r="E68" i="19"/>
  <c r="E67" i="19"/>
  <c r="E66" i="19"/>
  <c r="C66" i="19" s="1"/>
  <c r="E65" i="19"/>
  <c r="C65" i="19" s="1"/>
  <c r="E64" i="19"/>
  <c r="E63" i="19"/>
  <c r="C63" i="19" s="1"/>
  <c r="E62" i="19"/>
  <c r="C62" i="19" s="1"/>
  <c r="E60" i="19"/>
  <c r="C60" i="19" s="1"/>
  <c r="E59" i="19"/>
  <c r="E58" i="19"/>
  <c r="E57" i="19"/>
  <c r="C57" i="19" s="1"/>
  <c r="E56" i="19"/>
  <c r="C56" i="19" s="1"/>
  <c r="E55" i="19"/>
  <c r="E54" i="19"/>
  <c r="C54" i="19" s="1"/>
  <c r="E53" i="19"/>
  <c r="C53" i="19" s="1"/>
  <c r="E52" i="19"/>
  <c r="C52" i="19" s="1"/>
  <c r="E51" i="19"/>
  <c r="E50" i="19"/>
  <c r="C50" i="19" s="1"/>
  <c r="E49" i="19"/>
  <c r="C49" i="19" s="1"/>
  <c r="E48" i="19"/>
  <c r="C48" i="19" s="1"/>
  <c r="E46" i="19"/>
  <c r="C46" i="19" s="1"/>
  <c r="E45" i="19"/>
  <c r="C45" i="19" s="1"/>
  <c r="E44" i="19"/>
  <c r="E43" i="19"/>
  <c r="C43" i="19" s="1"/>
  <c r="E42" i="19"/>
  <c r="C42" i="19" s="1"/>
  <c r="E41" i="19"/>
  <c r="E40" i="19"/>
  <c r="C40" i="19" s="1"/>
  <c r="E39" i="19"/>
  <c r="C39" i="19" s="1"/>
  <c r="E38" i="19"/>
  <c r="C38" i="19" s="1"/>
  <c r="E37" i="19"/>
  <c r="C37" i="19" s="1"/>
  <c r="E36" i="19"/>
  <c r="C36" i="19" s="1"/>
  <c r="E35" i="19"/>
  <c r="C35" i="19" s="1"/>
  <c r="E34" i="19"/>
  <c r="C34" i="19" s="1"/>
  <c r="A1" i="19"/>
  <c r="A1" i="18"/>
  <c r="A1" i="10"/>
  <c r="G80" i="11"/>
  <c r="G77" i="11"/>
  <c r="G62" i="11"/>
  <c r="G59" i="11"/>
  <c r="G58" i="11"/>
  <c r="G56" i="11"/>
  <c r="G51" i="11"/>
  <c r="G47" i="11"/>
  <c r="F32" i="19"/>
  <c r="E32" i="19"/>
  <c r="H32" i="10"/>
  <c r="G32" i="10"/>
  <c r="F32" i="10"/>
  <c r="E32" i="10"/>
  <c r="F32" i="18"/>
  <c r="E32" i="18"/>
  <c r="H31" i="11"/>
  <c r="H83" i="11" s="1"/>
  <c r="K31" i="11"/>
  <c r="K83" i="11" s="1"/>
  <c r="D32" i="10"/>
  <c r="E31" i="11" s="1"/>
  <c r="E83" i="11" s="1"/>
  <c r="C32" i="18"/>
  <c r="G31" i="11" s="1"/>
  <c r="G83" i="11" s="1"/>
  <c r="C32" i="19"/>
  <c r="J31" i="11" s="1"/>
  <c r="J83" i="11" s="1"/>
  <c r="C32" i="10"/>
  <c r="D31" i="11" s="1"/>
  <c r="D83" i="11" s="1"/>
  <c r="H81" i="10"/>
  <c r="K81" i="19" s="1"/>
  <c r="G81" i="10"/>
  <c r="J81" i="19" s="1"/>
  <c r="F81" i="10"/>
  <c r="E81" i="10"/>
  <c r="H80" i="10"/>
  <c r="K80" i="19" s="1"/>
  <c r="G80" i="10"/>
  <c r="J80" i="19" s="1"/>
  <c r="F80" i="10"/>
  <c r="E80" i="10"/>
  <c r="H79" i="10"/>
  <c r="K79" i="19" s="1"/>
  <c r="G79" i="10"/>
  <c r="J79" i="19" s="1"/>
  <c r="F79" i="10"/>
  <c r="E79" i="10"/>
  <c r="H78" i="10"/>
  <c r="K78" i="19" s="1"/>
  <c r="G78" i="10"/>
  <c r="J78" i="19" s="1"/>
  <c r="F78" i="10"/>
  <c r="E78" i="10"/>
  <c r="H77" i="10"/>
  <c r="K77" i="19" s="1"/>
  <c r="G77" i="10"/>
  <c r="J77" i="19" s="1"/>
  <c r="F77" i="10"/>
  <c r="E77" i="10"/>
  <c r="H76" i="10"/>
  <c r="K76" i="19" s="1"/>
  <c r="G76" i="10"/>
  <c r="J76" i="19" s="1"/>
  <c r="F76" i="10"/>
  <c r="E76" i="10"/>
  <c r="H74" i="10"/>
  <c r="K74" i="19" s="1"/>
  <c r="G74" i="10"/>
  <c r="J74" i="19" s="1"/>
  <c r="E74" i="10"/>
  <c r="J74" i="10" s="1"/>
  <c r="H73" i="10"/>
  <c r="K73" i="19" s="1"/>
  <c r="G73" i="10"/>
  <c r="J73" i="19" s="1"/>
  <c r="E73" i="10"/>
  <c r="J73" i="10" s="1"/>
  <c r="H72" i="10"/>
  <c r="K72" i="19" s="1"/>
  <c r="G72" i="10"/>
  <c r="J72" i="19" s="1"/>
  <c r="E72" i="10"/>
  <c r="J72" i="10" s="1"/>
  <c r="H71" i="10"/>
  <c r="K71" i="19" s="1"/>
  <c r="G71" i="10"/>
  <c r="J71" i="19" s="1"/>
  <c r="E71" i="10"/>
  <c r="J71" i="10" s="1"/>
  <c r="H70" i="10"/>
  <c r="K70" i="19" s="1"/>
  <c r="G70" i="10"/>
  <c r="J70" i="19" s="1"/>
  <c r="E70" i="10"/>
  <c r="J70" i="10" s="1"/>
  <c r="H69" i="10"/>
  <c r="K69" i="19" s="1"/>
  <c r="G69" i="10"/>
  <c r="J69" i="19" s="1"/>
  <c r="E69" i="10"/>
  <c r="J69" i="10" s="1"/>
  <c r="H68" i="10"/>
  <c r="K68" i="19" s="1"/>
  <c r="G68" i="10"/>
  <c r="J68" i="19" s="1"/>
  <c r="E68" i="10"/>
  <c r="J68" i="10" s="1"/>
  <c r="H67" i="10"/>
  <c r="K67" i="19" s="1"/>
  <c r="G67" i="10"/>
  <c r="J67" i="19" s="1"/>
  <c r="E67" i="10"/>
  <c r="J67" i="10" s="1"/>
  <c r="H66" i="10"/>
  <c r="K66" i="19" s="1"/>
  <c r="G66" i="10"/>
  <c r="J66" i="19" s="1"/>
  <c r="E66" i="10"/>
  <c r="J66" i="10" s="1"/>
  <c r="H65" i="10"/>
  <c r="K65" i="19" s="1"/>
  <c r="G65" i="10"/>
  <c r="J65" i="19" s="1"/>
  <c r="E65" i="10"/>
  <c r="J65" i="10" s="1"/>
  <c r="H64" i="10"/>
  <c r="K64" i="19" s="1"/>
  <c r="G64" i="10"/>
  <c r="J64" i="19" s="1"/>
  <c r="E64" i="10"/>
  <c r="J64" i="10" s="1"/>
  <c r="H63" i="10"/>
  <c r="K63" i="19" s="1"/>
  <c r="G63" i="10"/>
  <c r="J63" i="19" s="1"/>
  <c r="E63" i="10"/>
  <c r="J63" i="10" s="1"/>
  <c r="H62" i="10"/>
  <c r="K62" i="19" s="1"/>
  <c r="G62" i="10"/>
  <c r="J62" i="19" s="1"/>
  <c r="E62" i="10"/>
  <c r="J62" i="10" s="1"/>
  <c r="H60" i="10"/>
  <c r="K60" i="19" s="1"/>
  <c r="G60" i="10"/>
  <c r="J60" i="19" s="1"/>
  <c r="E60" i="10"/>
  <c r="J60" i="10" s="1"/>
  <c r="H59" i="10"/>
  <c r="K59" i="19" s="1"/>
  <c r="G59" i="10"/>
  <c r="J59" i="19" s="1"/>
  <c r="E59" i="10"/>
  <c r="J59" i="10" s="1"/>
  <c r="H58" i="10"/>
  <c r="K58" i="19" s="1"/>
  <c r="G58" i="10"/>
  <c r="J58" i="19" s="1"/>
  <c r="E58" i="10"/>
  <c r="J58" i="10" s="1"/>
  <c r="H57" i="10"/>
  <c r="K57" i="19" s="1"/>
  <c r="G57" i="10"/>
  <c r="J57" i="19" s="1"/>
  <c r="E57" i="10"/>
  <c r="J57" i="10" s="1"/>
  <c r="H56" i="10"/>
  <c r="K56" i="19" s="1"/>
  <c r="G56" i="10"/>
  <c r="J56" i="19" s="1"/>
  <c r="E56" i="10"/>
  <c r="J56" i="10" s="1"/>
  <c r="H55" i="10"/>
  <c r="K55" i="19" s="1"/>
  <c r="G55" i="10"/>
  <c r="J55" i="19" s="1"/>
  <c r="E55" i="10"/>
  <c r="J55" i="10" s="1"/>
  <c r="H54" i="10"/>
  <c r="K54" i="19" s="1"/>
  <c r="G54" i="10"/>
  <c r="J54" i="19" s="1"/>
  <c r="E54" i="10"/>
  <c r="J54" i="10" s="1"/>
  <c r="H53" i="10"/>
  <c r="K53" i="19" s="1"/>
  <c r="G53" i="10"/>
  <c r="J53" i="19" s="1"/>
  <c r="E53" i="10"/>
  <c r="J53" i="10" s="1"/>
  <c r="H52" i="10"/>
  <c r="K52" i="19" s="1"/>
  <c r="G52" i="10"/>
  <c r="J52" i="19" s="1"/>
  <c r="E52" i="10"/>
  <c r="J52" i="10" s="1"/>
  <c r="H51" i="10"/>
  <c r="K51" i="19" s="1"/>
  <c r="G51" i="10"/>
  <c r="J51" i="19" s="1"/>
  <c r="E51" i="10"/>
  <c r="J51" i="10" s="1"/>
  <c r="H50" i="10"/>
  <c r="K50" i="19" s="1"/>
  <c r="G50" i="10"/>
  <c r="J50" i="19" s="1"/>
  <c r="E50" i="10"/>
  <c r="J50" i="10" s="1"/>
  <c r="H49" i="10"/>
  <c r="K49" i="19" s="1"/>
  <c r="G49" i="10"/>
  <c r="J49" i="19" s="1"/>
  <c r="E49" i="10"/>
  <c r="J49" i="10" s="1"/>
  <c r="H48" i="10"/>
  <c r="K48" i="19" s="1"/>
  <c r="G48" i="10"/>
  <c r="J48" i="19" s="1"/>
  <c r="E48" i="10"/>
  <c r="J48" i="10" s="1"/>
  <c r="H46" i="10"/>
  <c r="K46" i="19" s="1"/>
  <c r="G46" i="10"/>
  <c r="J46" i="19" s="1"/>
  <c r="E46" i="10"/>
  <c r="J46" i="10" s="1"/>
  <c r="H45" i="10"/>
  <c r="K45" i="19" s="1"/>
  <c r="G45" i="10"/>
  <c r="J45" i="19" s="1"/>
  <c r="E45" i="10"/>
  <c r="J45" i="10" s="1"/>
  <c r="H44" i="10"/>
  <c r="K44" i="19" s="1"/>
  <c r="G44" i="10"/>
  <c r="J44" i="19" s="1"/>
  <c r="E44" i="10"/>
  <c r="J44" i="10" s="1"/>
  <c r="H43" i="10"/>
  <c r="K43" i="19" s="1"/>
  <c r="G43" i="10"/>
  <c r="J43" i="19" s="1"/>
  <c r="E43" i="10"/>
  <c r="J43" i="10" s="1"/>
  <c r="H42" i="10"/>
  <c r="K42" i="19" s="1"/>
  <c r="G42" i="10"/>
  <c r="J42" i="19" s="1"/>
  <c r="E42" i="10"/>
  <c r="J42" i="10" s="1"/>
  <c r="H41" i="10"/>
  <c r="K41" i="19" s="1"/>
  <c r="G41" i="10"/>
  <c r="J41" i="19" s="1"/>
  <c r="E41" i="10"/>
  <c r="J41" i="10" s="1"/>
  <c r="H40" i="10"/>
  <c r="K40" i="19" s="1"/>
  <c r="G40" i="10"/>
  <c r="J40" i="19" s="1"/>
  <c r="E40" i="10"/>
  <c r="J40" i="10" s="1"/>
  <c r="H39" i="10"/>
  <c r="K39" i="19" s="1"/>
  <c r="G39" i="10"/>
  <c r="J39" i="19" s="1"/>
  <c r="E39" i="10"/>
  <c r="J39" i="10" s="1"/>
  <c r="H38" i="10"/>
  <c r="K38" i="19" s="1"/>
  <c r="G38" i="10"/>
  <c r="J38" i="19" s="1"/>
  <c r="E38" i="10"/>
  <c r="J38" i="10" s="1"/>
  <c r="H37" i="10"/>
  <c r="K37" i="19" s="1"/>
  <c r="G37" i="10"/>
  <c r="J37" i="19" s="1"/>
  <c r="E37" i="10"/>
  <c r="J37" i="10" s="1"/>
  <c r="H36" i="10"/>
  <c r="K36" i="19" s="1"/>
  <c r="G36" i="10"/>
  <c r="J36" i="19" s="1"/>
  <c r="E36" i="10"/>
  <c r="J36" i="10" s="1"/>
  <c r="H35" i="10"/>
  <c r="K35" i="19" s="1"/>
  <c r="G35" i="10"/>
  <c r="J35" i="19" s="1"/>
  <c r="E35" i="10"/>
  <c r="J35" i="10" s="1"/>
  <c r="H34" i="10"/>
  <c r="K34" i="19" s="1"/>
  <c r="G34" i="10"/>
  <c r="J34" i="19" s="1"/>
  <c r="F34" i="10"/>
  <c r="E34" i="10"/>
  <c r="K32" i="11"/>
  <c r="K84" i="11" s="1"/>
  <c r="J32" i="11"/>
  <c r="J84" i="11" s="1"/>
  <c r="C23" i="20"/>
  <c r="C21" i="20"/>
  <c r="K30" i="11"/>
  <c r="G30" i="11"/>
  <c r="J30" i="11" s="1"/>
  <c r="H32" i="11"/>
  <c r="H84" i="11" s="1"/>
  <c r="G32" i="11"/>
  <c r="G84" i="11" s="1"/>
  <c r="K80" i="11"/>
  <c r="K79" i="11"/>
  <c r="K78" i="11"/>
  <c r="G79" i="11"/>
  <c r="G78" i="11"/>
  <c r="G75" i="11"/>
  <c r="G72" i="11"/>
  <c r="G70" i="11"/>
  <c r="G68" i="11"/>
  <c r="G66" i="11"/>
  <c r="G64" i="11"/>
  <c r="G57" i="11"/>
  <c r="G54" i="11"/>
  <c r="G53" i="11"/>
  <c r="G49" i="11"/>
  <c r="G44" i="11"/>
  <c r="G42" i="11"/>
  <c r="G40" i="11"/>
  <c r="G38" i="11"/>
  <c r="G36" i="11"/>
  <c r="G34" i="11"/>
  <c r="G33" i="11"/>
  <c r="E32" i="11"/>
  <c r="E84" i="11" s="1"/>
  <c r="D32" i="11"/>
  <c r="D84" i="11" s="1"/>
  <c r="B31" i="11"/>
  <c r="B57" i="10" l="1"/>
  <c r="B33" i="22"/>
  <c r="B88" i="22" s="1"/>
  <c r="B143" i="22" s="1"/>
  <c r="B198" i="22" s="1"/>
  <c r="B67" i="16"/>
  <c r="B122" i="16" s="1"/>
  <c r="B29" i="22"/>
  <c r="B84" i="22" s="1"/>
  <c r="B139" i="22" s="1"/>
  <c r="B194" i="22" s="1"/>
  <c r="B49" i="10"/>
  <c r="B25" i="22"/>
  <c r="B80" i="22" s="1"/>
  <c r="B135" i="22" s="1"/>
  <c r="B190" i="22" s="1"/>
  <c r="B40" i="18"/>
  <c r="B16" i="22"/>
  <c r="B71" i="22" s="1"/>
  <c r="B126" i="22" s="1"/>
  <c r="B181" i="22" s="1"/>
  <c r="B50" i="16"/>
  <c r="B105" i="16" s="1"/>
  <c r="B12" i="22"/>
  <c r="B67" i="22" s="1"/>
  <c r="B122" i="22" s="1"/>
  <c r="B177" i="22" s="1"/>
  <c r="B59" i="11"/>
  <c r="B36" i="22"/>
  <c r="B91" i="22" s="1"/>
  <c r="B146" i="22" s="1"/>
  <c r="B201" i="22" s="1"/>
  <c r="B55" i="11"/>
  <c r="B32" i="22"/>
  <c r="B87" i="22" s="1"/>
  <c r="B142" i="22" s="1"/>
  <c r="B197" i="22" s="1"/>
  <c r="B51" i="11"/>
  <c r="B28" i="22"/>
  <c r="B83" i="22" s="1"/>
  <c r="B138" i="22" s="1"/>
  <c r="B193" i="22" s="1"/>
  <c r="B47" i="11"/>
  <c r="B24" i="22"/>
  <c r="B79" i="22" s="1"/>
  <c r="B134" i="22" s="1"/>
  <c r="B189" i="22" s="1"/>
  <c r="B43" i="10"/>
  <c r="B19" i="22"/>
  <c r="B74" i="22" s="1"/>
  <c r="B129" i="22" s="1"/>
  <c r="B184" i="22" s="1"/>
  <c r="B39" i="10"/>
  <c r="B15" i="22"/>
  <c r="B70" i="22" s="1"/>
  <c r="B125" i="22" s="1"/>
  <c r="B180" i="22" s="1"/>
  <c r="B35" i="10"/>
  <c r="B11" i="22"/>
  <c r="B66" i="22" s="1"/>
  <c r="B121" i="22" s="1"/>
  <c r="B176" i="22" s="1"/>
  <c r="B59" i="19"/>
  <c r="B35" i="22"/>
  <c r="B90" i="22" s="1"/>
  <c r="B145" i="22" s="1"/>
  <c r="B200" i="22" s="1"/>
  <c r="B69" i="16"/>
  <c r="B124" i="16" s="1"/>
  <c r="B31" i="22"/>
  <c r="B86" i="22" s="1"/>
  <c r="B141" i="22" s="1"/>
  <c r="B196" i="22" s="1"/>
  <c r="B51" i="19"/>
  <c r="B27" i="22"/>
  <c r="B82" i="22" s="1"/>
  <c r="B137" i="22" s="1"/>
  <c r="B192" i="22" s="1"/>
  <c r="B60" i="16"/>
  <c r="B115" i="16" s="1"/>
  <c r="B22" i="22"/>
  <c r="B77" i="22" s="1"/>
  <c r="B132" i="22" s="1"/>
  <c r="B187" i="22" s="1"/>
  <c r="B54" i="18"/>
  <c r="B30" i="22"/>
  <c r="B85" i="22" s="1"/>
  <c r="B140" i="22" s="1"/>
  <c r="B195" i="22" s="1"/>
  <c r="B45" i="19"/>
  <c r="B21" i="22"/>
  <c r="B76" i="22" s="1"/>
  <c r="B131" i="22" s="1"/>
  <c r="B186" i="22" s="1"/>
  <c r="B37" i="19"/>
  <c r="B13" i="22"/>
  <c r="B68" i="22" s="1"/>
  <c r="B123" i="22" s="1"/>
  <c r="B178" i="22" s="1"/>
  <c r="K42" i="10"/>
  <c r="K46" i="10"/>
  <c r="K51" i="10"/>
  <c r="K55" i="10"/>
  <c r="K59" i="10"/>
  <c r="K49" i="10"/>
  <c r="K53" i="10"/>
  <c r="K57" i="10"/>
  <c r="K35" i="10"/>
  <c r="K39" i="10"/>
  <c r="K43" i="10"/>
  <c r="K48" i="10"/>
  <c r="K52" i="10"/>
  <c r="K56" i="10"/>
  <c r="K60" i="10"/>
  <c r="K37" i="10"/>
  <c r="K41" i="10"/>
  <c r="K45" i="10"/>
  <c r="K50" i="10"/>
  <c r="K54" i="10"/>
  <c r="K58" i="10"/>
  <c r="K36" i="10"/>
  <c r="K40" i="10"/>
  <c r="K44" i="10"/>
  <c r="J76" i="10"/>
  <c r="K76" i="10" s="1"/>
  <c r="J77" i="10"/>
  <c r="K77" i="10" s="1"/>
  <c r="J78" i="10"/>
  <c r="K78" i="10" s="1"/>
  <c r="J79" i="10"/>
  <c r="K79" i="10" s="1"/>
  <c r="J80" i="10"/>
  <c r="K80" i="10" s="1"/>
  <c r="J81" i="10"/>
  <c r="K81" i="10" s="1"/>
  <c r="J34" i="10"/>
  <c r="K34" i="10" s="1"/>
  <c r="K38" i="10"/>
  <c r="H62" i="19"/>
  <c r="M61" i="11" s="1"/>
  <c r="O61" i="11" s="1"/>
  <c r="H66" i="19"/>
  <c r="M65" i="11" s="1"/>
  <c r="O65" i="11" s="1"/>
  <c r="H70" i="19"/>
  <c r="M69" i="11" s="1"/>
  <c r="O69" i="11" s="1"/>
  <c r="H74" i="19"/>
  <c r="M73" i="11" s="1"/>
  <c r="O73" i="11" s="1"/>
  <c r="H76" i="19"/>
  <c r="M75" i="11" s="1"/>
  <c r="H77" i="19"/>
  <c r="M76" i="11" s="1"/>
  <c r="O76" i="11" s="1"/>
  <c r="H78" i="19"/>
  <c r="M77" i="11" s="1"/>
  <c r="O77" i="11" s="1"/>
  <c r="H79" i="19"/>
  <c r="M78" i="11" s="1"/>
  <c r="O78" i="11" s="1"/>
  <c r="H36" i="19"/>
  <c r="M35" i="11" s="1"/>
  <c r="O35" i="11" s="1"/>
  <c r="H40" i="19"/>
  <c r="M39" i="11" s="1"/>
  <c r="O39" i="11" s="1"/>
  <c r="H44" i="19"/>
  <c r="M43" i="11" s="1"/>
  <c r="O43" i="11" s="1"/>
  <c r="H49" i="19"/>
  <c r="M48" i="11" s="1"/>
  <c r="O48" i="11" s="1"/>
  <c r="H53" i="19"/>
  <c r="M52" i="11" s="1"/>
  <c r="O52" i="11" s="1"/>
  <c r="H57" i="19"/>
  <c r="M56" i="11" s="1"/>
  <c r="O56" i="11" s="1"/>
  <c r="H80" i="19"/>
  <c r="M79" i="11" s="1"/>
  <c r="O79" i="11" s="1"/>
  <c r="H81" i="19"/>
  <c r="M80" i="11" s="1"/>
  <c r="O80" i="11" s="1"/>
  <c r="K63" i="10"/>
  <c r="K67" i="10"/>
  <c r="K71" i="10"/>
  <c r="K64" i="10"/>
  <c r="K68" i="10"/>
  <c r="K72" i="10"/>
  <c r="H48" i="19"/>
  <c r="H52" i="19"/>
  <c r="M51" i="11" s="1"/>
  <c r="O51" i="11" s="1"/>
  <c r="H60" i="19"/>
  <c r="M59" i="11" s="1"/>
  <c r="O59" i="11" s="1"/>
  <c r="H65" i="19"/>
  <c r="M64" i="11" s="1"/>
  <c r="O64" i="11" s="1"/>
  <c r="H69" i="19"/>
  <c r="M68" i="11" s="1"/>
  <c r="O68" i="11" s="1"/>
  <c r="H73" i="19"/>
  <c r="M72" i="11" s="1"/>
  <c r="O72" i="11" s="1"/>
  <c r="C41" i="19"/>
  <c r="J40" i="11" s="1"/>
  <c r="C58" i="19"/>
  <c r="J57" i="11" s="1"/>
  <c r="C67" i="19"/>
  <c r="J66" i="11" s="1"/>
  <c r="C80" i="19"/>
  <c r="C82" i="19" s="1"/>
  <c r="H39" i="19"/>
  <c r="M38" i="11" s="1"/>
  <c r="O38" i="11" s="1"/>
  <c r="H43" i="19"/>
  <c r="M42" i="11" s="1"/>
  <c r="O42" i="11" s="1"/>
  <c r="H56" i="19"/>
  <c r="M55" i="11" s="1"/>
  <c r="O55" i="11" s="1"/>
  <c r="H34" i="19"/>
  <c r="H38" i="19"/>
  <c r="M37" i="11" s="1"/>
  <c r="O37" i="11" s="1"/>
  <c r="H42" i="19"/>
  <c r="M41" i="11" s="1"/>
  <c r="O41" i="11" s="1"/>
  <c r="H46" i="19"/>
  <c r="M45" i="11" s="1"/>
  <c r="O45" i="11" s="1"/>
  <c r="H51" i="19"/>
  <c r="M50" i="11" s="1"/>
  <c r="O50" i="11" s="1"/>
  <c r="H55" i="19"/>
  <c r="M54" i="11" s="1"/>
  <c r="O54" i="11" s="1"/>
  <c r="H59" i="19"/>
  <c r="M58" i="11" s="1"/>
  <c r="O58" i="11" s="1"/>
  <c r="K62" i="10"/>
  <c r="H64" i="19"/>
  <c r="M63" i="11" s="1"/>
  <c r="O63" i="11" s="1"/>
  <c r="K66" i="10"/>
  <c r="H68" i="19"/>
  <c r="M67" i="11" s="1"/>
  <c r="O67" i="11" s="1"/>
  <c r="K70" i="10"/>
  <c r="H72" i="19"/>
  <c r="M71" i="11" s="1"/>
  <c r="O71" i="11" s="1"/>
  <c r="K74" i="10"/>
  <c r="C51" i="19"/>
  <c r="J50" i="11" s="1"/>
  <c r="C55" i="19"/>
  <c r="J54" i="11" s="1"/>
  <c r="C59" i="19"/>
  <c r="J58" i="11" s="1"/>
  <c r="C64" i="19"/>
  <c r="J63" i="11" s="1"/>
  <c r="C68" i="19"/>
  <c r="J67" i="11" s="1"/>
  <c r="C72" i="19"/>
  <c r="J71" i="11" s="1"/>
  <c r="H35" i="19"/>
  <c r="M34" i="11" s="1"/>
  <c r="O34" i="11" s="1"/>
  <c r="H37" i="19"/>
  <c r="M36" i="11" s="1"/>
  <c r="O36" i="11" s="1"/>
  <c r="H41" i="19"/>
  <c r="M40" i="11" s="1"/>
  <c r="O40" i="11" s="1"/>
  <c r="H45" i="19"/>
  <c r="M44" i="11" s="1"/>
  <c r="O44" i="11" s="1"/>
  <c r="H50" i="19"/>
  <c r="M49" i="11" s="1"/>
  <c r="O49" i="11" s="1"/>
  <c r="H54" i="19"/>
  <c r="M53" i="11" s="1"/>
  <c r="O53" i="11" s="1"/>
  <c r="H58" i="19"/>
  <c r="M57" i="11" s="1"/>
  <c r="O57" i="11" s="1"/>
  <c r="H63" i="19"/>
  <c r="K65" i="10"/>
  <c r="H67" i="19"/>
  <c r="M66" i="11" s="1"/>
  <c r="O66" i="11" s="1"/>
  <c r="K69" i="10"/>
  <c r="H71" i="19"/>
  <c r="M70" i="11" s="1"/>
  <c r="O70" i="11" s="1"/>
  <c r="K73" i="10"/>
  <c r="C44" i="19"/>
  <c r="J43" i="11" s="1"/>
  <c r="I41" i="18"/>
  <c r="J40" i="18"/>
  <c r="C23" i="19"/>
  <c r="C23" i="18"/>
  <c r="C23" i="10"/>
  <c r="C23" i="11"/>
  <c r="C21" i="11"/>
  <c r="C21" i="19"/>
  <c r="C21" i="18"/>
  <c r="C21" i="10"/>
  <c r="C21" i="16"/>
  <c r="C23" i="16"/>
  <c r="K77" i="11"/>
  <c r="K71" i="11"/>
  <c r="K72" i="11"/>
  <c r="K66" i="11"/>
  <c r="K68" i="11"/>
  <c r="K70" i="11"/>
  <c r="K73" i="11"/>
  <c r="K69" i="11"/>
  <c r="K76" i="11"/>
  <c r="K48" i="11"/>
  <c r="K58" i="11"/>
  <c r="K59" i="11"/>
  <c r="K67" i="11"/>
  <c r="K52" i="11"/>
  <c r="K53" i="11"/>
  <c r="K57" i="11"/>
  <c r="K62" i="11"/>
  <c r="K64" i="11"/>
  <c r="K44" i="11"/>
  <c r="K45" i="11"/>
  <c r="K54" i="11"/>
  <c r="K55" i="11"/>
  <c r="K56" i="11"/>
  <c r="K63" i="11"/>
  <c r="K43" i="11"/>
  <c r="K49" i="11"/>
  <c r="K50" i="11"/>
  <c r="K51" i="11"/>
  <c r="K65" i="11"/>
  <c r="K38" i="11"/>
  <c r="K39" i="11"/>
  <c r="K40" i="11"/>
  <c r="K41" i="11"/>
  <c r="K42" i="11"/>
  <c r="K34" i="11"/>
  <c r="K36" i="11"/>
  <c r="K35" i="11"/>
  <c r="K37" i="11"/>
  <c r="G55" i="11"/>
  <c r="J39" i="11"/>
  <c r="G48" i="11"/>
  <c r="G50" i="11"/>
  <c r="G52" i="11"/>
  <c r="J51" i="11"/>
  <c r="G76" i="11"/>
  <c r="J35" i="11"/>
  <c r="J34" i="11"/>
  <c r="J47" i="11"/>
  <c r="J70" i="11"/>
  <c r="J49" i="11"/>
  <c r="B34" i="11"/>
  <c r="B48" i="18"/>
  <c r="B39" i="19"/>
  <c r="B81" i="11"/>
  <c r="B65" i="10"/>
  <c r="B56" i="18"/>
  <c r="B73" i="10"/>
  <c r="B33" i="11"/>
  <c r="B34" i="18"/>
  <c r="J42" i="11"/>
  <c r="J64" i="11"/>
  <c r="J75" i="11"/>
  <c r="J36" i="11"/>
  <c r="J44" i="11"/>
  <c r="J53" i="11"/>
  <c r="J59" i="11"/>
  <c r="J68" i="11"/>
  <c r="J77" i="11"/>
  <c r="G35" i="11"/>
  <c r="G37" i="11"/>
  <c r="G39" i="11"/>
  <c r="G41" i="11"/>
  <c r="G43" i="11"/>
  <c r="G45" i="11"/>
  <c r="G61" i="11"/>
  <c r="G63" i="11"/>
  <c r="G65" i="11"/>
  <c r="G67" i="11"/>
  <c r="G69" i="11"/>
  <c r="G71" i="11"/>
  <c r="G73" i="11"/>
  <c r="J38" i="11"/>
  <c r="J55" i="11"/>
  <c r="J62" i="11"/>
  <c r="J72" i="11"/>
  <c r="J37" i="11"/>
  <c r="J41" i="11"/>
  <c r="J45" i="11"/>
  <c r="J48" i="11"/>
  <c r="J52" i="11"/>
  <c r="J56" i="11"/>
  <c r="J61" i="11"/>
  <c r="J65" i="11"/>
  <c r="J69" i="11"/>
  <c r="J73" i="11"/>
  <c r="J76" i="11"/>
  <c r="J78" i="11"/>
  <c r="L78" i="11" s="1"/>
  <c r="J80" i="11"/>
  <c r="L80" i="11" s="1"/>
  <c r="B34" i="19"/>
  <c r="B34" i="10"/>
  <c r="B92" i="16"/>
  <c r="B147" i="16" s="1"/>
  <c r="B78" i="19"/>
  <c r="B78" i="10"/>
  <c r="B87" i="16"/>
  <c r="B142" i="16" s="1"/>
  <c r="B72" i="11"/>
  <c r="B73" i="18"/>
  <c r="B83" i="16"/>
  <c r="B138" i="16" s="1"/>
  <c r="B68" i="11"/>
  <c r="B69" i="18"/>
  <c r="B79" i="16"/>
  <c r="B134" i="16" s="1"/>
  <c r="B64" i="11"/>
  <c r="B65" i="18"/>
  <c r="B74" i="16"/>
  <c r="B129" i="16" s="1"/>
  <c r="B60" i="10"/>
  <c r="B60" i="19"/>
  <c r="B70" i="16"/>
  <c r="B125" i="16" s="1"/>
  <c r="B56" i="10"/>
  <c r="B56" i="19"/>
  <c r="B66" i="16"/>
  <c r="B121" i="16" s="1"/>
  <c r="B52" i="10"/>
  <c r="B52" i="19"/>
  <c r="B62" i="16"/>
  <c r="B117" i="16" s="1"/>
  <c r="B48" i="10"/>
  <c r="B48" i="19"/>
  <c r="B57" i="16"/>
  <c r="B112" i="16" s="1"/>
  <c r="B43" i="18"/>
  <c r="B42" i="11"/>
  <c r="B53" i="16"/>
  <c r="B108" i="16" s="1"/>
  <c r="B39" i="18"/>
  <c r="B38" i="11"/>
  <c r="B49" i="16"/>
  <c r="B104" i="16" s="1"/>
  <c r="B35" i="18"/>
  <c r="B82" i="19"/>
  <c r="B82" i="10"/>
  <c r="B37" i="11"/>
  <c r="B45" i="11"/>
  <c r="B53" i="11"/>
  <c r="B61" i="11"/>
  <c r="B69" i="11"/>
  <c r="B77" i="11"/>
  <c r="B37" i="10"/>
  <c r="B45" i="10"/>
  <c r="B53" i="10"/>
  <c r="B61" i="10"/>
  <c r="B69" i="10"/>
  <c r="B36" i="18"/>
  <c r="B44" i="18"/>
  <c r="B52" i="18"/>
  <c r="B60" i="18"/>
  <c r="B35" i="19"/>
  <c r="B43" i="19"/>
  <c r="B48" i="16"/>
  <c r="B103" i="16" s="1"/>
  <c r="B52" i="16"/>
  <c r="B107" i="16" s="1"/>
  <c r="B80" i="11"/>
  <c r="B81" i="18"/>
  <c r="B76" i="11"/>
  <c r="B77" i="18"/>
  <c r="B72" i="10"/>
  <c r="B72" i="19"/>
  <c r="B68" i="10"/>
  <c r="B68" i="19"/>
  <c r="B64" i="10"/>
  <c r="B64" i="19"/>
  <c r="B59" i="18"/>
  <c r="B58" i="11"/>
  <c r="B55" i="18"/>
  <c r="B54" i="11"/>
  <c r="B51" i="18"/>
  <c r="B50" i="11"/>
  <c r="B46" i="19"/>
  <c r="B46" i="10"/>
  <c r="B42" i="19"/>
  <c r="B42" i="10"/>
  <c r="B38" i="19"/>
  <c r="B38" i="10"/>
  <c r="B47" i="18"/>
  <c r="B46" i="11"/>
  <c r="B39" i="11"/>
  <c r="B63" i="11"/>
  <c r="B71" i="11"/>
  <c r="B47" i="10"/>
  <c r="B55" i="10"/>
  <c r="B79" i="10"/>
  <c r="B38" i="18"/>
  <c r="B46" i="18"/>
  <c r="B62" i="18"/>
  <c r="B70" i="18"/>
  <c r="B53" i="19"/>
  <c r="B77" i="19"/>
  <c r="B93" i="16"/>
  <c r="B148" i="16" s="1"/>
  <c r="B58" i="16"/>
  <c r="B113" i="16" s="1"/>
  <c r="B80" i="10"/>
  <c r="B94" i="16"/>
  <c r="B149" i="16" s="1"/>
  <c r="B80" i="19"/>
  <c r="B76" i="10"/>
  <c r="B90" i="16"/>
  <c r="B145" i="16" s="1"/>
  <c r="B76" i="19"/>
  <c r="B71" i="18"/>
  <c r="B85" i="16"/>
  <c r="B140" i="16" s="1"/>
  <c r="B70" i="11"/>
  <c r="B67" i="18"/>
  <c r="B81" i="16"/>
  <c r="B136" i="16" s="1"/>
  <c r="B66" i="11"/>
  <c r="B63" i="18"/>
  <c r="B77" i="16"/>
  <c r="B132" i="16" s="1"/>
  <c r="B62" i="11"/>
  <c r="B58" i="19"/>
  <c r="B72" i="16"/>
  <c r="B127" i="16" s="1"/>
  <c r="B58" i="10"/>
  <c r="B54" i="19"/>
  <c r="B68" i="16"/>
  <c r="B123" i="16" s="1"/>
  <c r="B54" i="10"/>
  <c r="B50" i="19"/>
  <c r="B64" i="16"/>
  <c r="B119" i="16" s="1"/>
  <c r="B50" i="10"/>
  <c r="B44" i="11"/>
  <c r="B59" i="16"/>
  <c r="B114" i="16" s="1"/>
  <c r="B45" i="18"/>
  <c r="B40" i="11"/>
  <c r="B55" i="16"/>
  <c r="B110" i="16" s="1"/>
  <c r="B41" i="18"/>
  <c r="B36" i="11"/>
  <c r="B51" i="16"/>
  <c r="B106" i="16" s="1"/>
  <c r="B37" i="18"/>
  <c r="B60" i="11"/>
  <c r="B61" i="18"/>
  <c r="B41" i="11"/>
  <c r="B49" i="11"/>
  <c r="B57" i="11"/>
  <c r="B41" i="10"/>
  <c r="B81" i="10"/>
  <c r="B64" i="18"/>
  <c r="B72" i="18"/>
  <c r="B80" i="18"/>
  <c r="B47" i="19"/>
  <c r="B55" i="19"/>
  <c r="B63" i="19"/>
  <c r="B71" i="19"/>
  <c r="B91" i="16"/>
  <c r="B146" i="16" s="1"/>
  <c r="B82" i="16"/>
  <c r="B137" i="16" s="1"/>
  <c r="B73" i="16"/>
  <c r="B128" i="16" s="1"/>
  <c r="B65" i="16"/>
  <c r="B120" i="16" s="1"/>
  <c r="B56" i="16"/>
  <c r="B111" i="16" s="1"/>
  <c r="B79" i="18"/>
  <c r="B78" i="11"/>
  <c r="B74" i="19"/>
  <c r="B74" i="10"/>
  <c r="B70" i="19"/>
  <c r="B70" i="10"/>
  <c r="B66" i="19"/>
  <c r="B66" i="10"/>
  <c r="B62" i="19"/>
  <c r="B62" i="10"/>
  <c r="B56" i="11"/>
  <c r="B57" i="18"/>
  <c r="B52" i="11"/>
  <c r="B53" i="18"/>
  <c r="B48" i="11"/>
  <c r="B49" i="18"/>
  <c r="B44" i="10"/>
  <c r="B44" i="19"/>
  <c r="B40" i="10"/>
  <c r="B40" i="19"/>
  <c r="B36" i="10"/>
  <c r="B36" i="19"/>
  <c r="B75" i="18"/>
  <c r="B74" i="11"/>
  <c r="B35" i="11"/>
  <c r="B43" i="11"/>
  <c r="B67" i="11"/>
  <c r="B75" i="11"/>
  <c r="B51" i="10"/>
  <c r="B59" i="10"/>
  <c r="B67" i="10"/>
  <c r="B75" i="10"/>
  <c r="B42" i="18"/>
  <c r="B50" i="18"/>
  <c r="B58" i="18"/>
  <c r="B66" i="18"/>
  <c r="B74" i="18"/>
  <c r="B41" i="19"/>
  <c r="B49" i="19"/>
  <c r="B57" i="19"/>
  <c r="B81" i="19"/>
  <c r="B88" i="16"/>
  <c r="B143" i="16" s="1"/>
  <c r="B80" i="16"/>
  <c r="B135" i="16" s="1"/>
  <c r="B71" i="16"/>
  <c r="B126" i="16" s="1"/>
  <c r="B63" i="16"/>
  <c r="B118" i="16" s="1"/>
  <c r="B54" i="16"/>
  <c r="B109" i="16" s="1"/>
  <c r="J33" i="11"/>
  <c r="K33" i="11"/>
  <c r="H82" i="19" l="1"/>
  <c r="M81" i="11" s="1"/>
  <c r="L73" i="10"/>
  <c r="M73" i="10" s="1"/>
  <c r="C73" i="10" s="1"/>
  <c r="D72" i="11" s="1"/>
  <c r="L65" i="10"/>
  <c r="M65" i="10" s="1"/>
  <c r="C65" i="10" s="1"/>
  <c r="D64" i="11" s="1"/>
  <c r="L68" i="10"/>
  <c r="M68" i="10" s="1"/>
  <c r="C68" i="10" s="1"/>
  <c r="D67" i="11" s="1"/>
  <c r="L63" i="10"/>
  <c r="M63" i="10" s="1"/>
  <c r="C63" i="10" s="1"/>
  <c r="D62" i="11" s="1"/>
  <c r="L38" i="10"/>
  <c r="M38" i="10" s="1"/>
  <c r="C38" i="10" s="1"/>
  <c r="D37" i="11" s="1"/>
  <c r="L80" i="10"/>
  <c r="M80" i="10" s="1"/>
  <c r="C80" i="10" s="1"/>
  <c r="D79" i="11" s="1"/>
  <c r="L76" i="10"/>
  <c r="M76" i="10" s="1"/>
  <c r="C76" i="10" s="1"/>
  <c r="D75" i="11" s="1"/>
  <c r="L40" i="10"/>
  <c r="M40" i="10" s="1"/>
  <c r="C40" i="10" s="1"/>
  <c r="D39" i="11" s="1"/>
  <c r="L50" i="10"/>
  <c r="M50" i="10" s="1"/>
  <c r="C50" i="10" s="1"/>
  <c r="D49" i="11" s="1"/>
  <c r="L48" i="10"/>
  <c r="M48" i="10" s="1"/>
  <c r="C48" i="10" s="1"/>
  <c r="D47" i="11" s="1"/>
  <c r="L57" i="10"/>
  <c r="M57" i="10" s="1"/>
  <c r="C57" i="10" s="1"/>
  <c r="D56" i="11" s="1"/>
  <c r="L55" i="10"/>
  <c r="M55" i="10" s="1"/>
  <c r="C55" i="10" s="1"/>
  <c r="D54" i="11" s="1"/>
  <c r="L70" i="10"/>
  <c r="M70" i="10" s="1"/>
  <c r="C70" i="10" s="1"/>
  <c r="D69" i="11" s="1"/>
  <c r="L62" i="10"/>
  <c r="M62" i="10" s="1"/>
  <c r="C62" i="10" s="1"/>
  <c r="D61" i="11" s="1"/>
  <c r="L64" i="10"/>
  <c r="M64" i="10" s="1"/>
  <c r="C64" i="10" s="1"/>
  <c r="D63" i="11" s="1"/>
  <c r="L34" i="10"/>
  <c r="M34" i="10" s="1"/>
  <c r="C34" i="10" s="1"/>
  <c r="D33" i="11" s="1"/>
  <c r="L79" i="10"/>
  <c r="M79" i="10" s="1"/>
  <c r="C79" i="10" s="1"/>
  <c r="D78" i="11" s="1"/>
  <c r="L36" i="10"/>
  <c r="M36" i="10" s="1"/>
  <c r="C36" i="10" s="1"/>
  <c r="D35" i="11" s="1"/>
  <c r="L45" i="10"/>
  <c r="M45" i="10" s="1"/>
  <c r="C45" i="10" s="1"/>
  <c r="D44" i="11" s="1"/>
  <c r="L60" i="10"/>
  <c r="M60" i="10" s="1"/>
  <c r="C60" i="10" s="1"/>
  <c r="D59" i="11" s="1"/>
  <c r="L43" i="10"/>
  <c r="M43" i="10" s="1"/>
  <c r="C43" i="10" s="1"/>
  <c r="D42" i="11" s="1"/>
  <c r="L53" i="10"/>
  <c r="M53" i="10" s="1"/>
  <c r="C53" i="10" s="1"/>
  <c r="D52" i="11" s="1"/>
  <c r="L51" i="10"/>
  <c r="M51" i="10" s="1"/>
  <c r="C51" i="10" s="1"/>
  <c r="D50" i="11" s="1"/>
  <c r="L69" i="10"/>
  <c r="M69" i="10" s="1"/>
  <c r="L71" i="10"/>
  <c r="M71" i="10" s="1"/>
  <c r="C71" i="10" s="1"/>
  <c r="D70" i="11" s="1"/>
  <c r="L78" i="10"/>
  <c r="M78" i="10" s="1"/>
  <c r="C78" i="10" s="1"/>
  <c r="D77" i="11" s="1"/>
  <c r="L58" i="10"/>
  <c r="M58" i="10" s="1"/>
  <c r="C58" i="10" s="1"/>
  <c r="D57" i="11" s="1"/>
  <c r="L41" i="10"/>
  <c r="M41" i="10" s="1"/>
  <c r="C41" i="10" s="1"/>
  <c r="D40" i="11" s="1"/>
  <c r="L56" i="10"/>
  <c r="M56" i="10" s="1"/>
  <c r="C56" i="10" s="1"/>
  <c r="D55" i="11" s="1"/>
  <c r="L39" i="10"/>
  <c r="M39" i="10" s="1"/>
  <c r="C39" i="10" s="1"/>
  <c r="D38" i="11" s="1"/>
  <c r="L49" i="10"/>
  <c r="M49" i="10" s="1"/>
  <c r="C49" i="10" s="1"/>
  <c r="D48" i="11" s="1"/>
  <c r="L46" i="10"/>
  <c r="M46" i="10" s="1"/>
  <c r="C46" i="10" s="1"/>
  <c r="D45" i="11" s="1"/>
  <c r="L74" i="10"/>
  <c r="M74" i="10" s="1"/>
  <c r="C74" i="10" s="1"/>
  <c r="D73" i="11" s="1"/>
  <c r="L66" i="10"/>
  <c r="M66" i="10" s="1"/>
  <c r="C66" i="10" s="1"/>
  <c r="D65" i="11" s="1"/>
  <c r="L72" i="10"/>
  <c r="M72" i="10" s="1"/>
  <c r="C72" i="10" s="1"/>
  <c r="D71" i="11" s="1"/>
  <c r="L67" i="10"/>
  <c r="M67" i="10" s="1"/>
  <c r="C67" i="10" s="1"/>
  <c r="D66" i="11" s="1"/>
  <c r="L81" i="10"/>
  <c r="M81" i="10" s="1"/>
  <c r="C81" i="10" s="1"/>
  <c r="D80" i="11" s="1"/>
  <c r="L77" i="10"/>
  <c r="M77" i="10" s="1"/>
  <c r="C77" i="10" s="1"/>
  <c r="D76" i="11" s="1"/>
  <c r="L44" i="10"/>
  <c r="M44" i="10" s="1"/>
  <c r="C44" i="10" s="1"/>
  <c r="D43" i="11" s="1"/>
  <c r="L54" i="10"/>
  <c r="M54" i="10" s="1"/>
  <c r="C54" i="10" s="1"/>
  <c r="D53" i="11" s="1"/>
  <c r="L37" i="10"/>
  <c r="M37" i="10" s="1"/>
  <c r="C37" i="10" s="1"/>
  <c r="D36" i="11" s="1"/>
  <c r="L52" i="10"/>
  <c r="M52" i="10" s="1"/>
  <c r="C52" i="10" s="1"/>
  <c r="D51" i="11" s="1"/>
  <c r="L35" i="10"/>
  <c r="M35" i="10" s="1"/>
  <c r="C35" i="10" s="1"/>
  <c r="D34" i="11" s="1"/>
  <c r="L59" i="10"/>
  <c r="M59" i="10" s="1"/>
  <c r="C59" i="10" s="1"/>
  <c r="D58" i="11" s="1"/>
  <c r="L42" i="10"/>
  <c r="M42" i="10" s="1"/>
  <c r="C42" i="10" s="1"/>
  <c r="D41" i="11" s="1"/>
  <c r="L43" i="11"/>
  <c r="J79" i="11"/>
  <c r="L79" i="11" s="1"/>
  <c r="L71" i="11"/>
  <c r="L54" i="11"/>
  <c r="L67" i="11"/>
  <c r="O75" i="11"/>
  <c r="O87" i="11" s="1"/>
  <c r="L40" i="11"/>
  <c r="L63" i="11"/>
  <c r="L57" i="11"/>
  <c r="L66" i="11"/>
  <c r="I42" i="18"/>
  <c r="J41" i="18"/>
  <c r="H75" i="19"/>
  <c r="M74" i="11" s="1"/>
  <c r="M62" i="11"/>
  <c r="O62" i="11" s="1"/>
  <c r="O74" i="11" s="1"/>
  <c r="O81" i="11" s="1"/>
  <c r="L50" i="11"/>
  <c r="L58" i="11"/>
  <c r="L95" i="16"/>
  <c r="H95" i="16"/>
  <c r="D95" i="16"/>
  <c r="L94" i="16"/>
  <c r="H94" i="16"/>
  <c r="D94" i="16"/>
  <c r="L93" i="16"/>
  <c r="H93" i="16"/>
  <c r="D93" i="16"/>
  <c r="K95" i="16"/>
  <c r="G95" i="16"/>
  <c r="D81" i="10" s="1"/>
  <c r="N81" i="10" s="1"/>
  <c r="C95" i="16"/>
  <c r="K94" i="16"/>
  <c r="G94" i="16"/>
  <c r="D80" i="10" s="1"/>
  <c r="N80" i="10" s="1"/>
  <c r="C94" i="16"/>
  <c r="K93" i="16"/>
  <c r="G93" i="16"/>
  <c r="D79" i="10" s="1"/>
  <c r="N79" i="10" s="1"/>
  <c r="C93" i="16"/>
  <c r="K92" i="16"/>
  <c r="G92" i="16"/>
  <c r="D78" i="10" s="1"/>
  <c r="N78" i="10" s="1"/>
  <c r="C92" i="16"/>
  <c r="K91" i="16"/>
  <c r="G91" i="16"/>
  <c r="D77" i="10" s="1"/>
  <c r="N77" i="10" s="1"/>
  <c r="C91" i="16"/>
  <c r="K90" i="16"/>
  <c r="G90" i="16"/>
  <c r="D76" i="10" s="1"/>
  <c r="C90" i="16"/>
  <c r="K74" i="16"/>
  <c r="G74" i="16"/>
  <c r="C74" i="16"/>
  <c r="K73" i="16"/>
  <c r="G73" i="16"/>
  <c r="C73" i="16"/>
  <c r="K72" i="16"/>
  <c r="G72" i="16"/>
  <c r="C72" i="16"/>
  <c r="K71" i="16"/>
  <c r="G71" i="16"/>
  <c r="C71" i="16"/>
  <c r="K70" i="16"/>
  <c r="G70" i="16"/>
  <c r="C70" i="16"/>
  <c r="K69" i="16"/>
  <c r="G69" i="16"/>
  <c r="C69" i="16"/>
  <c r="K68" i="16"/>
  <c r="G68" i="16"/>
  <c r="C68" i="16"/>
  <c r="K67" i="16"/>
  <c r="G67" i="16"/>
  <c r="C67" i="16"/>
  <c r="K66" i="16"/>
  <c r="G66" i="16"/>
  <c r="C66" i="16"/>
  <c r="K65" i="16"/>
  <c r="G65" i="16"/>
  <c r="C65" i="16"/>
  <c r="K64" i="16"/>
  <c r="G64" i="16"/>
  <c r="C64" i="16"/>
  <c r="K63" i="16"/>
  <c r="G63" i="16"/>
  <c r="C63" i="16"/>
  <c r="K62" i="16"/>
  <c r="G62" i="16"/>
  <c r="C62" i="16"/>
  <c r="K60" i="16"/>
  <c r="G60" i="16"/>
  <c r="C60" i="16"/>
  <c r="K59" i="16"/>
  <c r="G59" i="16"/>
  <c r="C59" i="16"/>
  <c r="K58" i="16"/>
  <c r="G58" i="16"/>
  <c r="C58" i="16"/>
  <c r="K57" i="16"/>
  <c r="G57" i="16"/>
  <c r="C57" i="16"/>
  <c r="K56" i="16"/>
  <c r="G56" i="16"/>
  <c r="C56" i="16"/>
  <c r="K55" i="16"/>
  <c r="G55" i="16"/>
  <c r="C55" i="16"/>
  <c r="K54" i="16"/>
  <c r="G54" i="16"/>
  <c r="C54" i="16"/>
  <c r="K53" i="16"/>
  <c r="G53" i="16"/>
  <c r="C53" i="16"/>
  <c r="K52" i="16"/>
  <c r="G52" i="16"/>
  <c r="C52" i="16"/>
  <c r="K51" i="16"/>
  <c r="J66" i="16"/>
  <c r="H59" i="16"/>
  <c r="L56" i="16"/>
  <c r="H55" i="16"/>
  <c r="D54" i="16"/>
  <c r="L52" i="16"/>
  <c r="H51" i="16"/>
  <c r="H50" i="16"/>
  <c r="L49" i="16"/>
  <c r="L48" i="16"/>
  <c r="D48" i="16"/>
  <c r="L64" i="16"/>
  <c r="D62" i="16"/>
  <c r="L59" i="16"/>
  <c r="H58" i="16"/>
  <c r="I57" i="16"/>
  <c r="E56" i="16"/>
  <c r="F55" i="16"/>
  <c r="I53" i="16"/>
  <c r="J52" i="16"/>
  <c r="G51" i="16"/>
  <c r="D37" i="10" s="1"/>
  <c r="N37" i="10" s="1"/>
  <c r="G50" i="16"/>
  <c r="D36" i="10" s="1"/>
  <c r="N36" i="10" s="1"/>
  <c r="K48" i="16"/>
  <c r="M95" i="16"/>
  <c r="E95" i="16"/>
  <c r="I94" i="16"/>
  <c r="M93" i="16"/>
  <c r="E93" i="16"/>
  <c r="J92" i="16"/>
  <c r="E92" i="16"/>
  <c r="L91" i="16"/>
  <c r="F91" i="16"/>
  <c r="M90" i="16"/>
  <c r="H90" i="16"/>
  <c r="N74" i="16"/>
  <c r="I74" i="16"/>
  <c r="D74" i="16"/>
  <c r="J73" i="16"/>
  <c r="E73" i="16"/>
  <c r="L72" i="16"/>
  <c r="F72" i="16"/>
  <c r="M71" i="16"/>
  <c r="H71" i="16"/>
  <c r="N70" i="16"/>
  <c r="I70" i="16"/>
  <c r="D70" i="16"/>
  <c r="J69" i="16"/>
  <c r="E69" i="16"/>
  <c r="L68" i="16"/>
  <c r="F68" i="16"/>
  <c r="M67" i="16"/>
  <c r="H67" i="16"/>
  <c r="N66" i="16"/>
  <c r="I66" i="16"/>
  <c r="D66" i="16"/>
  <c r="E65" i="16"/>
  <c r="F64" i="16"/>
  <c r="N62" i="16"/>
  <c r="J60" i="16"/>
  <c r="M58" i="16"/>
  <c r="J56" i="16"/>
  <c r="H54" i="16"/>
  <c r="E52" i="16"/>
  <c r="K50" i="16"/>
  <c r="C49" i="16"/>
  <c r="J95" i="16"/>
  <c r="N94" i="16"/>
  <c r="F94" i="16"/>
  <c r="J93" i="16"/>
  <c r="N92" i="16"/>
  <c r="I92" i="16"/>
  <c r="D92" i="16"/>
  <c r="J91" i="16"/>
  <c r="E91" i="16"/>
  <c r="L90" i="16"/>
  <c r="F90" i="16"/>
  <c r="M74" i="16"/>
  <c r="H74" i="16"/>
  <c r="N73" i="16"/>
  <c r="I73" i="16"/>
  <c r="D73" i="16"/>
  <c r="J72" i="16"/>
  <c r="E72" i="16"/>
  <c r="L71" i="16"/>
  <c r="F71" i="16"/>
  <c r="M70" i="16"/>
  <c r="H70" i="16"/>
  <c r="N69" i="16"/>
  <c r="I69" i="16"/>
  <c r="D69" i="16"/>
  <c r="J68" i="16"/>
  <c r="E68" i="16"/>
  <c r="L67" i="16"/>
  <c r="F67" i="16"/>
  <c r="M66" i="16"/>
  <c r="H66" i="16"/>
  <c r="N65" i="16"/>
  <c r="I65" i="16"/>
  <c r="D65" i="16"/>
  <c r="J64" i="16"/>
  <c r="E64" i="16"/>
  <c r="L63" i="16"/>
  <c r="F63" i="16"/>
  <c r="M62" i="16"/>
  <c r="H62" i="16"/>
  <c r="N60" i="16"/>
  <c r="I60" i="16"/>
  <c r="D60" i="16"/>
  <c r="J59" i="16"/>
  <c r="E59" i="16"/>
  <c r="L58" i="16"/>
  <c r="F58" i="16"/>
  <c r="M57" i="16"/>
  <c r="H57" i="16"/>
  <c r="N56" i="16"/>
  <c r="I56" i="16"/>
  <c r="D56" i="16"/>
  <c r="J55" i="16"/>
  <c r="E55" i="16"/>
  <c r="L54" i="16"/>
  <c r="F54" i="16"/>
  <c r="M53" i="16"/>
  <c r="H53" i="16"/>
  <c r="N52" i="16"/>
  <c r="I52" i="16"/>
  <c r="D52" i="16"/>
  <c r="J51" i="16"/>
  <c r="F51" i="16"/>
  <c r="N50" i="16"/>
  <c r="J50" i="16"/>
  <c r="F50" i="16"/>
  <c r="N49" i="16"/>
  <c r="J49" i="16"/>
  <c r="F49" i="16"/>
  <c r="N48" i="16"/>
  <c r="J48" i="16"/>
  <c r="F48" i="16"/>
  <c r="C50" i="16"/>
  <c r="G49" i="16"/>
  <c r="C48" i="16"/>
  <c r="I95" i="16"/>
  <c r="M94" i="16"/>
  <c r="E94" i="16"/>
  <c r="I93" i="16"/>
  <c r="M92" i="16"/>
  <c r="H92" i="16"/>
  <c r="N91" i="16"/>
  <c r="I91" i="16"/>
  <c r="D91" i="16"/>
  <c r="J90" i="16"/>
  <c r="E90" i="16"/>
  <c r="L74" i="16"/>
  <c r="F74" i="16"/>
  <c r="M73" i="16"/>
  <c r="H73" i="16"/>
  <c r="N72" i="16"/>
  <c r="I72" i="16"/>
  <c r="D72" i="16"/>
  <c r="J71" i="16"/>
  <c r="E71" i="16"/>
  <c r="L70" i="16"/>
  <c r="F70" i="16"/>
  <c r="M69" i="16"/>
  <c r="H69" i="16"/>
  <c r="N68" i="16"/>
  <c r="I68" i="16"/>
  <c r="D68" i="16"/>
  <c r="J67" i="16"/>
  <c r="E67" i="16"/>
  <c r="L66" i="16"/>
  <c r="F66" i="16"/>
  <c r="M65" i="16"/>
  <c r="H65" i="16"/>
  <c r="N64" i="16"/>
  <c r="I64" i="16"/>
  <c r="D64" i="16"/>
  <c r="J63" i="16"/>
  <c r="E63" i="16"/>
  <c r="L62" i="16"/>
  <c r="F62" i="16"/>
  <c r="M60" i="16"/>
  <c r="H60" i="16"/>
  <c r="N59" i="16"/>
  <c r="I59" i="16"/>
  <c r="D59" i="16"/>
  <c r="J58" i="16"/>
  <c r="E58" i="16"/>
  <c r="L57" i="16"/>
  <c r="F57" i="16"/>
  <c r="M56" i="16"/>
  <c r="H56" i="16"/>
  <c r="N55" i="16"/>
  <c r="I55" i="16"/>
  <c r="D55" i="16"/>
  <c r="J54" i="16"/>
  <c r="E54" i="16"/>
  <c r="L53" i="16"/>
  <c r="F53" i="16"/>
  <c r="M52" i="16"/>
  <c r="H52" i="16"/>
  <c r="N51" i="16"/>
  <c r="I51" i="16"/>
  <c r="E51" i="16"/>
  <c r="M50" i="16"/>
  <c r="I50" i="16"/>
  <c r="E50" i="16"/>
  <c r="M49" i="16"/>
  <c r="I49" i="16"/>
  <c r="E49" i="16"/>
  <c r="M48" i="16"/>
  <c r="I48" i="16"/>
  <c r="E48" i="16"/>
  <c r="N95" i="16"/>
  <c r="F95" i="16"/>
  <c r="J94" i="16"/>
  <c r="N93" i="16"/>
  <c r="F93" i="16"/>
  <c r="L92" i="16"/>
  <c r="F92" i="16"/>
  <c r="M91" i="16"/>
  <c r="H91" i="16"/>
  <c r="N90" i="16"/>
  <c r="I90" i="16"/>
  <c r="D90" i="16"/>
  <c r="J74" i="16"/>
  <c r="E74" i="16"/>
  <c r="L73" i="16"/>
  <c r="F73" i="16"/>
  <c r="M72" i="16"/>
  <c r="H72" i="16"/>
  <c r="N71" i="16"/>
  <c r="I71" i="16"/>
  <c r="D71" i="16"/>
  <c r="J70" i="16"/>
  <c r="E70" i="16"/>
  <c r="L69" i="16"/>
  <c r="F69" i="16"/>
  <c r="M68" i="16"/>
  <c r="H68" i="16"/>
  <c r="N67" i="16"/>
  <c r="I67" i="16"/>
  <c r="D67" i="16"/>
  <c r="E66" i="16"/>
  <c r="L65" i="16"/>
  <c r="F65" i="16"/>
  <c r="M64" i="16"/>
  <c r="H64" i="16"/>
  <c r="N63" i="16"/>
  <c r="I63" i="16"/>
  <c r="D63" i="16"/>
  <c r="J62" i="16"/>
  <c r="E62" i="16"/>
  <c r="L60" i="16"/>
  <c r="F60" i="16"/>
  <c r="M59" i="16"/>
  <c r="N58" i="16"/>
  <c r="I58" i="16"/>
  <c r="D58" i="16"/>
  <c r="J57" i="16"/>
  <c r="E57" i="16"/>
  <c r="F56" i="16"/>
  <c r="M55" i="16"/>
  <c r="N54" i="16"/>
  <c r="I54" i="16"/>
  <c r="J53" i="16"/>
  <c r="E53" i="16"/>
  <c r="F52" i="16"/>
  <c r="M51" i="16"/>
  <c r="D51" i="16"/>
  <c r="L50" i="16"/>
  <c r="D50" i="16"/>
  <c r="H49" i="16"/>
  <c r="D49" i="16"/>
  <c r="H48" i="16"/>
  <c r="J65" i="16"/>
  <c r="M63" i="16"/>
  <c r="H63" i="16"/>
  <c r="I62" i="16"/>
  <c r="E60" i="16"/>
  <c r="F59" i="16"/>
  <c r="N57" i="16"/>
  <c r="D57" i="16"/>
  <c r="L55" i="16"/>
  <c r="M54" i="16"/>
  <c r="N53" i="16"/>
  <c r="D53" i="16"/>
  <c r="L51" i="16"/>
  <c r="C51" i="16"/>
  <c r="K49" i="16"/>
  <c r="G48" i="16"/>
  <c r="D34" i="10" s="1"/>
  <c r="N34" i="10" s="1"/>
  <c r="C77" i="16"/>
  <c r="G77" i="16"/>
  <c r="D63" i="10" s="1"/>
  <c r="N63" i="10" s="1"/>
  <c r="K77" i="16"/>
  <c r="C78" i="16"/>
  <c r="G78" i="16"/>
  <c r="D64" i="10" s="1"/>
  <c r="N64" i="10" s="1"/>
  <c r="K78" i="16"/>
  <c r="C79" i="16"/>
  <c r="G79" i="16"/>
  <c r="D65" i="10" s="1"/>
  <c r="N65" i="10" s="1"/>
  <c r="K79" i="16"/>
  <c r="C80" i="16"/>
  <c r="G80" i="16"/>
  <c r="D66" i="10" s="1"/>
  <c r="N66" i="10" s="1"/>
  <c r="K80" i="16"/>
  <c r="C81" i="16"/>
  <c r="G81" i="16"/>
  <c r="D67" i="10" s="1"/>
  <c r="N67" i="10" s="1"/>
  <c r="K81" i="16"/>
  <c r="C82" i="16"/>
  <c r="G82" i="16"/>
  <c r="D68" i="10" s="1"/>
  <c r="N68" i="10" s="1"/>
  <c r="K82" i="16"/>
  <c r="C83" i="16"/>
  <c r="G83" i="16"/>
  <c r="D69" i="10" s="1"/>
  <c r="N69" i="10" s="1"/>
  <c r="K83" i="16"/>
  <c r="C84" i="16"/>
  <c r="G84" i="16"/>
  <c r="D70" i="10" s="1"/>
  <c r="N70" i="10" s="1"/>
  <c r="K84" i="16"/>
  <c r="C85" i="16"/>
  <c r="G85" i="16"/>
  <c r="D71" i="10" s="1"/>
  <c r="N71" i="10" s="1"/>
  <c r="K85" i="16"/>
  <c r="C86" i="16"/>
  <c r="G86" i="16"/>
  <c r="D72" i="10" s="1"/>
  <c r="N72" i="10" s="1"/>
  <c r="K86" i="16"/>
  <c r="C87" i="16"/>
  <c r="G87" i="16"/>
  <c r="D73" i="10" s="1"/>
  <c r="N73" i="10" s="1"/>
  <c r="K87" i="16"/>
  <c r="C88" i="16"/>
  <c r="G88" i="16"/>
  <c r="D74" i="10" s="1"/>
  <c r="N74" i="10" s="1"/>
  <c r="K88" i="16"/>
  <c r="N76" i="16"/>
  <c r="J76" i="16"/>
  <c r="F76" i="16"/>
  <c r="D77" i="16"/>
  <c r="H77" i="16"/>
  <c r="L77" i="16"/>
  <c r="D78" i="16"/>
  <c r="H78" i="16"/>
  <c r="L78" i="16"/>
  <c r="D79" i="16"/>
  <c r="H79" i="16"/>
  <c r="L79" i="16"/>
  <c r="D80" i="16"/>
  <c r="H80" i="16"/>
  <c r="L80" i="16"/>
  <c r="D81" i="16"/>
  <c r="H81" i="16"/>
  <c r="L81" i="16"/>
  <c r="D82" i="16"/>
  <c r="H82" i="16"/>
  <c r="L82" i="16"/>
  <c r="D83" i="16"/>
  <c r="H83" i="16"/>
  <c r="L83" i="16"/>
  <c r="D84" i="16"/>
  <c r="H84" i="16"/>
  <c r="L84" i="16"/>
  <c r="D85" i="16"/>
  <c r="H85" i="16"/>
  <c r="L85" i="16"/>
  <c r="D86" i="16"/>
  <c r="H86" i="16"/>
  <c r="L86" i="16"/>
  <c r="D87" i="16"/>
  <c r="H87" i="16"/>
  <c r="L87" i="16"/>
  <c r="D88" i="16"/>
  <c r="H88" i="16"/>
  <c r="L88" i="16"/>
  <c r="M76" i="16"/>
  <c r="I76" i="16"/>
  <c r="E76" i="16"/>
  <c r="E77" i="16"/>
  <c r="I77" i="16"/>
  <c r="M77" i="16"/>
  <c r="E78" i="16"/>
  <c r="I78" i="16"/>
  <c r="M78" i="16"/>
  <c r="E79" i="16"/>
  <c r="I79" i="16"/>
  <c r="M79" i="16"/>
  <c r="E80" i="16"/>
  <c r="I80" i="16"/>
  <c r="M80" i="16"/>
  <c r="E81" i="16"/>
  <c r="I81" i="16"/>
  <c r="M81" i="16"/>
  <c r="E82" i="16"/>
  <c r="I82" i="16"/>
  <c r="M82" i="16"/>
  <c r="E83" i="16"/>
  <c r="I83" i="16"/>
  <c r="M83" i="16"/>
  <c r="E84" i="16"/>
  <c r="I84" i="16"/>
  <c r="M84" i="16"/>
  <c r="E85" i="16"/>
  <c r="I85" i="16"/>
  <c r="M85" i="16"/>
  <c r="E86" i="16"/>
  <c r="I86" i="16"/>
  <c r="M86" i="16"/>
  <c r="E87" i="16"/>
  <c r="I87" i="16"/>
  <c r="M87" i="16"/>
  <c r="E88" i="16"/>
  <c r="I88" i="16"/>
  <c r="M88" i="16"/>
  <c r="L76" i="16"/>
  <c r="H76" i="16"/>
  <c r="D76" i="16"/>
  <c r="F77" i="16"/>
  <c r="J77" i="16"/>
  <c r="N77" i="16"/>
  <c r="F78" i="16"/>
  <c r="J78" i="16"/>
  <c r="N78" i="16"/>
  <c r="F79" i="16"/>
  <c r="J79" i="16"/>
  <c r="N79" i="16"/>
  <c r="F80" i="16"/>
  <c r="J80" i="16"/>
  <c r="N80" i="16"/>
  <c r="F81" i="16"/>
  <c r="J81" i="16"/>
  <c r="N81" i="16"/>
  <c r="F82" i="16"/>
  <c r="J82" i="16"/>
  <c r="N82" i="16"/>
  <c r="F83" i="16"/>
  <c r="J83" i="16"/>
  <c r="N83" i="16"/>
  <c r="F84" i="16"/>
  <c r="J84" i="16"/>
  <c r="N84" i="16"/>
  <c r="F85" i="16"/>
  <c r="J85" i="16"/>
  <c r="N85" i="16"/>
  <c r="F86" i="16"/>
  <c r="J86" i="16"/>
  <c r="N86" i="16"/>
  <c r="F87" i="16"/>
  <c r="J87" i="16"/>
  <c r="N87" i="16"/>
  <c r="F88" i="16"/>
  <c r="J88" i="16"/>
  <c r="N88" i="16"/>
  <c r="K76" i="16"/>
  <c r="G76" i="16"/>
  <c r="D62" i="10" s="1"/>
  <c r="N62" i="10" s="1"/>
  <c r="C76" i="16"/>
  <c r="M33" i="11"/>
  <c r="H47" i="19"/>
  <c r="M46" i="11" s="1"/>
  <c r="M47" i="11"/>
  <c r="O47" i="11" s="1"/>
  <c r="O60" i="11" s="1"/>
  <c r="H61" i="19"/>
  <c r="M60" i="11" s="1"/>
  <c r="L49" i="11"/>
  <c r="L51" i="11"/>
  <c r="K46" i="11"/>
  <c r="L73" i="11"/>
  <c r="L68" i="11"/>
  <c r="L56" i="11"/>
  <c r="L44" i="11"/>
  <c r="L65" i="11"/>
  <c r="G60" i="11"/>
  <c r="L77" i="11"/>
  <c r="L76" i="11"/>
  <c r="L62" i="11"/>
  <c r="L70" i="11"/>
  <c r="L35" i="11"/>
  <c r="L72" i="11"/>
  <c r="L34" i="11"/>
  <c r="L48" i="11"/>
  <c r="L59" i="11"/>
  <c r="L36" i="11"/>
  <c r="L45" i="11"/>
  <c r="L53" i="11"/>
  <c r="L64" i="11"/>
  <c r="L39" i="11"/>
  <c r="L42" i="11"/>
  <c r="L52" i="11"/>
  <c r="L37" i="11"/>
  <c r="L38" i="11"/>
  <c r="K61" i="11"/>
  <c r="K74" i="11" s="1"/>
  <c r="K47" i="11"/>
  <c r="K60" i="11" s="1"/>
  <c r="K75" i="11"/>
  <c r="L75" i="11" s="1"/>
  <c r="G46" i="11"/>
  <c r="G74" i="11"/>
  <c r="G81" i="11" s="1"/>
  <c r="L69" i="11"/>
  <c r="J74" i="11"/>
  <c r="J81" i="11" s="1"/>
  <c r="L55" i="11"/>
  <c r="J60" i="11"/>
  <c r="L41" i="11"/>
  <c r="J46" i="11"/>
  <c r="G87" i="11"/>
  <c r="J87" i="11"/>
  <c r="G86" i="11"/>
  <c r="J86" i="11"/>
  <c r="L33" i="11"/>
  <c r="C75" i="19"/>
  <c r="C61" i="19"/>
  <c r="C47" i="19"/>
  <c r="D40" i="10" l="1"/>
  <c r="N40" i="10" s="1"/>
  <c r="D44" i="10"/>
  <c r="N44" i="10" s="1"/>
  <c r="D49" i="10"/>
  <c r="N49" i="10" s="1"/>
  <c r="D53" i="10"/>
  <c r="N53" i="10" s="1"/>
  <c r="D57" i="10"/>
  <c r="N57" i="10" s="1"/>
  <c r="D35" i="10"/>
  <c r="N35" i="10" s="1"/>
  <c r="D39" i="10"/>
  <c r="N39" i="10" s="1"/>
  <c r="D43" i="10"/>
  <c r="N43" i="10" s="1"/>
  <c r="D48" i="10"/>
  <c r="N48" i="10" s="1"/>
  <c r="D52" i="10"/>
  <c r="N52" i="10" s="1"/>
  <c r="D56" i="10"/>
  <c r="N56" i="10" s="1"/>
  <c r="D60" i="10"/>
  <c r="N60" i="10" s="1"/>
  <c r="D38" i="10"/>
  <c r="N38" i="10" s="1"/>
  <c r="D42" i="10"/>
  <c r="N42" i="10" s="1"/>
  <c r="D46" i="10"/>
  <c r="N46" i="10" s="1"/>
  <c r="D51" i="10"/>
  <c r="N51" i="10" s="1"/>
  <c r="D55" i="10"/>
  <c r="N55" i="10" s="1"/>
  <c r="D59" i="10"/>
  <c r="N59" i="10" s="1"/>
  <c r="D41" i="10"/>
  <c r="N41" i="10" s="1"/>
  <c r="D45" i="10"/>
  <c r="N45" i="10" s="1"/>
  <c r="D50" i="10"/>
  <c r="N50" i="10" s="1"/>
  <c r="D54" i="10"/>
  <c r="N54" i="10" s="1"/>
  <c r="D58" i="10"/>
  <c r="N58" i="10" s="1"/>
  <c r="O41" i="10"/>
  <c r="O67" i="10"/>
  <c r="O62" i="10"/>
  <c r="O53" i="10"/>
  <c r="O39" i="10"/>
  <c r="O55" i="10"/>
  <c r="O69" i="10"/>
  <c r="C69" i="10"/>
  <c r="D68" i="11" s="1"/>
  <c r="O48" i="10"/>
  <c r="O65" i="10"/>
  <c r="O34" i="10"/>
  <c r="O36" i="10"/>
  <c r="O46" i="10"/>
  <c r="O78" i="10"/>
  <c r="O66" i="10"/>
  <c r="O54" i="10"/>
  <c r="O77" i="10"/>
  <c r="O63" i="10"/>
  <c r="O40" i="10"/>
  <c r="O80" i="10"/>
  <c r="O73" i="10"/>
  <c r="O38" i="10"/>
  <c r="O42" i="10"/>
  <c r="O51" i="10"/>
  <c r="O59" i="10"/>
  <c r="O74" i="10"/>
  <c r="O70" i="10"/>
  <c r="O37" i="10"/>
  <c r="O45" i="10"/>
  <c r="O50" i="10"/>
  <c r="O58" i="10"/>
  <c r="O81" i="10"/>
  <c r="O71" i="10"/>
  <c r="O44" i="10"/>
  <c r="O49" i="10"/>
  <c r="O57" i="10"/>
  <c r="O72" i="10"/>
  <c r="O68" i="10"/>
  <c r="O64" i="10"/>
  <c r="O35" i="10"/>
  <c r="O43" i="10"/>
  <c r="O52" i="10"/>
  <c r="O56" i="10"/>
  <c r="O60" i="10"/>
  <c r="O79" i="10"/>
  <c r="N76" i="10"/>
  <c r="O76" i="10" s="1"/>
  <c r="D82" i="10"/>
  <c r="C82" i="10"/>
  <c r="O33" i="11"/>
  <c r="M86" i="11"/>
  <c r="M85" i="11"/>
  <c r="I43" i="18"/>
  <c r="J42" i="18"/>
  <c r="M87" i="11"/>
  <c r="M88" i="11"/>
  <c r="K87" i="11"/>
  <c r="K81" i="11"/>
  <c r="L46" i="11"/>
  <c r="K86" i="11"/>
  <c r="L61" i="11"/>
  <c r="L74" i="11" s="1"/>
  <c r="L81" i="11" s="1"/>
  <c r="L47" i="11"/>
  <c r="L60" i="11" s="1"/>
  <c r="D60" i="11"/>
  <c r="D46" i="11"/>
  <c r="D74" i="11"/>
  <c r="D81" i="11" s="1"/>
  <c r="J88" i="11"/>
  <c r="J85" i="11"/>
  <c r="D87" i="11"/>
  <c r="D86" i="11"/>
  <c r="C75" i="10"/>
  <c r="C47" i="10"/>
  <c r="C61" i="10"/>
  <c r="I44" i="18" l="1"/>
  <c r="J43" i="18"/>
  <c r="O86" i="11"/>
  <c r="O46" i="11"/>
  <c r="O88" i="11"/>
  <c r="O85" i="11"/>
  <c r="L86" i="11"/>
  <c r="L85" i="11"/>
  <c r="L87" i="11"/>
  <c r="L88" i="11"/>
  <c r="D85" i="11"/>
  <c r="G85" i="11"/>
  <c r="D88" i="11"/>
  <c r="G88" i="11"/>
  <c r="E80" i="11"/>
  <c r="F80" i="11" s="1"/>
  <c r="H80" i="11"/>
  <c r="I80" i="11" s="1"/>
  <c r="D61" i="19"/>
  <c r="D75" i="19"/>
  <c r="E33" i="11"/>
  <c r="D47" i="19"/>
  <c r="H33" i="11"/>
  <c r="I33" i="11" s="1"/>
  <c r="C33" i="11" s="1"/>
  <c r="E77" i="11"/>
  <c r="F77" i="11" s="1"/>
  <c r="H77" i="11"/>
  <c r="I77" i="11" s="1"/>
  <c r="E72" i="11"/>
  <c r="F72" i="11" s="1"/>
  <c r="H72" i="11"/>
  <c r="I72" i="11" s="1"/>
  <c r="E79" i="11"/>
  <c r="F79" i="11" s="1"/>
  <c r="H79" i="11"/>
  <c r="I79" i="11" s="1"/>
  <c r="E75" i="11"/>
  <c r="H75" i="11"/>
  <c r="E70" i="11"/>
  <c r="F70" i="11" s="1"/>
  <c r="H70" i="11"/>
  <c r="I70" i="11" s="1"/>
  <c r="E66" i="11"/>
  <c r="F66" i="11" s="1"/>
  <c r="H66" i="11"/>
  <c r="I66" i="11" s="1"/>
  <c r="E59" i="11"/>
  <c r="F59" i="11" s="1"/>
  <c r="H59" i="11"/>
  <c r="I59" i="11" s="1"/>
  <c r="C59" i="11" s="1"/>
  <c r="E38" i="11"/>
  <c r="F38" i="11" s="1"/>
  <c r="H38" i="11"/>
  <c r="I38" i="11" s="1"/>
  <c r="C38" i="11" s="1"/>
  <c r="E54" i="11"/>
  <c r="F54" i="11" s="1"/>
  <c r="H54" i="11"/>
  <c r="I54" i="11" s="1"/>
  <c r="C54" i="11" s="1"/>
  <c r="E45" i="11"/>
  <c r="F45" i="11" s="1"/>
  <c r="H45" i="11"/>
  <c r="I45" i="11" s="1"/>
  <c r="C45" i="11" s="1"/>
  <c r="E34" i="11"/>
  <c r="F34" i="11" s="1"/>
  <c r="H34" i="11"/>
  <c r="I34" i="11" s="1"/>
  <c r="C34" i="11" s="1"/>
  <c r="E56" i="11"/>
  <c r="F56" i="11" s="1"/>
  <c r="H56" i="11"/>
  <c r="I56" i="11" s="1"/>
  <c r="C56" i="11" s="1"/>
  <c r="E36" i="11"/>
  <c r="F36" i="11" s="1"/>
  <c r="H36" i="11"/>
  <c r="I36" i="11" s="1"/>
  <c r="C36" i="11" s="1"/>
  <c r="E76" i="11"/>
  <c r="F76" i="11" s="1"/>
  <c r="H76" i="11"/>
  <c r="I76" i="11" s="1"/>
  <c r="E71" i="11"/>
  <c r="F71" i="11" s="1"/>
  <c r="H71" i="11"/>
  <c r="I71" i="11" s="1"/>
  <c r="E67" i="11"/>
  <c r="F67" i="11" s="1"/>
  <c r="H67" i="11"/>
  <c r="I67" i="11" s="1"/>
  <c r="E63" i="11"/>
  <c r="H63" i="11"/>
  <c r="I63" i="11" s="1"/>
  <c r="E55" i="11"/>
  <c r="F55" i="11" s="1"/>
  <c r="H55" i="11"/>
  <c r="I55" i="11" s="1"/>
  <c r="C55" i="11" s="1"/>
  <c r="E50" i="11"/>
  <c r="F50" i="11" s="1"/>
  <c r="H50" i="11"/>
  <c r="I50" i="11" s="1"/>
  <c r="C50" i="11" s="1"/>
  <c r="H62" i="11"/>
  <c r="I62" i="11" s="1"/>
  <c r="E42" i="11"/>
  <c r="F42" i="11" s="1"/>
  <c r="H42" i="11"/>
  <c r="I42" i="11" s="1"/>
  <c r="C42" i="11" s="1"/>
  <c r="E52" i="11"/>
  <c r="F52" i="11" s="1"/>
  <c r="H52" i="11"/>
  <c r="I52" i="11" s="1"/>
  <c r="C52" i="11" s="1"/>
  <c r="E48" i="11"/>
  <c r="F48" i="11" s="1"/>
  <c r="H48" i="11"/>
  <c r="I48" i="11" s="1"/>
  <c r="C48" i="11" s="1"/>
  <c r="E49" i="11"/>
  <c r="F49" i="11" s="1"/>
  <c r="H49" i="11"/>
  <c r="I49" i="11" s="1"/>
  <c r="C49" i="11" s="1"/>
  <c r="E43" i="11"/>
  <c r="F43" i="11" s="1"/>
  <c r="H43" i="11"/>
  <c r="I43" i="11" s="1"/>
  <c r="C43" i="11" s="1"/>
  <c r="E64" i="11"/>
  <c r="F64" i="11" s="1"/>
  <c r="H64" i="11"/>
  <c r="I64" i="11" s="1"/>
  <c r="E51" i="11"/>
  <c r="F51" i="11" s="1"/>
  <c r="H51" i="11"/>
  <c r="I51" i="11" s="1"/>
  <c r="C51" i="11" s="1"/>
  <c r="E57" i="11"/>
  <c r="F57" i="11" s="1"/>
  <c r="H57" i="11"/>
  <c r="I57" i="11" s="1"/>
  <c r="C57" i="11" s="1"/>
  <c r="E41" i="11"/>
  <c r="F41" i="11" s="1"/>
  <c r="H41" i="11"/>
  <c r="I41" i="11" s="1"/>
  <c r="C41" i="11" s="1"/>
  <c r="E44" i="11"/>
  <c r="F44" i="11" s="1"/>
  <c r="H44" i="11"/>
  <c r="I44" i="11" s="1"/>
  <c r="C44" i="11" s="1"/>
  <c r="E39" i="11"/>
  <c r="F39" i="11" s="1"/>
  <c r="H39" i="11"/>
  <c r="I39" i="11" s="1"/>
  <c r="C39" i="11" s="1"/>
  <c r="E78" i="11"/>
  <c r="F78" i="11" s="1"/>
  <c r="H78" i="11"/>
  <c r="I78" i="11" s="1"/>
  <c r="E73" i="11"/>
  <c r="F73" i="11" s="1"/>
  <c r="H73" i="11"/>
  <c r="I73" i="11" s="1"/>
  <c r="E69" i="11"/>
  <c r="F69" i="11" s="1"/>
  <c r="H69" i="11"/>
  <c r="I69" i="11" s="1"/>
  <c r="E65" i="11"/>
  <c r="F65" i="11" s="1"/>
  <c r="H65" i="11"/>
  <c r="I65" i="11" s="1"/>
  <c r="E58" i="11"/>
  <c r="F58" i="11" s="1"/>
  <c r="H58" i="11"/>
  <c r="I58" i="11" s="1"/>
  <c r="C58" i="11" s="1"/>
  <c r="E53" i="11"/>
  <c r="F53" i="11" s="1"/>
  <c r="H53" i="11"/>
  <c r="I53" i="11" s="1"/>
  <c r="C53" i="11" s="1"/>
  <c r="E47" i="11"/>
  <c r="H47" i="11"/>
  <c r="E61" i="11"/>
  <c r="H61" i="11"/>
  <c r="E40" i="11"/>
  <c r="F40" i="11" s="1"/>
  <c r="H40" i="11"/>
  <c r="I40" i="11" s="1"/>
  <c r="C40" i="11" s="1"/>
  <c r="E35" i="11"/>
  <c r="F35" i="11" s="1"/>
  <c r="H35" i="11"/>
  <c r="I35" i="11" s="1"/>
  <c r="C35" i="11" s="1"/>
  <c r="E37" i="11"/>
  <c r="F37" i="11" s="1"/>
  <c r="H37" i="11"/>
  <c r="I37" i="11" s="1"/>
  <c r="C37" i="11" s="1"/>
  <c r="I45" i="18" l="1"/>
  <c r="J44" i="18"/>
  <c r="F47" i="11"/>
  <c r="F60" i="11" s="1"/>
  <c r="E60" i="11"/>
  <c r="I61" i="11"/>
  <c r="C61" i="11" s="1"/>
  <c r="E46" i="11"/>
  <c r="F61" i="11"/>
  <c r="H46" i="11"/>
  <c r="I47" i="11"/>
  <c r="H60" i="11"/>
  <c r="K88" i="11"/>
  <c r="K85" i="11"/>
  <c r="I75" i="11"/>
  <c r="F75" i="11"/>
  <c r="I46" i="11"/>
  <c r="F33" i="11"/>
  <c r="F46" i="11" s="1"/>
  <c r="H68" i="11"/>
  <c r="H87" i="11" s="1"/>
  <c r="E68" i="11"/>
  <c r="D61" i="10"/>
  <c r="D75" i="10"/>
  <c r="D47" i="10"/>
  <c r="E62" i="11"/>
  <c r="F62" i="11" s="1"/>
  <c r="F63" i="11"/>
  <c r="I60" i="11" l="1"/>
  <c r="C47" i="11"/>
  <c r="I46" i="18"/>
  <c r="J45" i="18"/>
  <c r="H74" i="11"/>
  <c r="H81" i="11" s="1"/>
  <c r="H85" i="11" s="1"/>
  <c r="H86" i="11"/>
  <c r="C60" i="11"/>
  <c r="I68" i="11"/>
  <c r="I86" i="11" s="1"/>
  <c r="E74" i="11"/>
  <c r="F68" i="11"/>
  <c r="F74" i="11" s="1"/>
  <c r="E87" i="11"/>
  <c r="E86" i="11"/>
  <c r="J46" i="18" l="1"/>
  <c r="I47" i="18"/>
  <c r="I48" i="18" s="1"/>
  <c r="E81" i="11"/>
  <c r="E85" i="11" s="1"/>
  <c r="I87" i="11"/>
  <c r="I74" i="11"/>
  <c r="I81" i="11" s="1"/>
  <c r="H88" i="11"/>
  <c r="F87" i="11"/>
  <c r="F86" i="11"/>
  <c r="C74" i="11"/>
  <c r="F81" i="11"/>
  <c r="F88" i="11" s="1"/>
  <c r="C85" i="11"/>
  <c r="C46" i="11"/>
  <c r="C86" i="11"/>
  <c r="I49" i="18" l="1"/>
  <c r="J48" i="18"/>
  <c r="C88" i="11"/>
  <c r="C87" i="11"/>
  <c r="F85" i="11"/>
  <c r="C81" i="11"/>
  <c r="I85" i="11"/>
  <c r="I88" i="11"/>
  <c r="E88" i="11"/>
  <c r="G6" i="20"/>
  <c r="J49" i="18" l="1"/>
  <c r="I50" i="18"/>
  <c r="G6" i="11"/>
  <c r="G6" i="18"/>
  <c r="G6" i="10"/>
  <c r="G6" i="19"/>
  <c r="I51" i="18" l="1"/>
  <c r="J50" i="18"/>
  <c r="I52" i="18" l="1"/>
  <c r="J51" i="18"/>
  <c r="I53" i="18" l="1"/>
  <c r="J52" i="18"/>
  <c r="I54" i="18" l="1"/>
  <c r="J53" i="18"/>
  <c r="I55" i="18" l="1"/>
  <c r="J54" i="18"/>
  <c r="I56" i="18" l="1"/>
  <c r="J55" i="18"/>
  <c r="I57" i="18" l="1"/>
  <c r="J56" i="18"/>
  <c r="I58" i="18" l="1"/>
  <c r="J57" i="18"/>
  <c r="I59" i="18" l="1"/>
  <c r="J58" i="18"/>
  <c r="I60" i="18" l="1"/>
  <c r="J59" i="18"/>
  <c r="J60" i="18" l="1"/>
  <c r="I61" i="18"/>
  <c r="I62" i="18" s="1"/>
  <c r="I63" i="18" l="1"/>
  <c r="J62" i="18"/>
  <c r="I64" i="18" l="1"/>
  <c r="J63" i="18"/>
  <c r="I65" i="18" l="1"/>
  <c r="J64" i="18"/>
  <c r="I66" i="18" l="1"/>
  <c r="J65" i="18"/>
  <c r="I67" i="18" l="1"/>
  <c r="J66" i="18"/>
  <c r="I68" i="18" l="1"/>
  <c r="J67" i="18"/>
  <c r="I69" i="18" l="1"/>
  <c r="J68" i="18"/>
  <c r="I70" i="18" l="1"/>
  <c r="J69" i="18"/>
  <c r="I71" i="18" l="1"/>
  <c r="J70" i="18"/>
  <c r="I72" i="18" l="1"/>
  <c r="J71" i="18"/>
  <c r="I73" i="18" l="1"/>
  <c r="J72" i="18"/>
  <c r="I74" i="18" l="1"/>
  <c r="J73" i="18"/>
  <c r="J74" i="18" l="1"/>
  <c r="I75" i="18"/>
  <c r="I76" i="18" l="1"/>
  <c r="I77" i="18" l="1"/>
  <c r="J76" i="18"/>
  <c r="I78" i="18" l="1"/>
  <c r="J77" i="18"/>
  <c r="I79" i="18" l="1"/>
  <c r="J78" i="18"/>
  <c r="I80" i="18" l="1"/>
  <c r="J79" i="18"/>
  <c r="I81" i="18" l="1"/>
  <c r="J80" i="18"/>
  <c r="J81" i="18" l="1"/>
  <c r="I82" i="18"/>
</calcChain>
</file>

<file path=xl/sharedStrings.xml><?xml version="1.0" encoding="utf-8"?>
<sst xmlns="http://schemas.openxmlformats.org/spreadsheetml/2006/main" count="775" uniqueCount="302">
  <si>
    <t>GROUPE</t>
  </si>
  <si>
    <t>GE2.2</t>
  </si>
  <si>
    <t>GC</t>
  </si>
  <si>
    <t>GE2.1</t>
  </si>
  <si>
    <t>kWh</t>
  </si>
  <si>
    <t>T3</t>
  </si>
  <si>
    <t>T4</t>
  </si>
  <si>
    <t>T5</t>
  </si>
  <si>
    <t>SURFACE</t>
  </si>
  <si>
    <t>PROJET</t>
  </si>
  <si>
    <t>ENCERTICUS</t>
  </si>
  <si>
    <t>ETUDE</t>
  </si>
  <si>
    <t>CHAUFFAGE - ENERGIE GAZ</t>
  </si>
  <si>
    <t>INDICE GDF [N-1]</t>
  </si>
  <si>
    <t>INDICE GDF [N]</t>
  </si>
  <si>
    <t>KWh PCS en kWh PCI</t>
  </si>
  <si>
    <t>S01</t>
  </si>
  <si>
    <t>kWh PCI / m²</t>
  </si>
  <si>
    <t>-</t>
  </si>
  <si>
    <t>m²</t>
  </si>
  <si>
    <t>INDICE EDF [N-1]</t>
  </si>
  <si>
    <t>INDICE EDF [N]</t>
  </si>
  <si>
    <t>kWh / m²</t>
  </si>
  <si>
    <t>Nbre semaine par mois</t>
  </si>
  <si>
    <t>ENERTECH/CEREN - 2008</t>
  </si>
  <si>
    <t>INDICE EAU
[N-1]</t>
  </si>
  <si>
    <t>http://www.eaufrance.fr/site-156/groupes-de-chiffres-cles/consommation-d-eau-par-foyer-en</t>
  </si>
  <si>
    <t>EAU
EF + ECS</t>
  </si>
  <si>
    <t>%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</si>
  <si>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en kWh PCI</t>
    </r>
  </si>
  <si>
    <t>Semaine</t>
  </si>
  <si>
    <t>Pas de temps</t>
  </si>
  <si>
    <r>
      <t>1m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de 15°C à 50°C ; rendement=90%</t>
    </r>
  </si>
  <si>
    <r>
      <t>m</t>
    </r>
    <r>
      <rPr>
        <i/>
        <vertAlign val="superscript"/>
        <sz val="10"/>
        <color theme="1"/>
        <rFont val="Arial"/>
        <family val="2"/>
      </rPr>
      <t>3</t>
    </r>
  </si>
  <si>
    <t>kWh/m²</t>
  </si>
  <si>
    <t>Année</t>
  </si>
  <si>
    <t>Mois</t>
  </si>
  <si>
    <t>S16</t>
  </si>
  <si>
    <t>Avril</t>
  </si>
  <si>
    <t>SO</t>
  </si>
  <si>
    <t>APPARTEMENT</t>
  </si>
  <si>
    <t>Janvier</t>
  </si>
  <si>
    <t>Février</t>
  </si>
  <si>
    <t>Mars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</si>
  <si>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</si>
  <si>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</si>
  <si>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</si>
  <si>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</si>
  <si>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</si>
  <si>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</si>
  <si>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</si>
  <si>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</si>
  <si>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kWh / ménage</t>
  </si>
  <si>
    <t>Ratio type / semaine</t>
  </si>
  <si>
    <t>kWh / logement</t>
  </si>
  <si>
    <t>l / pers</t>
  </si>
  <si>
    <t>Unité</t>
  </si>
  <si>
    <t>Période</t>
  </si>
  <si>
    <t>Source</t>
  </si>
  <si>
    <t>T</t>
  </si>
  <si>
    <t>TYPE APPART</t>
  </si>
  <si>
    <t>TAUX OCCUPATION</t>
  </si>
  <si>
    <t>COMPTEUR GAZ</t>
  </si>
  <si>
    <t>COMPTEUR ECS</t>
  </si>
  <si>
    <t>NOM DE LA DONNEES</t>
  </si>
  <si>
    <t>ELECTRICTE - TOUT USAGE</t>
  </si>
  <si>
    <t>COMPTEUR ELEC</t>
  </si>
  <si>
    <t>Données relevé</t>
  </si>
  <si>
    <t>ECONOMIE GLOBALE</t>
  </si>
  <si>
    <t>Moyenne des economie sans coef</t>
  </si>
  <si>
    <t>EAU - EF + ECS</t>
  </si>
  <si>
    <t>NOMBRE D'OCCUPANTS</t>
  </si>
  <si>
    <t>Personne</t>
  </si>
  <si>
    <t>CASE à REMPLIR</t>
  </si>
  <si>
    <t>NOTES &amp; REMARQUES</t>
  </si>
  <si>
    <t>Entrée Logiciel</t>
  </si>
  <si>
    <t>VALEUR à vérifier</t>
  </si>
  <si>
    <t>SORTIE logiciel</t>
  </si>
  <si>
    <t>Valeur de référence</t>
  </si>
  <si>
    <t>ECONOMIE CHAUFFAGE</t>
  </si>
  <si>
    <t>ECONOMIE EAU</t>
  </si>
  <si>
    <t>ECONOMIE ELECTRICTE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</si>
  <si>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</si>
  <si>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</si>
  <si>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</si>
  <si>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</si>
  <si>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</si>
  <si>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</si>
  <si>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</si>
  <si>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</si>
  <si>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</si>
  <si>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</si>
  <si>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</si>
  <si>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</si>
  <si>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</si>
  <si>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</si>
  <si>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</si>
  <si>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</si>
  <si>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</si>
  <si>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</si>
  <si>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</si>
  <si>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</si>
  <si>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</si>
  <si>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</si>
  <si>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</si>
  <si>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</si>
  <si>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</si>
  <si>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</si>
  <si>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</si>
  <si>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</si>
  <si>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</si>
  <si>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</si>
  <si>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</si>
  <si>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</si>
  <si>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</si>
  <si>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</si>
  <si>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</si>
  <si>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</si>
  <si>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</si>
  <si>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</si>
  <si>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</si>
  <si>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</si>
  <si>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</si>
  <si>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</si>
  <si>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</si>
  <si>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</si>
  <si>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</si>
  <si>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</si>
  <si>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</si>
  <si>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</si>
  <si>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</si>
  <si>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</si>
  <si>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Facteur travaux</t>
  </si>
  <si>
    <t>NE PAS SUPPRIMER</t>
  </si>
  <si>
    <t>Ne pas supprimer</t>
  </si>
  <si>
    <t>Liste de choix - NE PAS SUPPRIMER</t>
  </si>
  <si>
    <t>Maximum</t>
  </si>
  <si>
    <t>Minimum</t>
  </si>
  <si>
    <t>Mediane</t>
  </si>
  <si>
    <t>Moyenne</t>
  </si>
  <si>
    <t>STATISTIQUE</t>
  </si>
  <si>
    <t>T2</t>
  </si>
  <si>
    <t>Case rouge 0 occupation remplace par 1</t>
  </si>
  <si>
    <t>DJU 2011</t>
  </si>
  <si>
    <t>DJU 2012</t>
  </si>
  <si>
    <t>DJU 2013</t>
  </si>
  <si>
    <t>DJU moyen semaine</t>
  </si>
  <si>
    <t>GAZ</t>
  </si>
  <si>
    <t>ECS</t>
  </si>
  <si>
    <t>ELEC</t>
  </si>
  <si>
    <t>EF</t>
  </si>
  <si>
    <t>Colonne Sem</t>
  </si>
  <si>
    <t>Année précédente</t>
  </si>
  <si>
    <t>semaine précédente</t>
  </si>
  <si>
    <t>DJU REEL - 2014</t>
  </si>
  <si>
    <t>DJU REEL - 2015</t>
  </si>
  <si>
    <t>DJU REEL - 2012</t>
  </si>
  <si>
    <t>DJU REEL - 2013</t>
  </si>
  <si>
    <t>CONSOMMATION BRUTES GAZ ANNEE PRECEDENTE - [kWh]</t>
  </si>
  <si>
    <t>MOYENNE GC</t>
  </si>
  <si>
    <t>MOYENNE GE2.1</t>
  </si>
  <si>
    <t>MOYENNE GE2.2</t>
  </si>
  <si>
    <t>MOYENNE SO</t>
  </si>
  <si>
    <t>MOIS</t>
  </si>
  <si>
    <t>Ratio EAU réf</t>
  </si>
  <si>
    <t>Ratio ELECTRICTE réf</t>
  </si>
  <si>
    <t>Ratio CHAUFFAGE réf</t>
  </si>
  <si>
    <t>INDICE EAU
[N]</t>
  </si>
  <si>
    <t>kWh/j/pers</t>
  </si>
  <si>
    <t>l/j/pers</t>
  </si>
  <si>
    <t>kWh/logt</t>
  </si>
  <si>
    <t>évolution</t>
  </si>
  <si>
    <t>DJU REEL - 2011</t>
  </si>
  <si>
    <t>DJU REEL - 2016</t>
  </si>
  <si>
    <t>DJU mois - A compléter</t>
  </si>
  <si>
    <t>RATIOS TYPES UTILISES</t>
  </si>
  <si>
    <t>CONSTANTES</t>
  </si>
  <si>
    <t>DONNEES ISSUES RELEVEES</t>
  </si>
  <si>
    <t>Nombre de jours</t>
  </si>
  <si>
    <t>Nombre de semaine</t>
  </si>
  <si>
    <t>DJU moyen mois</t>
  </si>
  <si>
    <t>CALCUL DES VALEURS DE REFERENCE</t>
  </si>
  <si>
    <t>DONNEES D'ENTREE GENERALES</t>
  </si>
  <si>
    <t>DJU MENSUEL</t>
  </si>
  <si>
    <t>DJU - MOYEN  - 2011 / 2012 / 2013</t>
  </si>
  <si>
    <t>S53</t>
  </si>
  <si>
    <t>DJU - SEMAINE - (voir avec HMP)</t>
  </si>
  <si>
    <t>Consommation de chauffage moyenne du mois de l'année 2012, ramené à la semaine avec correction DJU moins ratio ECS et cuisson</t>
  </si>
  <si>
    <t>2014-S01</t>
  </si>
  <si>
    <t>2014-S02</t>
  </si>
  <si>
    <t>2014-S03</t>
  </si>
  <si>
    <t>2014-S04</t>
  </si>
  <si>
    <t>2014-S05</t>
  </si>
  <si>
    <t>2014-S06</t>
  </si>
  <si>
    <t>2014-S07</t>
  </si>
  <si>
    <t>2014-S08</t>
  </si>
  <si>
    <t>2014-S09</t>
  </si>
  <si>
    <t>2014-S10</t>
  </si>
  <si>
    <t>2014-S11</t>
  </si>
  <si>
    <t>2014-S12</t>
  </si>
  <si>
    <t>2014-S13</t>
  </si>
  <si>
    <t>2014-S14</t>
  </si>
  <si>
    <t>2014-S15</t>
  </si>
  <si>
    <t>2014-S16</t>
  </si>
  <si>
    <t>2014-S17</t>
  </si>
  <si>
    <t>2014-S18</t>
  </si>
  <si>
    <t>2014-S19</t>
  </si>
  <si>
    <t>2014-S20</t>
  </si>
  <si>
    <t>2014-S21</t>
  </si>
  <si>
    <t>2014-S22</t>
  </si>
  <si>
    <t>2014-S23</t>
  </si>
  <si>
    <t>2014-S24</t>
  </si>
  <si>
    <t>2014-S25</t>
  </si>
  <si>
    <t>2014-S26</t>
  </si>
  <si>
    <t>2014-S27</t>
  </si>
  <si>
    <t>2014-S28</t>
  </si>
  <si>
    <t>2014-S29</t>
  </si>
  <si>
    <t>2014-S30</t>
  </si>
  <si>
    <t>2014-S31</t>
  </si>
  <si>
    <t>2014-S32</t>
  </si>
  <si>
    <t>2014-S33</t>
  </si>
  <si>
    <t>2014-S34</t>
  </si>
  <si>
    <t>2014-S35</t>
  </si>
  <si>
    <t>2014-S36</t>
  </si>
  <si>
    <t>2014-S37</t>
  </si>
  <si>
    <t>2014-S38</t>
  </si>
  <si>
    <t>2014-S39</t>
  </si>
  <si>
    <t>2014-S40</t>
  </si>
  <si>
    <t>2014-S41</t>
  </si>
  <si>
    <t>2014-S42</t>
  </si>
  <si>
    <t>2014-S43</t>
  </si>
  <si>
    <t>2014-S44</t>
  </si>
  <si>
    <t>2014-S45</t>
  </si>
  <si>
    <t>2014-S46</t>
  </si>
  <si>
    <t>2014-S47</t>
  </si>
  <si>
    <t>2014-S48</t>
  </si>
  <si>
    <t>2014-S49</t>
  </si>
  <si>
    <t>2014-S50</t>
  </si>
  <si>
    <t>2014-S51</t>
  </si>
  <si>
    <t>2014-S52</t>
  </si>
  <si>
    <t>2014-S53</t>
  </si>
  <si>
    <t>Coller les résultats obtenus les semaines précédentes</t>
  </si>
  <si>
    <t>VALEURS DE REFERENCE ELECTRICITE</t>
  </si>
  <si>
    <t>TRAITEMENT EAU</t>
  </si>
  <si>
    <t>TRAITEMENT ELEC</t>
  </si>
  <si>
    <t>TRAITEMENT CHAUFFAGE</t>
  </si>
  <si>
    <t>DJU REEL - 2017</t>
  </si>
  <si>
    <t>SUIVI CONSO</t>
  </si>
  <si>
    <t>HISTORIQUE ELECTRICITE</t>
  </si>
  <si>
    <t>HISTORIQUE CHAUFFAGE</t>
  </si>
  <si>
    <t>CHAUFFAGE HISTORIQUE</t>
  </si>
  <si>
    <t>HISTORIQUE EAU</t>
  </si>
  <si>
    <t>HISTORIQUE ECS</t>
  </si>
  <si>
    <t>Ref elec</t>
  </si>
  <si>
    <t>Ref eau</t>
  </si>
  <si>
    <t>Ref ECS</t>
  </si>
  <si>
    <t>REFERENCE - SEMAINE</t>
  </si>
  <si>
    <t>Coller les valeurs de référence, ce sont celles de la semaine précédente</t>
  </si>
  <si>
    <t>DETAIL CALCUL</t>
  </si>
  <si>
    <t>Conso gaz</t>
  </si>
  <si>
    <t>Conso Chauffage</t>
  </si>
  <si>
    <t>chauff ajusté - DJU</t>
  </si>
  <si>
    <t>DJU moyen</t>
  </si>
  <si>
    <t>REFERENCE - CHAUFFAGE</t>
  </si>
  <si>
    <t>chauff réf.mai 2012</t>
  </si>
  <si>
    <t>chauff ajusté
réel</t>
  </si>
  <si>
    <t>Ratio de chauffage</t>
  </si>
  <si>
    <t>Energie nécessaire ECS</t>
  </si>
  <si>
    <t>Conversion GAZ (volume en kWh PCI)</t>
  </si>
  <si>
    <t>Conversion GAZ (PCS en PCI)</t>
  </si>
  <si>
    <t xml:space="preserve">Ratio type </t>
  </si>
  <si>
    <t>Ratio cuisson - semaine</t>
  </si>
  <si>
    <t>Ratio ECS - jour</t>
  </si>
  <si>
    <t>Ratio électrique - semaine</t>
  </si>
  <si>
    <t>Ratio eau (EF+ECS) - semaine</t>
  </si>
  <si>
    <t>kWh / lgt</t>
  </si>
  <si>
    <t>Ratio ECS réf</t>
  </si>
  <si>
    <t>CHAUFFAGE corrigé</t>
  </si>
  <si>
    <t>ELECTRICTE</t>
  </si>
  <si>
    <t>EAU</t>
  </si>
  <si>
    <t>litres / lgt</t>
  </si>
  <si>
    <t>ECONOMIE ECS</t>
  </si>
  <si>
    <r>
      <t>kWh / m</t>
    </r>
    <r>
      <rPr>
        <vertAlign val="superscript"/>
        <sz val="10"/>
        <rFont val="Arial"/>
        <family val="2"/>
      </rPr>
      <t>3</t>
    </r>
  </si>
  <si>
    <t>Volume ECS consommé jour</t>
  </si>
  <si>
    <t>ARBRE de base</t>
  </si>
  <si>
    <t>ARBRE de base ref</t>
  </si>
  <si>
    <t>ARBRE BASE REFERENCE</t>
  </si>
  <si>
    <t>ARBRE BASE 12/13</t>
  </si>
  <si>
    <t>ARBRE DE BASE</t>
  </si>
  <si>
    <t>ARBRE BASE réf</t>
  </si>
  <si>
    <t>m3 / lgt</t>
  </si>
  <si>
    <t>CONSOMMATION ELEC - SEMAINE</t>
  </si>
  <si>
    <t>CONSOMMATION CHAUFFAGE - SEMAINE</t>
  </si>
  <si>
    <t>ETIQUETTE DPE</t>
  </si>
  <si>
    <t>CONSO 2012</t>
  </si>
  <si>
    <t>SIEDLER</t>
  </si>
  <si>
    <t>CONSO 12/13</t>
  </si>
  <si>
    <t>CONSOMMATION EAU - SEMAINE</t>
  </si>
  <si>
    <t>CONSO 13</t>
  </si>
  <si>
    <t>RATIO</t>
  </si>
  <si>
    <t>INDICE [N-1]</t>
  </si>
  <si>
    <t>INDICE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</si>
</sst>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0.0%"/>
    <numFmt numFmtId="166" formatCode="[$-40C]mmm\-yy;@"/>
    <numFmt numFmtId="167" formatCode="#,##0_ ;[Red]\-#,##0\ "/>
    <numFmt numFmtId="168" formatCode="[$-40C]mmmmm;@"/>
    <numFmt numFmtId="169" formatCode="#,##0.0_ ;[Red]\-#,##0.0\ 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vertAlign val="superscript"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u/>
      <sz val="10"/>
      <color rgb="FFFF0000"/>
      <name val="Calibri"/>
      <family val="2"/>
      <scheme val="minor"/>
    </font>
    <font>
      <sz val="10"/>
      <color theme="0" tint="-0.14999847407452621"/>
      <name val="Arial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vertAlign val="superscript"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ck">
        <color auto="1"/>
      </right>
      <top style="thin">
        <color indexed="55"/>
      </top>
      <bottom style="thin">
        <color indexed="55"/>
      </bottom>
      <diagonal/>
    </border>
    <border>
      <left style="thick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20" fillId="0" borderId="0"/>
    <xf numFmtId="0" fontId="21" fillId="0" borderId="67" applyNumberFormat="0" applyFill="0" applyAlignment="0" applyProtection="0"/>
    <xf numFmtId="0" fontId="22" fillId="0" borderId="68" applyNumberFormat="0" applyFill="0" applyAlignment="0" applyProtection="0"/>
    <xf numFmtId="0" fontId="23" fillId="0" borderId="0" applyNumberFormat="0" applyFill="0" applyBorder="0" applyAlignment="0" applyProtection="0"/>
  </cellStyleXfs>
  <cellXfs count="476">
    <xf numFmtId="0" fontId="0" fillId="0" borderId="0" xfId="0"/>
    <xf numFmtId="0" fontId="1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right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1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3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left" vertical="center" wrapText="1"/>
    </xf>
    <xf numFmtId="3" fontId="1" fillId="0" borderId="24" xfId="0" applyNumberFormat="1" applyFont="1" applyBorder="1" applyAlignment="1">
      <alignment horizontal="left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26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3" fillId="2" borderId="27" xfId="0" applyNumberFormat="1" applyFont="1" applyFill="1" applyBorder="1" applyAlignment="1">
      <alignment horizontal="center" vertical="center" wrapText="1"/>
    </xf>
    <xf numFmtId="0" fontId="2" fillId="10" borderId="22" xfId="0" applyNumberFormat="1" applyFont="1" applyFill="1" applyBorder="1" applyAlignment="1">
      <alignment horizontal="center" vertical="center" wrapText="1"/>
    </xf>
    <xf numFmtId="0" fontId="3" fillId="10" borderId="23" xfId="0" applyNumberFormat="1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right" vertical="center" wrapText="1"/>
    </xf>
    <xf numFmtId="4" fontId="2" fillId="2" borderId="28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Alignment="1">
      <alignment horizontal="left" vertical="center" wrapText="1"/>
    </xf>
    <xf numFmtId="3" fontId="1" fillId="0" borderId="34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8" borderId="21" xfId="0" applyNumberFormat="1" applyFont="1" applyFill="1" applyBorder="1" applyAlignment="1">
      <alignment horizontal="center" vertical="center" wrapText="1"/>
    </xf>
    <xf numFmtId="0" fontId="9" fillId="8" borderId="1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9" fillId="8" borderId="2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9" fillId="7" borderId="20" xfId="0" applyNumberFormat="1" applyFont="1" applyFill="1" applyBorder="1" applyAlignment="1">
      <alignment horizontal="center" vertical="center" wrapText="1"/>
    </xf>
    <xf numFmtId="0" fontId="9" fillId="7" borderId="21" xfId="0" applyNumberFormat="1" applyFont="1" applyFill="1" applyBorder="1" applyAlignment="1">
      <alignment horizontal="center" vertical="center" wrapText="1"/>
    </xf>
    <xf numFmtId="0" fontId="9" fillId="7" borderId="1" xfId="0" applyNumberFormat="1" applyFont="1" applyFill="1" applyBorder="1" applyAlignment="1">
      <alignment horizontal="center" vertical="center" wrapText="1"/>
    </xf>
    <xf numFmtId="0" fontId="9" fillId="7" borderId="25" xfId="0" applyNumberFormat="1" applyFont="1" applyFill="1" applyBorder="1" applyAlignment="1">
      <alignment horizontal="center" vertical="center" wrapText="1"/>
    </xf>
    <xf numFmtId="0" fontId="2" fillId="4" borderId="17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0" fontId="3" fillId="4" borderId="18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164" fontId="2" fillId="2" borderId="31" xfId="0" applyNumberFormat="1" applyFont="1" applyFill="1" applyBorder="1" applyAlignment="1">
      <alignment horizontal="right" vertical="center" wrapText="1"/>
    </xf>
    <xf numFmtId="164" fontId="2" fillId="2" borderId="33" xfId="0" applyNumberFormat="1" applyFont="1" applyFill="1" applyBorder="1" applyAlignment="1">
      <alignment horizontal="right" vertical="center" wrapText="1"/>
    </xf>
    <xf numFmtId="3" fontId="2" fillId="2" borderId="31" xfId="0" applyNumberFormat="1" applyFont="1" applyFill="1" applyBorder="1" applyAlignment="1">
      <alignment horizontal="right" vertical="center" wrapText="1"/>
    </xf>
    <xf numFmtId="3" fontId="2" fillId="2" borderId="33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166" fontId="2" fillId="8" borderId="14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6" fontId="2" fillId="8" borderId="16" xfId="0" applyNumberFormat="1" applyFont="1" applyFill="1" applyBorder="1" applyAlignment="1">
      <alignment horizontal="center" vertical="center" wrapText="1"/>
    </xf>
    <xf numFmtId="166" fontId="13" fillId="7" borderId="14" xfId="0" applyNumberFormat="1" applyFont="1" applyFill="1" applyBorder="1" applyAlignment="1">
      <alignment horizontal="center" vertical="center" wrapText="1"/>
    </xf>
    <xf numFmtId="166" fontId="13" fillId="5" borderId="1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2" fillId="8" borderId="29" xfId="0" applyNumberFormat="1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0" borderId="17" xfId="0" applyNumberFormat="1" applyFont="1" applyFill="1" applyBorder="1" applyAlignment="1">
      <alignment horizontal="center" vertical="center" wrapText="1"/>
    </xf>
    <xf numFmtId="0" fontId="2" fillId="10" borderId="5" xfId="0" applyNumberFormat="1" applyFont="1" applyFill="1" applyBorder="1" applyAlignment="1">
      <alignment horizontal="center" vertical="center" wrapText="1"/>
    </xf>
    <xf numFmtId="0" fontId="2" fillId="10" borderId="11" xfId="0" applyNumberFormat="1" applyFont="1" applyFill="1" applyBorder="1" applyAlignment="1">
      <alignment horizontal="center" vertical="center" wrapText="1"/>
    </xf>
    <xf numFmtId="0" fontId="2" fillId="10" borderId="26" xfId="0" applyNumberFormat="1" applyFont="1" applyFill="1" applyBorder="1" applyAlignment="1">
      <alignment horizontal="center" vertical="center" wrapText="1"/>
    </xf>
    <xf numFmtId="0" fontId="3" fillId="10" borderId="18" xfId="0" applyNumberFormat="1" applyFont="1" applyFill="1" applyBorder="1" applyAlignment="1">
      <alignment horizontal="center" vertical="center" wrapText="1"/>
    </xf>
    <xf numFmtId="0" fontId="3" fillId="10" borderId="6" xfId="0" applyNumberFormat="1" applyFont="1" applyFill="1" applyBorder="1" applyAlignment="1">
      <alignment horizontal="center" vertical="center" wrapText="1"/>
    </xf>
    <xf numFmtId="0" fontId="3" fillId="10" borderId="12" xfId="0" applyNumberFormat="1" applyFont="1" applyFill="1" applyBorder="1" applyAlignment="1">
      <alignment horizontal="center" vertical="center" wrapText="1"/>
    </xf>
    <xf numFmtId="0" fontId="3" fillId="10" borderId="27" xfId="0" applyNumberFormat="1" applyFont="1" applyFill="1" applyBorder="1" applyAlignment="1">
      <alignment horizontal="center" vertical="center" wrapText="1"/>
    </xf>
    <xf numFmtId="164" fontId="1" fillId="10" borderId="17" xfId="0" applyNumberFormat="1" applyFont="1" applyFill="1" applyBorder="1" applyAlignment="1">
      <alignment horizontal="right" vertical="center" wrapText="1"/>
    </xf>
    <xf numFmtId="164" fontId="1" fillId="10" borderId="5" xfId="0" applyNumberFormat="1" applyFont="1" applyFill="1" applyBorder="1" applyAlignment="1">
      <alignment horizontal="right" vertical="center" wrapText="1"/>
    </xf>
    <xf numFmtId="4" fontId="1" fillId="10" borderId="11" xfId="0" applyNumberFormat="1" applyFont="1" applyFill="1" applyBorder="1" applyAlignment="1">
      <alignment horizontal="right" vertical="center" wrapText="1"/>
    </xf>
    <xf numFmtId="4" fontId="1" fillId="10" borderId="26" xfId="0" applyNumberFormat="1" applyFont="1" applyFill="1" applyBorder="1" applyAlignment="1">
      <alignment horizontal="right" vertical="center" wrapText="1"/>
    </xf>
    <xf numFmtId="164" fontId="1" fillId="10" borderId="19" xfId="0" applyNumberFormat="1" applyFont="1" applyFill="1" applyBorder="1" applyAlignment="1">
      <alignment horizontal="right" vertical="center" wrapText="1"/>
    </xf>
    <xf numFmtId="164" fontId="1" fillId="10" borderId="4" xfId="0" applyNumberFormat="1" applyFont="1" applyFill="1" applyBorder="1" applyAlignment="1">
      <alignment horizontal="right" vertical="center" wrapText="1"/>
    </xf>
    <xf numFmtId="4" fontId="1" fillId="10" borderId="10" xfId="0" applyNumberFormat="1" applyFont="1" applyFill="1" applyBorder="1" applyAlignment="1">
      <alignment horizontal="right" vertical="center" wrapText="1"/>
    </xf>
    <xf numFmtId="4" fontId="1" fillId="10" borderId="28" xfId="0" applyNumberFormat="1" applyFont="1" applyFill="1" applyBorder="1" applyAlignment="1">
      <alignment horizontal="right" vertical="center" wrapText="1"/>
    </xf>
    <xf numFmtId="164" fontId="1" fillId="10" borderId="36" xfId="0" applyNumberFormat="1" applyFont="1" applyFill="1" applyBorder="1" applyAlignment="1">
      <alignment horizontal="right" vertical="center" wrapText="1"/>
    </xf>
    <xf numFmtId="164" fontId="1" fillId="10" borderId="35" xfId="0" applyNumberFormat="1" applyFont="1" applyFill="1" applyBorder="1" applyAlignment="1">
      <alignment horizontal="right" vertical="center" wrapText="1"/>
    </xf>
    <xf numFmtId="4" fontId="1" fillId="10" borderId="37" xfId="0" applyNumberFormat="1" applyFont="1" applyFill="1" applyBorder="1" applyAlignment="1">
      <alignment horizontal="right" vertical="center" wrapText="1"/>
    </xf>
    <xf numFmtId="4" fontId="1" fillId="10" borderId="38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42" xfId="0" applyNumberFormat="1" applyFont="1" applyBorder="1" applyAlignment="1">
      <alignment horizontal="left" vertical="center" wrapText="1"/>
    </xf>
    <xf numFmtId="0" fontId="13" fillId="0" borderId="8" xfId="0" applyFont="1" applyBorder="1" applyAlignment="1">
      <alignment vertical="center" wrapText="1"/>
    </xf>
    <xf numFmtId="0" fontId="13" fillId="0" borderId="42" xfId="0" applyNumberFormat="1" applyFont="1" applyBorder="1" applyAlignment="1">
      <alignment horizontal="left" vertical="center" wrapText="1"/>
    </xf>
    <xf numFmtId="0" fontId="1" fillId="10" borderId="7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Border="1" applyAlignment="1">
      <alignment horizontal="left" vertical="center" wrapText="1"/>
    </xf>
    <xf numFmtId="0" fontId="1" fillId="10" borderId="7" xfId="0" applyFont="1" applyFill="1" applyBorder="1" applyAlignment="1">
      <alignment horizontal="right" vertical="center" wrapText="1"/>
    </xf>
    <xf numFmtId="0" fontId="1" fillId="10" borderId="43" xfId="0" applyNumberFormat="1" applyFont="1" applyFill="1" applyBorder="1" applyAlignment="1">
      <alignment horizontal="right" vertical="center" wrapText="1"/>
    </xf>
    <xf numFmtId="3" fontId="1" fillId="10" borderId="17" xfId="0" applyNumberFormat="1" applyFont="1" applyFill="1" applyBorder="1" applyAlignment="1">
      <alignment horizontal="right" vertical="center" wrapText="1"/>
    </xf>
    <xf numFmtId="3" fontId="1" fillId="10" borderId="26" xfId="0" applyNumberFormat="1" applyFont="1" applyFill="1" applyBorder="1" applyAlignment="1">
      <alignment horizontal="right" vertical="center" wrapText="1"/>
    </xf>
    <xf numFmtId="3" fontId="1" fillId="10" borderId="19" xfId="0" applyNumberFormat="1" applyFont="1" applyFill="1" applyBorder="1" applyAlignment="1">
      <alignment horizontal="right" vertical="center" wrapText="1"/>
    </xf>
    <xf numFmtId="3" fontId="1" fillId="10" borderId="28" xfId="0" applyNumberFormat="1" applyFont="1" applyFill="1" applyBorder="1" applyAlignment="1">
      <alignment horizontal="right" vertical="center" wrapText="1"/>
    </xf>
    <xf numFmtId="3" fontId="1" fillId="10" borderId="36" xfId="0" applyNumberFormat="1" applyFont="1" applyFill="1" applyBorder="1" applyAlignment="1">
      <alignment horizontal="right" vertical="center" wrapText="1"/>
    </xf>
    <xf numFmtId="3" fontId="1" fillId="10" borderId="38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 wrapText="1"/>
    </xf>
    <xf numFmtId="164" fontId="2" fillId="2" borderId="19" xfId="0" applyNumberFormat="1" applyFont="1" applyFill="1" applyBorder="1" applyAlignment="1">
      <alignment horizontal="right" vertical="center" wrapText="1"/>
    </xf>
    <xf numFmtId="164" fontId="2" fillId="2" borderId="4" xfId="0" applyNumberFormat="1" applyFont="1" applyFill="1" applyBorder="1" applyAlignment="1">
      <alignment horizontal="right" vertical="center" wrapText="1"/>
    </xf>
    <xf numFmtId="3" fontId="2" fillId="2" borderId="19" xfId="0" applyNumberFormat="1" applyFont="1" applyFill="1" applyBorder="1" applyAlignment="1">
      <alignment horizontal="right" vertical="center" wrapText="1"/>
    </xf>
    <xf numFmtId="3" fontId="2" fillId="2" borderId="28" xfId="0" applyNumberFormat="1" applyFont="1" applyFill="1" applyBorder="1" applyAlignment="1">
      <alignment horizontal="right" vertical="center" wrapText="1"/>
    </xf>
    <xf numFmtId="164" fontId="2" fillId="2" borderId="28" xfId="0" applyNumberFormat="1" applyFont="1" applyFill="1" applyBorder="1" applyAlignment="1">
      <alignment horizontal="right" vertical="center" wrapText="1"/>
    </xf>
    <xf numFmtId="167" fontId="1" fillId="0" borderId="14" xfId="0" applyNumberFormat="1" applyFont="1" applyFill="1" applyBorder="1" applyAlignment="1" applyProtection="1">
      <alignment horizontal="left" vertical="center" wrapText="1"/>
      <protection locked="0"/>
    </xf>
    <xf numFmtId="167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67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0" xfId="0" applyNumberFormat="1" applyFont="1" applyFill="1" applyBorder="1" applyAlignment="1">
      <alignment horizontal="center" vertical="center" wrapText="1"/>
    </xf>
    <xf numFmtId="0" fontId="2" fillId="6" borderId="49" xfId="0" applyNumberFormat="1" applyFont="1" applyFill="1" applyBorder="1" applyAlignment="1">
      <alignment horizontal="center" vertical="center" wrapText="1"/>
    </xf>
    <xf numFmtId="0" fontId="2" fillId="6" borderId="52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65" fontId="1" fillId="14" borderId="54" xfId="2" applyNumberFormat="1" applyFont="1" applyFill="1" applyBorder="1" applyAlignment="1">
      <alignment horizontal="right" vertical="center" wrapText="1"/>
    </xf>
    <xf numFmtId="0" fontId="1" fillId="6" borderId="13" xfId="0" applyNumberFormat="1" applyFont="1" applyFill="1" applyBorder="1" applyAlignment="1">
      <alignment horizontal="left" vertical="center" wrapText="1"/>
    </xf>
    <xf numFmtId="3" fontId="1" fillId="0" borderId="50" xfId="0" applyNumberFormat="1" applyFont="1" applyBorder="1" applyAlignment="1">
      <alignment horizontal="left" vertical="center" wrapText="1"/>
    </xf>
    <xf numFmtId="0" fontId="2" fillId="6" borderId="55" xfId="0" applyNumberFormat="1" applyFont="1" applyFill="1" applyBorder="1" applyAlignment="1">
      <alignment horizontal="center" vertical="center" wrapText="1"/>
    </xf>
    <xf numFmtId="0" fontId="3" fillId="6" borderId="23" xfId="0" applyNumberFormat="1" applyFont="1" applyFill="1" applyBorder="1" applyAlignment="1">
      <alignment horizontal="center" vertical="center" wrapText="1"/>
    </xf>
    <xf numFmtId="165" fontId="1" fillId="12" borderId="48" xfId="0" applyNumberFormat="1" applyFont="1" applyFill="1" applyBorder="1" applyAlignment="1">
      <alignment horizontal="right" vertical="center" wrapText="1"/>
    </xf>
    <xf numFmtId="3" fontId="2" fillId="6" borderId="50" xfId="0" applyNumberFormat="1" applyFont="1" applyFill="1" applyBorder="1" applyAlignment="1">
      <alignment horizontal="right" vertical="center" wrapText="1"/>
    </xf>
    <xf numFmtId="0" fontId="2" fillId="6" borderId="50" xfId="0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3" fontId="17" fillId="10" borderId="0" xfId="0" applyNumberFormat="1" applyFont="1" applyFill="1" applyBorder="1" applyAlignment="1">
      <alignment horizontal="left" vertical="center" wrapText="1"/>
    </xf>
    <xf numFmtId="0" fontId="17" fillId="10" borderId="0" xfId="0" applyFont="1" applyFill="1" applyAlignment="1">
      <alignment vertical="center" wrapText="1"/>
    </xf>
    <xf numFmtId="0" fontId="18" fillId="0" borderId="0" xfId="1" applyNumberFormat="1" applyFont="1" applyBorder="1" applyAlignment="1">
      <alignment horizontal="left" vertical="center"/>
    </xf>
    <xf numFmtId="4" fontId="1" fillId="10" borderId="17" xfId="0" applyNumberFormat="1" applyFont="1" applyFill="1" applyBorder="1" applyAlignment="1">
      <alignment horizontal="right" vertical="center" wrapText="1"/>
    </xf>
    <xf numFmtId="4" fontId="1" fillId="10" borderId="19" xfId="0" applyNumberFormat="1" applyFont="1" applyFill="1" applyBorder="1" applyAlignment="1">
      <alignment horizontal="right" vertical="center" wrapText="1"/>
    </xf>
    <xf numFmtId="165" fontId="1" fillId="14" borderId="41" xfId="2" applyNumberFormat="1" applyFont="1" applyFill="1" applyBorder="1" applyAlignment="1">
      <alignment horizontal="right" vertical="center" wrapText="1"/>
    </xf>
    <xf numFmtId="165" fontId="1" fillId="14" borderId="56" xfId="2" applyNumberFormat="1" applyFont="1" applyFill="1" applyBorder="1" applyAlignment="1">
      <alignment horizontal="right" vertical="center" wrapText="1"/>
    </xf>
    <xf numFmtId="165" fontId="1" fillId="14" borderId="43" xfId="2" applyNumberFormat="1" applyFont="1" applyFill="1" applyBorder="1" applyAlignment="1">
      <alignment horizontal="right" vertical="center" wrapText="1"/>
    </xf>
    <xf numFmtId="0" fontId="2" fillId="6" borderId="57" xfId="0" applyNumberFormat="1" applyFont="1" applyFill="1" applyBorder="1" applyAlignment="1">
      <alignment horizontal="center" vertical="center" wrapText="1"/>
    </xf>
    <xf numFmtId="0" fontId="3" fillId="6" borderId="58" xfId="0" applyNumberFormat="1" applyFont="1" applyFill="1" applyBorder="1" applyAlignment="1">
      <alignment horizontal="center" vertical="center" wrapText="1"/>
    </xf>
    <xf numFmtId="0" fontId="2" fillId="6" borderId="59" xfId="0" applyNumberFormat="1" applyFont="1" applyFill="1" applyBorder="1" applyAlignment="1">
      <alignment horizontal="center" vertical="center" wrapText="1"/>
    </xf>
    <xf numFmtId="0" fontId="3" fillId="6" borderId="60" xfId="0" applyNumberFormat="1" applyFont="1" applyFill="1" applyBorder="1" applyAlignment="1">
      <alignment horizontal="center" vertical="center" wrapText="1"/>
    </xf>
    <xf numFmtId="165" fontId="1" fillId="14" borderId="61" xfId="0" applyNumberFormat="1" applyFont="1" applyFill="1" applyBorder="1" applyAlignment="1">
      <alignment horizontal="right" vertical="center" wrapText="1"/>
    </xf>
    <xf numFmtId="165" fontId="1" fillId="14" borderId="62" xfId="0" applyNumberFormat="1" applyFont="1" applyFill="1" applyBorder="1" applyAlignment="1">
      <alignment horizontal="right" vertical="center" wrapText="1"/>
    </xf>
    <xf numFmtId="165" fontId="1" fillId="14" borderId="63" xfId="0" applyNumberFormat="1" applyFont="1" applyFill="1" applyBorder="1" applyAlignment="1">
      <alignment horizontal="right" vertical="center" wrapText="1"/>
    </xf>
    <xf numFmtId="0" fontId="1" fillId="6" borderId="60" xfId="0" applyNumberFormat="1" applyFont="1" applyFill="1" applyBorder="1" applyAlignment="1">
      <alignment horizontal="left" vertical="center" wrapText="1"/>
    </xf>
    <xf numFmtId="0" fontId="2" fillId="14" borderId="61" xfId="0" applyFont="1" applyFill="1" applyBorder="1" applyAlignment="1">
      <alignment horizontal="right" vertical="center" wrapText="1"/>
    </xf>
    <xf numFmtId="0" fontId="2" fillId="14" borderId="62" xfId="0" applyFont="1" applyFill="1" applyBorder="1" applyAlignment="1">
      <alignment horizontal="right" vertical="center" wrapText="1"/>
    </xf>
    <xf numFmtId="0" fontId="2" fillId="14" borderId="63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164" fontId="1" fillId="0" borderId="1" xfId="0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3" fontId="4" fillId="0" borderId="50" xfId="0" applyNumberFormat="1" applyFont="1" applyBorder="1" applyAlignment="1">
      <alignment horizontal="left" vertical="center" wrapText="1"/>
    </xf>
    <xf numFmtId="165" fontId="4" fillId="12" borderId="48" xfId="0" applyNumberFormat="1" applyFont="1" applyFill="1" applyBorder="1" applyAlignment="1">
      <alignment horizontal="right" vertical="center" wrapText="1"/>
    </xf>
    <xf numFmtId="165" fontId="4" fillId="14" borderId="54" xfId="2" applyNumberFormat="1" applyFont="1" applyFill="1" applyBorder="1" applyAlignment="1">
      <alignment horizontal="right" vertical="center" wrapText="1"/>
    </xf>
    <xf numFmtId="3" fontId="8" fillId="6" borderId="50" xfId="0" applyNumberFormat="1" applyFont="1" applyFill="1" applyBorder="1" applyAlignment="1">
      <alignment horizontal="right" vertical="center" wrapText="1"/>
    </xf>
    <xf numFmtId="166" fontId="2" fillId="2" borderId="16" xfId="0" applyNumberFormat="1" applyFont="1" applyFill="1" applyBorder="1" applyAlignment="1">
      <alignment horizontal="center" vertical="center" wrapText="1"/>
    </xf>
    <xf numFmtId="166" fontId="2" fillId="2" borderId="14" xfId="0" applyNumberFormat="1" applyFont="1" applyFill="1" applyBorder="1" applyAlignment="1">
      <alignment horizontal="center" vertical="center" wrapText="1"/>
    </xf>
    <xf numFmtId="166" fontId="2" fillId="2" borderId="1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center" vertical="center" wrapText="1"/>
    </xf>
    <xf numFmtId="164" fontId="1" fillId="19" borderId="17" xfId="0" applyNumberFormat="1" applyFont="1" applyFill="1" applyBorder="1" applyAlignment="1">
      <alignment horizontal="right" vertical="center" wrapText="1"/>
    </xf>
    <xf numFmtId="3" fontId="1" fillId="19" borderId="17" xfId="0" applyNumberFormat="1" applyFont="1" applyFill="1" applyBorder="1" applyAlignment="1">
      <alignment horizontal="right" vertical="center" wrapText="1"/>
    </xf>
    <xf numFmtId="3" fontId="1" fillId="19" borderId="26" xfId="0" applyNumberFormat="1" applyFont="1" applyFill="1" applyBorder="1" applyAlignment="1">
      <alignment horizontal="right" vertical="center" wrapText="1"/>
    </xf>
    <xf numFmtId="164" fontId="1" fillId="19" borderId="26" xfId="0" applyNumberFormat="1" applyFont="1" applyFill="1" applyBorder="1" applyAlignment="1">
      <alignment horizontal="right" vertical="center" wrapText="1"/>
    </xf>
    <xf numFmtId="164" fontId="1" fillId="19" borderId="19" xfId="0" applyNumberFormat="1" applyFont="1" applyFill="1" applyBorder="1" applyAlignment="1">
      <alignment horizontal="right" vertical="center" wrapText="1"/>
    </xf>
    <xf numFmtId="3" fontId="1" fillId="19" borderId="19" xfId="0" applyNumberFormat="1" applyFont="1" applyFill="1" applyBorder="1" applyAlignment="1">
      <alignment horizontal="right" vertical="center" wrapText="1"/>
    </xf>
    <xf numFmtId="3" fontId="1" fillId="19" borderId="28" xfId="0" applyNumberFormat="1" applyFont="1" applyFill="1" applyBorder="1" applyAlignment="1">
      <alignment horizontal="right" vertical="center" wrapText="1"/>
    </xf>
    <xf numFmtId="164" fontId="1" fillId="19" borderId="28" xfId="0" applyNumberFormat="1" applyFont="1" applyFill="1" applyBorder="1" applyAlignment="1">
      <alignment horizontal="right" vertical="center" wrapText="1"/>
    </xf>
    <xf numFmtId="164" fontId="1" fillId="19" borderId="36" xfId="0" applyNumberFormat="1" applyFont="1" applyFill="1" applyBorder="1" applyAlignment="1">
      <alignment horizontal="right" vertical="center" wrapText="1"/>
    </xf>
    <xf numFmtId="3" fontId="1" fillId="19" borderId="36" xfId="0" applyNumberFormat="1" applyFont="1" applyFill="1" applyBorder="1" applyAlignment="1">
      <alignment horizontal="right" vertical="center" wrapText="1"/>
    </xf>
    <xf numFmtId="3" fontId="1" fillId="19" borderId="38" xfId="0" applyNumberFormat="1" applyFont="1" applyFill="1" applyBorder="1" applyAlignment="1">
      <alignment horizontal="right" vertical="center" wrapText="1"/>
    </xf>
    <xf numFmtId="164" fontId="1" fillId="19" borderId="38" xfId="0" applyNumberFormat="1" applyFont="1" applyFill="1" applyBorder="1" applyAlignment="1">
      <alignment horizontal="right" vertical="center" wrapText="1"/>
    </xf>
    <xf numFmtId="0" fontId="1" fillId="19" borderId="7" xfId="0" applyFont="1" applyFill="1" applyBorder="1" applyAlignment="1">
      <alignment horizontal="right" vertical="center" wrapText="1"/>
    </xf>
    <xf numFmtId="0" fontId="1" fillId="19" borderId="43" xfId="0" applyNumberFormat="1" applyFont="1" applyFill="1" applyBorder="1" applyAlignment="1">
      <alignment horizontal="right" vertical="center" wrapText="1"/>
    </xf>
    <xf numFmtId="0" fontId="4" fillId="19" borderId="0" xfId="0" applyFont="1" applyFill="1" applyBorder="1" applyAlignment="1">
      <alignment vertical="center" wrapText="1"/>
    </xf>
    <xf numFmtId="0" fontId="25" fillId="10" borderId="0" xfId="0" applyFont="1" applyFill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10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66" fontId="2" fillId="8" borderId="14" xfId="0" applyNumberFormat="1" applyFont="1" applyFill="1" applyBorder="1" applyAlignment="1">
      <alignment horizontal="left" vertical="center" wrapText="1"/>
    </xf>
    <xf numFmtId="3" fontId="1" fillId="19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1" fillId="19" borderId="16" xfId="0" applyNumberFormat="1" applyFont="1" applyFill="1" applyBorder="1" applyAlignment="1" applyProtection="1">
      <alignment horizontal="center" vertical="center" wrapText="1"/>
      <protection locked="0"/>
    </xf>
    <xf numFmtId="3" fontId="1" fillId="19" borderId="14" xfId="0" applyNumberFormat="1" applyFont="1" applyFill="1" applyBorder="1" applyAlignment="1" applyProtection="1">
      <alignment horizontal="center" vertical="center" wrapText="1"/>
      <protection locked="0"/>
    </xf>
    <xf numFmtId="3" fontId="1" fillId="19" borderId="15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6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4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vertical="center" wrapText="1"/>
    </xf>
    <xf numFmtId="0" fontId="5" fillId="10" borderId="0" xfId="0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1" fillId="3" borderId="4" xfId="0" applyNumberFormat="1" applyFont="1" applyFill="1" applyBorder="1" applyAlignment="1">
      <alignment horizontal="right" vertical="center" wrapText="1"/>
    </xf>
    <xf numFmtId="4" fontId="2" fillId="8" borderId="30" xfId="0" applyNumberFormat="1" applyFont="1" applyFill="1" applyBorder="1" applyAlignment="1">
      <alignment horizontal="right" vertical="center" wrapText="1"/>
    </xf>
    <xf numFmtId="4" fontId="1" fillId="3" borderId="35" xfId="0" applyNumberFormat="1" applyFont="1" applyFill="1" applyBorder="1" applyAlignment="1">
      <alignment horizontal="right" vertical="center" wrapText="1"/>
    </xf>
    <xf numFmtId="164" fontId="2" fillId="21" borderId="31" xfId="0" applyNumberFormat="1" applyFont="1" applyFill="1" applyBorder="1" applyAlignment="1">
      <alignment horizontal="right" vertical="center" wrapText="1"/>
    </xf>
    <xf numFmtId="164" fontId="2" fillId="21" borderId="30" xfId="0" applyNumberFormat="1" applyFont="1" applyFill="1" applyBorder="1" applyAlignment="1">
      <alignment horizontal="right" vertical="center" wrapText="1"/>
    </xf>
    <xf numFmtId="4" fontId="2" fillId="21" borderId="32" xfId="0" applyNumberFormat="1" applyFont="1" applyFill="1" applyBorder="1" applyAlignment="1">
      <alignment horizontal="right" vertical="center" wrapText="1"/>
    </xf>
    <xf numFmtId="4" fontId="2" fillId="21" borderId="33" xfId="0" applyNumberFormat="1" applyFont="1" applyFill="1" applyBorder="1" applyAlignment="1">
      <alignment horizontal="right" vertical="center" wrapText="1"/>
    </xf>
    <xf numFmtId="0" fontId="24" fillId="10" borderId="0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center" vertical="center" wrapText="1"/>
    </xf>
    <xf numFmtId="3" fontId="25" fillId="10" borderId="0" xfId="0" applyNumberFormat="1" applyFont="1" applyFill="1" applyBorder="1" applyAlignment="1">
      <alignment horizontal="left" vertical="center" wrapText="1"/>
    </xf>
    <xf numFmtId="0" fontId="24" fillId="10" borderId="0" xfId="0" applyNumberFormat="1" applyFont="1" applyFill="1" applyBorder="1" applyAlignment="1">
      <alignment horizontal="right" vertical="center" wrapText="1"/>
    </xf>
    <xf numFmtId="0" fontId="26" fillId="0" borderId="0" xfId="0" applyNumberFormat="1" applyFont="1" applyFill="1" applyBorder="1" applyAlignment="1">
      <alignment horizontal="right" vertical="center" wrapText="1"/>
    </xf>
    <xf numFmtId="3" fontId="25" fillId="10" borderId="0" xfId="0" applyNumberFormat="1" applyFont="1" applyFill="1" applyBorder="1" applyAlignment="1">
      <alignment horizontal="right" vertical="center" wrapText="1"/>
    </xf>
    <xf numFmtId="3" fontId="2" fillId="21" borderId="31" xfId="0" applyNumberFormat="1" applyFont="1" applyFill="1" applyBorder="1" applyAlignment="1">
      <alignment horizontal="right" vertical="center" wrapText="1"/>
    </xf>
    <xf numFmtId="3" fontId="2" fillId="21" borderId="33" xfId="0" applyNumberFormat="1" applyFont="1" applyFill="1" applyBorder="1" applyAlignment="1">
      <alignment horizontal="right" vertical="center" wrapText="1"/>
    </xf>
    <xf numFmtId="3" fontId="2" fillId="7" borderId="29" xfId="0" applyNumberFormat="1" applyFont="1" applyFill="1" applyBorder="1" applyAlignment="1">
      <alignment horizontal="right" vertical="center" wrapText="1"/>
    </xf>
    <xf numFmtId="4" fontId="2" fillId="21" borderId="31" xfId="0" applyNumberFormat="1" applyFont="1" applyFill="1" applyBorder="1" applyAlignment="1">
      <alignment horizontal="right" vertical="center" wrapText="1"/>
    </xf>
    <xf numFmtId="3" fontId="1" fillId="11" borderId="5" xfId="0" applyNumberFormat="1" applyFont="1" applyFill="1" applyBorder="1" applyAlignment="1">
      <alignment horizontal="right" vertical="center" wrapText="1"/>
    </xf>
    <xf numFmtId="3" fontId="1" fillId="11" borderId="69" xfId="0" applyNumberFormat="1" applyFont="1" applyFill="1" applyBorder="1" applyAlignment="1">
      <alignment horizontal="right" vertical="center" wrapText="1"/>
    </xf>
    <xf numFmtId="3" fontId="1" fillId="11" borderId="4" xfId="0" applyNumberFormat="1" applyFont="1" applyFill="1" applyBorder="1" applyAlignment="1">
      <alignment horizontal="right" vertical="center" wrapText="1"/>
    </xf>
    <xf numFmtId="3" fontId="1" fillId="11" borderId="35" xfId="0" applyNumberFormat="1" applyFont="1" applyFill="1" applyBorder="1" applyAlignment="1">
      <alignment horizontal="right" vertical="center" wrapText="1"/>
    </xf>
    <xf numFmtId="0" fontId="2" fillId="8" borderId="51" xfId="0" applyNumberFormat="1" applyFont="1" applyFill="1" applyBorder="1" applyAlignment="1">
      <alignment horizontal="center" vertical="center" wrapText="1"/>
    </xf>
    <xf numFmtId="0" fontId="2" fillId="8" borderId="47" xfId="0" applyNumberFormat="1" applyFont="1" applyFill="1" applyBorder="1" applyAlignment="1">
      <alignment horizontal="center" vertical="center" wrapText="1"/>
    </xf>
    <xf numFmtId="0" fontId="3" fillId="8" borderId="18" xfId="0" applyNumberFormat="1" applyFont="1" applyFill="1" applyBorder="1" applyAlignment="1">
      <alignment horizontal="center" vertical="center" wrapText="1"/>
    </xf>
    <xf numFmtId="0" fontId="3" fillId="8" borderId="6" xfId="0" applyNumberFormat="1" applyFont="1" applyFill="1" applyBorder="1" applyAlignment="1">
      <alignment horizontal="center" vertical="center" wrapText="1"/>
    </xf>
    <xf numFmtId="164" fontId="1" fillId="11" borderId="46" xfId="0" applyNumberFormat="1" applyFont="1" applyFill="1" applyBorder="1" applyAlignment="1">
      <alignment horizontal="right" vertical="center" wrapText="1"/>
    </xf>
    <xf numFmtId="164" fontId="4" fillId="4" borderId="53" xfId="0" applyNumberFormat="1" applyFont="1" applyFill="1" applyBorder="1" applyAlignment="1">
      <alignment horizontal="right" vertical="center" wrapText="1"/>
    </xf>
    <xf numFmtId="164" fontId="4" fillId="4" borderId="46" xfId="0" applyNumberFormat="1" applyFont="1" applyFill="1" applyBorder="1" applyAlignment="1">
      <alignment horizontal="right" vertical="center" wrapText="1"/>
    </xf>
    <xf numFmtId="164" fontId="1" fillId="4" borderId="53" xfId="0" applyNumberFormat="1" applyFont="1" applyFill="1" applyBorder="1" applyAlignment="1">
      <alignment horizontal="right" vertical="center" wrapText="1"/>
    </xf>
    <xf numFmtId="164" fontId="1" fillId="4" borderId="46" xfId="0" applyNumberFormat="1" applyFont="1" applyFill="1" applyBorder="1" applyAlignment="1">
      <alignment horizontal="right" vertical="center" wrapText="1"/>
    </xf>
    <xf numFmtId="164" fontId="1" fillId="3" borderId="46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4" fontId="1" fillId="3" borderId="53" xfId="0" applyNumberFormat="1" applyFont="1" applyFill="1" applyBorder="1" applyAlignment="1">
      <alignment horizontal="right" vertical="center" wrapText="1"/>
    </xf>
    <xf numFmtId="4" fontId="1" fillId="3" borderId="46" xfId="0" applyNumberFormat="1" applyFont="1" applyFill="1" applyBorder="1" applyAlignment="1">
      <alignment horizontal="right" vertical="center" wrapText="1"/>
    </xf>
    <xf numFmtId="4" fontId="2" fillId="8" borderId="53" xfId="0" applyNumberFormat="1" applyFont="1" applyFill="1" applyBorder="1" applyAlignment="1">
      <alignment horizontal="right" vertical="center" wrapText="1"/>
    </xf>
    <xf numFmtId="4" fontId="2" fillId="8" borderId="46" xfId="0" applyNumberFormat="1" applyFont="1" applyFill="1" applyBorder="1" applyAlignment="1">
      <alignment horizontal="right" vertical="center" wrapText="1"/>
    </xf>
    <xf numFmtId="4" fontId="4" fillId="3" borderId="53" xfId="0" applyNumberFormat="1" applyFont="1" applyFill="1" applyBorder="1" applyAlignment="1">
      <alignment horizontal="right" vertical="center" wrapText="1"/>
    </xf>
    <xf numFmtId="4" fontId="4" fillId="3" borderId="46" xfId="0" applyNumberFormat="1" applyFont="1" applyFill="1" applyBorder="1" applyAlignment="1">
      <alignment horizontal="right" vertical="center" wrapText="1"/>
    </xf>
    <xf numFmtId="4" fontId="8" fillId="8" borderId="53" xfId="0" applyNumberFormat="1" applyFont="1" applyFill="1" applyBorder="1" applyAlignment="1">
      <alignment horizontal="right" vertical="center" wrapText="1"/>
    </xf>
    <xf numFmtId="4" fontId="8" fillId="8" borderId="46" xfId="0" applyNumberFormat="1" applyFont="1" applyFill="1" applyBorder="1" applyAlignment="1">
      <alignment horizontal="right" vertical="center" wrapText="1"/>
    </xf>
    <xf numFmtId="164" fontId="2" fillId="7" borderId="53" xfId="0" applyNumberFormat="1" applyFont="1" applyFill="1" applyBorder="1" applyAlignment="1">
      <alignment horizontal="right" vertical="center" wrapText="1"/>
    </xf>
    <xf numFmtId="164" fontId="2" fillId="7" borderId="46" xfId="0" applyNumberFormat="1" applyFont="1" applyFill="1" applyBorder="1" applyAlignment="1">
      <alignment horizontal="right" vertical="center" wrapText="1"/>
    </xf>
    <xf numFmtId="164" fontId="8" fillId="7" borderId="53" xfId="0" applyNumberFormat="1" applyFont="1" applyFill="1" applyBorder="1" applyAlignment="1">
      <alignment horizontal="right" vertical="center" wrapText="1"/>
    </xf>
    <xf numFmtId="164" fontId="8" fillId="7" borderId="46" xfId="0" applyNumberFormat="1" applyFont="1" applyFill="1" applyBorder="1" applyAlignment="1">
      <alignment horizontal="right" vertical="center" wrapText="1"/>
    </xf>
    <xf numFmtId="0" fontId="2" fillId="7" borderId="51" xfId="0" applyNumberFormat="1" applyFont="1" applyFill="1" applyBorder="1" applyAlignment="1">
      <alignment horizontal="center" vertical="center" wrapText="1"/>
    </xf>
    <xf numFmtId="0" fontId="2" fillId="7" borderId="47" xfId="0" applyNumberFormat="1" applyFont="1" applyFill="1" applyBorder="1" applyAlignment="1">
      <alignment horizontal="center" vertical="center" wrapText="1"/>
    </xf>
    <xf numFmtId="0" fontId="3" fillId="7" borderId="18" xfId="0" applyNumberFormat="1" applyFont="1" applyFill="1" applyBorder="1" applyAlignment="1">
      <alignment horizontal="center" vertical="center" wrapText="1"/>
    </xf>
    <xf numFmtId="0" fontId="3" fillId="7" borderId="6" xfId="0" applyNumberFormat="1" applyFont="1" applyFill="1" applyBorder="1" applyAlignment="1">
      <alignment horizontal="center" vertical="center" wrapText="1"/>
    </xf>
    <xf numFmtId="4" fontId="4" fillId="4" borderId="53" xfId="0" applyNumberFormat="1" applyFont="1" applyFill="1" applyBorder="1" applyAlignment="1">
      <alignment horizontal="right" vertical="center" wrapText="1"/>
    </xf>
    <xf numFmtId="4" fontId="4" fillId="4" borderId="46" xfId="0" applyNumberFormat="1" applyFont="1" applyFill="1" applyBorder="1" applyAlignment="1">
      <alignment horizontal="right" vertical="center" wrapText="1"/>
    </xf>
    <xf numFmtId="0" fontId="2" fillId="7" borderId="64" xfId="0" applyNumberFormat="1" applyFont="1" applyFill="1" applyBorder="1" applyAlignment="1">
      <alignment horizontal="center" vertical="center" wrapText="1"/>
    </xf>
    <xf numFmtId="0" fontId="2" fillId="7" borderId="35" xfId="0" applyNumberFormat="1" applyFont="1" applyFill="1" applyBorder="1" applyAlignment="1">
      <alignment horizontal="center" vertical="center" wrapText="1"/>
    </xf>
    <xf numFmtId="0" fontId="3" fillId="7" borderId="65" xfId="0" applyNumberFormat="1" applyFont="1" applyFill="1" applyBorder="1" applyAlignment="1">
      <alignment horizontal="center" vertical="center" wrapText="1"/>
    </xf>
    <xf numFmtId="0" fontId="2" fillId="16" borderId="64" xfId="0" applyNumberFormat="1" applyFont="1" applyFill="1" applyBorder="1" applyAlignment="1">
      <alignment horizontal="center" vertical="center" wrapText="1"/>
    </xf>
    <xf numFmtId="0" fontId="2" fillId="16" borderId="35" xfId="0" applyNumberFormat="1" applyFont="1" applyFill="1" applyBorder="1" applyAlignment="1">
      <alignment horizontal="center" vertical="center" wrapText="1"/>
    </xf>
    <xf numFmtId="0" fontId="3" fillId="16" borderId="65" xfId="0" applyNumberFormat="1" applyFont="1" applyFill="1" applyBorder="1" applyAlignment="1">
      <alignment horizontal="center" vertical="center" wrapText="1"/>
    </xf>
    <xf numFmtId="0" fontId="3" fillId="16" borderId="6" xfId="0" applyNumberFormat="1" applyFont="1" applyFill="1" applyBorder="1" applyAlignment="1">
      <alignment horizontal="center" vertical="center" wrapText="1"/>
    </xf>
    <xf numFmtId="0" fontId="2" fillId="8" borderId="64" xfId="0" applyNumberFormat="1" applyFont="1" applyFill="1" applyBorder="1" applyAlignment="1">
      <alignment horizontal="center" vertical="center" wrapText="1"/>
    </xf>
    <xf numFmtId="0" fontId="2" fillId="8" borderId="35" xfId="0" applyNumberFormat="1" applyFont="1" applyFill="1" applyBorder="1" applyAlignment="1">
      <alignment horizontal="center" vertical="center" wrapText="1"/>
    </xf>
    <xf numFmtId="0" fontId="3" fillId="8" borderId="65" xfId="0" applyNumberFormat="1" applyFont="1" applyFill="1" applyBorder="1" applyAlignment="1">
      <alignment horizontal="center" vertical="center" wrapText="1"/>
    </xf>
    <xf numFmtId="164" fontId="1" fillId="3" borderId="40" xfId="0" applyNumberFormat="1" applyFont="1" applyFill="1" applyBorder="1" applyAlignment="1">
      <alignment horizontal="right" vertical="center" wrapText="1"/>
    </xf>
    <xf numFmtId="164" fontId="1" fillId="3" borderId="44" xfId="0" applyNumberFormat="1" applyFont="1" applyFill="1" applyBorder="1" applyAlignment="1">
      <alignment horizontal="right" vertical="center" wrapText="1"/>
    </xf>
    <xf numFmtId="164" fontId="1" fillId="4" borderId="40" xfId="0" applyNumberFormat="1" applyFont="1" applyFill="1" applyBorder="1" applyAlignment="1">
      <alignment horizontal="right" vertical="center" wrapText="1"/>
    </xf>
    <xf numFmtId="164" fontId="1" fillId="4" borderId="44" xfId="0" applyNumberFormat="1" applyFont="1" applyFill="1" applyBorder="1" applyAlignment="1">
      <alignment horizontal="right" vertical="center" wrapText="1"/>
    </xf>
    <xf numFmtId="164" fontId="1" fillId="3" borderId="66" xfId="0" applyNumberFormat="1" applyFont="1" applyFill="1" applyBorder="1" applyAlignment="1">
      <alignment horizontal="right" vertical="center" wrapText="1"/>
    </xf>
    <xf numFmtId="164" fontId="1" fillId="4" borderId="66" xfId="0" applyNumberFormat="1" applyFont="1" applyFill="1" applyBorder="1" applyAlignment="1">
      <alignment horizontal="right" vertical="center" wrapText="1"/>
    </xf>
    <xf numFmtId="164" fontId="1" fillId="3" borderId="42" xfId="0" applyNumberFormat="1" applyFont="1" applyFill="1" applyBorder="1" applyAlignment="1">
      <alignment horizontal="right" vertical="center" wrapText="1"/>
    </xf>
    <xf numFmtId="164" fontId="1" fillId="3" borderId="45" xfId="0" applyNumberFormat="1" applyFont="1" applyFill="1" applyBorder="1" applyAlignment="1">
      <alignment horizontal="right" vertical="center" wrapText="1"/>
    </xf>
    <xf numFmtId="164" fontId="1" fillId="4" borderId="42" xfId="0" applyNumberFormat="1" applyFont="1" applyFill="1" applyBorder="1" applyAlignment="1">
      <alignment horizontal="right" vertical="center" wrapText="1"/>
    </xf>
    <xf numFmtId="164" fontId="1" fillId="4" borderId="45" xfId="0" applyNumberFormat="1" applyFont="1" applyFill="1" applyBorder="1" applyAlignment="1">
      <alignment horizontal="right" vertical="center" wrapText="1"/>
    </xf>
    <xf numFmtId="0" fontId="2" fillId="16" borderId="51" xfId="0" applyNumberFormat="1" applyFont="1" applyFill="1" applyBorder="1" applyAlignment="1">
      <alignment horizontal="center" vertical="center" wrapText="1"/>
    </xf>
    <xf numFmtId="0" fontId="2" fillId="16" borderId="47" xfId="0" applyNumberFormat="1" applyFont="1" applyFill="1" applyBorder="1" applyAlignment="1">
      <alignment horizontal="center" vertical="center" wrapText="1"/>
    </xf>
    <xf numFmtId="0" fontId="3" fillId="16" borderId="18" xfId="0" applyNumberFormat="1" applyFont="1" applyFill="1" applyBorder="1" applyAlignment="1">
      <alignment horizontal="center" vertical="center" wrapText="1"/>
    </xf>
    <xf numFmtId="164" fontId="1" fillId="11" borderId="40" xfId="0" applyNumberFormat="1" applyFont="1" applyFill="1" applyBorder="1" applyAlignment="1">
      <alignment horizontal="right" vertical="center" wrapText="1"/>
    </xf>
    <xf numFmtId="164" fontId="1" fillId="11" borderId="44" xfId="0" applyNumberFormat="1" applyFont="1" applyFill="1" applyBorder="1" applyAlignment="1">
      <alignment horizontal="right" vertical="center" wrapText="1"/>
    </xf>
    <xf numFmtId="164" fontId="1" fillId="11" borderId="66" xfId="0" applyNumberFormat="1" applyFont="1" applyFill="1" applyBorder="1" applyAlignment="1">
      <alignment horizontal="right" vertical="center" wrapText="1"/>
    </xf>
    <xf numFmtId="164" fontId="1" fillId="11" borderId="42" xfId="0" applyNumberFormat="1" applyFont="1" applyFill="1" applyBorder="1" applyAlignment="1">
      <alignment horizontal="right" vertical="center" wrapText="1"/>
    </xf>
    <xf numFmtId="164" fontId="1" fillId="11" borderId="4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165" fontId="8" fillId="6" borderId="48" xfId="0" applyNumberFormat="1" applyFont="1" applyFill="1" applyBorder="1" applyAlignment="1">
      <alignment horizontal="right" vertical="center" wrapText="1"/>
    </xf>
    <xf numFmtId="165" fontId="8" fillId="6" borderId="54" xfId="2" applyNumberFormat="1" applyFont="1" applyFill="1" applyBorder="1" applyAlignment="1">
      <alignment horizontal="right" vertical="center" wrapText="1"/>
    </xf>
    <xf numFmtId="165" fontId="2" fillId="6" borderId="48" xfId="0" applyNumberFormat="1" applyFont="1" applyFill="1" applyBorder="1" applyAlignment="1">
      <alignment horizontal="right" vertical="center" wrapText="1"/>
    </xf>
    <xf numFmtId="165" fontId="2" fillId="6" borderId="54" xfId="2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9" fillId="16" borderId="20" xfId="0" applyNumberFormat="1" applyFont="1" applyFill="1" applyBorder="1" applyAlignment="1">
      <alignment horizontal="center" vertical="center" wrapText="1"/>
    </xf>
    <xf numFmtId="0" fontId="9" fillId="16" borderId="21" xfId="0" applyNumberFormat="1" applyFont="1" applyFill="1" applyBorder="1" applyAlignment="1">
      <alignment horizontal="center" vertical="center" wrapText="1"/>
    </xf>
    <xf numFmtId="0" fontId="9" fillId="16" borderId="1" xfId="0" applyNumberFormat="1" applyFont="1" applyFill="1" applyBorder="1" applyAlignment="1">
      <alignment horizontal="center" vertical="center" wrapText="1"/>
    </xf>
    <xf numFmtId="0" fontId="2" fillId="16" borderId="22" xfId="0" applyNumberFormat="1" applyFont="1" applyFill="1" applyBorder="1" applyAlignment="1">
      <alignment horizontal="center" vertical="center" wrapText="1"/>
    </xf>
    <xf numFmtId="0" fontId="2" fillId="16" borderId="17" xfId="0" applyNumberFormat="1" applyFont="1" applyFill="1" applyBorder="1" applyAlignment="1">
      <alignment horizontal="center" vertical="center" wrapText="1"/>
    </xf>
    <xf numFmtId="0" fontId="2" fillId="16" borderId="5" xfId="0" applyNumberFormat="1" applyFont="1" applyFill="1" applyBorder="1" applyAlignment="1">
      <alignment horizontal="center" vertical="center" wrapText="1"/>
    </xf>
    <xf numFmtId="0" fontId="3" fillId="16" borderId="23" xfId="0" applyNumberFormat="1" applyFont="1" applyFill="1" applyBorder="1" applyAlignment="1">
      <alignment horizontal="center" vertical="center" wrapText="1"/>
    </xf>
    <xf numFmtId="0" fontId="1" fillId="16" borderId="21" xfId="0" applyNumberFormat="1" applyFont="1" applyFill="1" applyBorder="1" applyAlignment="1">
      <alignment horizontal="center" vertical="center" wrapText="1"/>
    </xf>
    <xf numFmtId="0" fontId="1" fillId="16" borderId="25" xfId="0" applyNumberFormat="1" applyFont="1" applyFill="1" applyBorder="1" applyAlignment="1">
      <alignment horizontal="center" vertical="center" wrapText="1"/>
    </xf>
    <xf numFmtId="3" fontId="2" fillId="16" borderId="30" xfId="0" applyNumberFormat="1" applyFont="1" applyFill="1" applyBorder="1" applyAlignment="1">
      <alignment horizontal="right" vertical="center" wrapText="1"/>
    </xf>
    <xf numFmtId="3" fontId="2" fillId="16" borderId="29" xfId="0" applyNumberFormat="1" applyFont="1" applyFill="1" applyBorder="1" applyAlignment="1">
      <alignment horizontal="right" vertical="center" wrapText="1"/>
    </xf>
    <xf numFmtId="4" fontId="1" fillId="19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24" fillId="10" borderId="0" xfId="0" applyFont="1" applyFill="1" applyAlignment="1">
      <alignment horizontal="center" vertical="center" wrapText="1"/>
    </xf>
    <xf numFmtId="0" fontId="24" fillId="10" borderId="0" xfId="0" applyFont="1" applyFill="1" applyAlignment="1">
      <alignment vertical="center" wrapText="1"/>
    </xf>
    <xf numFmtId="0" fontId="2" fillId="22" borderId="40" xfId="0" applyFont="1" applyFill="1" applyBorder="1" applyAlignment="1">
      <alignment vertical="center" wrapText="1"/>
    </xf>
    <xf numFmtId="0" fontId="1" fillId="22" borderId="41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" fillId="22" borderId="0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 wrapText="1"/>
    </xf>
    <xf numFmtId="3" fontId="5" fillId="19" borderId="1" xfId="0" applyNumberFormat="1" applyFont="1" applyFill="1" applyBorder="1" applyAlignment="1">
      <alignment vertical="center" wrapText="1"/>
    </xf>
    <xf numFmtId="0" fontId="1" fillId="22" borderId="0" xfId="0" applyFont="1" applyFill="1" applyAlignment="1">
      <alignment vertical="center" wrapText="1"/>
    </xf>
    <xf numFmtId="3" fontId="5" fillId="0" borderId="0" xfId="0" applyNumberFormat="1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 wrapText="1"/>
    </xf>
    <xf numFmtId="0" fontId="13" fillId="22" borderId="40" xfId="0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0" fontId="2" fillId="22" borderId="0" xfId="0" applyFont="1" applyFill="1" applyAlignment="1">
      <alignment vertical="center"/>
    </xf>
    <xf numFmtId="0" fontId="25" fillId="0" borderId="0" xfId="0" applyFont="1" applyFill="1" applyAlignment="1">
      <alignment vertical="center" wrapText="1"/>
    </xf>
    <xf numFmtId="166" fontId="2" fillId="21" borderId="0" xfId="0" applyNumberFormat="1" applyFont="1" applyFill="1" applyBorder="1" applyAlignment="1">
      <alignment horizontal="center" vertical="center" wrapText="1"/>
    </xf>
    <xf numFmtId="167" fontId="2" fillId="21" borderId="0" xfId="0" applyNumberFormat="1" applyFont="1" applyFill="1" applyBorder="1" applyAlignment="1" applyProtection="1">
      <alignment horizontal="left" vertical="center" wrapText="1"/>
      <protection locked="0"/>
    </xf>
    <xf numFmtId="167" fontId="1" fillId="13" borderId="0" xfId="0" applyNumberFormat="1" applyFont="1" applyFill="1" applyBorder="1" applyAlignment="1" applyProtection="1">
      <alignment horizontal="left" vertical="center" wrapText="1"/>
      <protection locked="0"/>
    </xf>
    <xf numFmtId="3" fontId="1" fillId="13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13" borderId="0" xfId="0" applyFont="1" applyFill="1" applyBorder="1" applyAlignment="1">
      <alignment horizontal="right" vertical="center" wrapText="1"/>
    </xf>
    <xf numFmtId="167" fontId="1" fillId="13" borderId="0" xfId="0" applyNumberFormat="1" applyFont="1" applyFill="1" applyBorder="1" applyAlignment="1" applyProtection="1">
      <alignment horizontal="right" vertical="center" wrapText="1"/>
      <protection locked="0"/>
    </xf>
    <xf numFmtId="169" fontId="1" fillId="13" borderId="0" xfId="0" applyNumberFormat="1" applyFont="1" applyFill="1" applyBorder="1" applyAlignment="1" applyProtection="1">
      <alignment horizontal="center" vertical="center" wrapText="1"/>
      <protection locked="0"/>
    </xf>
    <xf numFmtId="3" fontId="2" fillId="21" borderId="0" xfId="0" applyNumberFormat="1" applyFont="1" applyFill="1" applyBorder="1" applyAlignment="1" applyProtection="1">
      <alignment horizontal="center" vertical="center" wrapText="1"/>
      <protection locked="0"/>
    </xf>
    <xf numFmtId="0" fontId="17" fillId="10" borderId="0" xfId="0" applyFont="1" applyFill="1" applyAlignment="1">
      <alignment horizontal="left" vertical="center" wrapText="1"/>
    </xf>
    <xf numFmtId="0" fontId="8" fillId="21" borderId="1" xfId="0" applyFont="1" applyFill="1" applyBorder="1" applyAlignment="1">
      <alignment horizontal="center" vertical="center" wrapText="1"/>
    </xf>
    <xf numFmtId="168" fontId="1" fillId="21" borderId="1" xfId="0" applyNumberFormat="1" applyFont="1" applyFill="1" applyBorder="1" applyAlignment="1">
      <alignment horizontal="right" vertical="center" wrapText="1"/>
    </xf>
    <xf numFmtId="168" fontId="2" fillId="21" borderId="1" xfId="0" applyNumberFormat="1" applyFont="1" applyFill="1" applyBorder="1" applyAlignment="1">
      <alignment horizontal="right" vertical="center" wrapText="1"/>
    </xf>
    <xf numFmtId="0" fontId="2" fillId="21" borderId="1" xfId="0" applyFont="1" applyFill="1" applyBorder="1" applyAlignment="1">
      <alignment horizontal="center" vertical="center" wrapText="1"/>
    </xf>
    <xf numFmtId="3" fontId="2" fillId="21" borderId="1" xfId="0" applyNumberFormat="1" applyFont="1" applyFill="1" applyBorder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2" fillId="2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1" fillId="19" borderId="0" xfId="0" applyNumberFormat="1" applyFont="1" applyFill="1" applyBorder="1" applyAlignment="1">
      <alignment horizontal="right" vertical="center" wrapText="1"/>
    </xf>
    <xf numFmtId="0" fontId="25" fillId="10" borderId="0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21" borderId="0" xfId="0" applyFont="1" applyFill="1" applyAlignment="1">
      <alignment vertical="center" wrapText="1"/>
    </xf>
    <xf numFmtId="0" fontId="4" fillId="13" borderId="0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vertical="center" wrapText="1"/>
    </xf>
    <xf numFmtId="167" fontId="2" fillId="8" borderId="14" xfId="0" applyNumberFormat="1" applyFont="1" applyFill="1" applyBorder="1" applyAlignment="1" applyProtection="1">
      <alignment horizontal="right" vertical="center" wrapText="1"/>
      <protection locked="0"/>
    </xf>
    <xf numFmtId="0" fontId="2" fillId="7" borderId="0" xfId="0" applyFont="1" applyFill="1" applyAlignment="1">
      <alignment vertical="center" wrapText="1"/>
    </xf>
    <xf numFmtId="3" fontId="13" fillId="0" borderId="1" xfId="0" applyNumberFormat="1" applyFont="1" applyFill="1" applyBorder="1" applyAlignment="1">
      <alignment vertical="center" wrapText="1"/>
    </xf>
    <xf numFmtId="164" fontId="13" fillId="0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5" fillId="10" borderId="0" xfId="0" applyFont="1" applyFill="1" applyBorder="1" applyAlignment="1">
      <alignment vertical="center"/>
    </xf>
    <xf numFmtId="4" fontId="1" fillId="10" borderId="35" xfId="0" applyNumberFormat="1" applyFont="1" applyFill="1" applyBorder="1" applyAlignment="1">
      <alignment horizontal="right" vertical="center" wrapText="1"/>
    </xf>
    <xf numFmtId="4" fontId="1" fillId="10" borderId="4" xfId="0" applyNumberFormat="1" applyFont="1" applyFill="1" applyBorder="1" applyAlignment="1">
      <alignment horizontal="right" vertical="center" wrapText="1"/>
    </xf>
    <xf numFmtId="4" fontId="1" fillId="9" borderId="14" xfId="0" applyNumberFormat="1" applyFont="1" applyFill="1" applyBorder="1" applyAlignment="1" applyProtection="1">
      <alignment horizontal="center" vertical="center" wrapText="1"/>
      <protection locked="0"/>
    </xf>
    <xf numFmtId="3" fontId="1" fillId="2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1" fillId="9" borderId="16" xfId="0" applyNumberFormat="1" applyFont="1" applyFill="1" applyBorder="1" applyAlignment="1" applyProtection="1">
      <alignment horizontal="center" vertical="center" wrapText="1"/>
      <protection locked="0"/>
    </xf>
    <xf numFmtId="4" fontId="1" fillId="9" borderId="15" xfId="0" applyNumberFormat="1" applyFont="1" applyFill="1" applyBorder="1" applyAlignment="1" applyProtection="1">
      <alignment horizontal="center" vertical="center" wrapText="1"/>
      <protection locked="0"/>
    </xf>
    <xf numFmtId="9" fontId="1" fillId="10" borderId="38" xfId="0" applyNumberFormat="1" applyFont="1" applyFill="1" applyBorder="1" applyAlignment="1">
      <alignment horizontal="right" vertical="center" wrapText="1"/>
    </xf>
    <xf numFmtId="9" fontId="1" fillId="10" borderId="28" xfId="0" applyNumberFormat="1" applyFont="1" applyFill="1" applyBorder="1" applyAlignment="1">
      <alignment horizontal="right" vertical="center" wrapText="1"/>
    </xf>
    <xf numFmtId="9" fontId="1" fillId="14" borderId="54" xfId="2" applyNumberFormat="1" applyFont="1" applyFill="1" applyBorder="1" applyAlignment="1">
      <alignment horizontal="right" vertical="center" wrapText="1"/>
    </xf>
    <xf numFmtId="9" fontId="2" fillId="6" borderId="54" xfId="2" applyNumberFormat="1" applyFont="1" applyFill="1" applyBorder="1" applyAlignment="1">
      <alignment horizontal="right" vertical="center" wrapText="1"/>
    </xf>
    <xf numFmtId="9" fontId="4" fillId="14" borderId="54" xfId="2" applyNumberFormat="1" applyFont="1" applyFill="1" applyBorder="1" applyAlignment="1">
      <alignment horizontal="right" vertical="center" wrapText="1"/>
    </xf>
    <xf numFmtId="9" fontId="8" fillId="6" borderId="54" xfId="2" applyNumberFormat="1" applyFont="1" applyFill="1" applyBorder="1" applyAlignment="1">
      <alignment horizontal="right" vertical="center" wrapText="1"/>
    </xf>
    <xf numFmtId="0" fontId="9" fillId="18" borderId="21" xfId="0" applyNumberFormat="1" applyFont="1" applyFill="1" applyBorder="1" applyAlignment="1">
      <alignment horizontal="center" vertical="center" wrapText="1"/>
    </xf>
    <xf numFmtId="0" fontId="9" fillId="18" borderId="1" xfId="0" applyNumberFormat="1" applyFont="1" applyFill="1" applyBorder="1" applyAlignment="1">
      <alignment horizontal="center" vertical="center" wrapText="1"/>
    </xf>
    <xf numFmtId="0" fontId="2" fillId="18" borderId="17" xfId="0" applyNumberFormat="1" applyFont="1" applyFill="1" applyBorder="1" applyAlignment="1">
      <alignment horizontal="center" vertical="center" wrapText="1"/>
    </xf>
    <xf numFmtId="0" fontId="2" fillId="18" borderId="5" xfId="0" applyNumberFormat="1" applyFont="1" applyFill="1" applyBorder="1" applyAlignment="1">
      <alignment horizontal="center" vertical="center" wrapText="1"/>
    </xf>
    <xf numFmtId="0" fontId="3" fillId="18" borderId="18" xfId="0" applyNumberFormat="1" applyFont="1" applyFill="1" applyBorder="1" applyAlignment="1">
      <alignment horizontal="center" vertical="center" wrapText="1"/>
    </xf>
    <xf numFmtId="0" fontId="3" fillId="18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64" fontId="1" fillId="10" borderId="26" xfId="0" applyNumberFormat="1" applyFont="1" applyFill="1" applyBorder="1" applyAlignment="1">
      <alignment horizontal="right" vertical="center" wrapText="1"/>
    </xf>
    <xf numFmtId="164" fontId="1" fillId="10" borderId="28" xfId="0" applyNumberFormat="1" applyFont="1" applyFill="1" applyBorder="1" applyAlignment="1">
      <alignment horizontal="right" vertical="center" wrapText="1"/>
    </xf>
    <xf numFmtId="164" fontId="2" fillId="21" borderId="33" xfId="0" applyNumberFormat="1" applyFont="1" applyFill="1" applyBorder="1" applyAlignment="1">
      <alignment horizontal="right" vertical="center" wrapText="1"/>
    </xf>
    <xf numFmtId="4" fontId="1" fillId="17" borderId="5" xfId="0" applyNumberFormat="1" applyFont="1" applyFill="1" applyBorder="1" applyAlignment="1">
      <alignment horizontal="right" vertical="center" wrapText="1"/>
    </xf>
    <xf numFmtId="4" fontId="1" fillId="17" borderId="4" xfId="0" applyNumberFormat="1" applyFont="1" applyFill="1" applyBorder="1" applyAlignment="1">
      <alignment horizontal="right" vertical="center" wrapText="1"/>
    </xf>
    <xf numFmtId="4" fontId="1" fillId="10" borderId="36" xfId="0" applyNumberFormat="1" applyFont="1" applyFill="1" applyBorder="1" applyAlignment="1">
      <alignment horizontal="right" vertical="center" wrapText="1"/>
    </xf>
    <xf numFmtId="0" fontId="9" fillId="18" borderId="51" xfId="0" applyNumberFormat="1" applyFont="1" applyFill="1" applyBorder="1" applyAlignment="1">
      <alignment horizontal="center" vertical="center" wrapText="1"/>
    </xf>
    <xf numFmtId="0" fontId="9" fillId="18" borderId="69" xfId="0" applyNumberFormat="1" applyFont="1" applyFill="1" applyBorder="1" applyAlignment="1">
      <alignment horizontal="center" vertical="center" wrapText="1"/>
    </xf>
    <xf numFmtId="0" fontId="2" fillId="18" borderId="19" xfId="0" applyNumberFormat="1" applyFont="1" applyFill="1" applyBorder="1" applyAlignment="1">
      <alignment horizontal="center" vertical="center" wrapText="1"/>
    </xf>
    <xf numFmtId="0" fontId="2" fillId="18" borderId="4" xfId="0" applyNumberFormat="1" applyFont="1" applyFill="1" applyBorder="1" applyAlignment="1">
      <alignment horizontal="center" vertical="center" wrapText="1"/>
    </xf>
    <xf numFmtId="4" fontId="2" fillId="18" borderId="30" xfId="0" applyNumberFormat="1" applyFont="1" applyFill="1" applyBorder="1" applyAlignment="1">
      <alignment horizontal="right" vertical="center" wrapText="1"/>
    </xf>
    <xf numFmtId="4" fontId="1" fillId="17" borderId="69" xfId="0" applyNumberFormat="1" applyFont="1" applyFill="1" applyBorder="1" applyAlignment="1">
      <alignment horizontal="right" vertical="center" wrapText="1"/>
    </xf>
    <xf numFmtId="4" fontId="1" fillId="17" borderId="66" xfId="0" applyNumberFormat="1" applyFont="1" applyFill="1" applyBorder="1" applyAlignment="1">
      <alignment horizontal="right" vertical="center" wrapText="1"/>
    </xf>
    <xf numFmtId="4" fontId="1" fillId="17" borderId="46" xfId="0" applyNumberFormat="1" applyFont="1" applyFill="1" applyBorder="1" applyAlignment="1">
      <alignment horizontal="right" vertical="center" wrapText="1"/>
    </xf>
    <xf numFmtId="0" fontId="9" fillId="18" borderId="35" xfId="0" applyNumberFormat="1" applyFont="1" applyFill="1" applyBorder="1" applyAlignment="1">
      <alignment horizontal="center" vertical="center" wrapText="1"/>
    </xf>
    <xf numFmtId="0" fontId="3" fillId="8" borderId="70" xfId="0" applyNumberFormat="1" applyFont="1" applyFill="1" applyBorder="1" applyAlignment="1">
      <alignment horizontal="center" vertical="center" wrapText="1"/>
    </xf>
    <xf numFmtId="0" fontId="3" fillId="7" borderId="70" xfId="0" applyNumberFormat="1" applyFont="1" applyFill="1" applyBorder="1" applyAlignment="1">
      <alignment horizontal="center" vertical="center" wrapText="1"/>
    </xf>
    <xf numFmtId="0" fontId="3" fillId="16" borderId="70" xfId="0" applyNumberFormat="1" applyFont="1" applyFill="1" applyBorder="1" applyAlignment="1">
      <alignment horizontal="center" vertical="center" wrapText="1"/>
    </xf>
    <xf numFmtId="4" fontId="1" fillId="17" borderId="42" xfId="0" applyNumberFormat="1" applyFont="1" applyFill="1" applyBorder="1" applyAlignment="1">
      <alignment horizontal="right" vertical="center" wrapText="1"/>
    </xf>
    <xf numFmtId="4" fontId="1" fillId="17" borderId="45" xfId="0" applyNumberFormat="1" applyFont="1" applyFill="1" applyBorder="1" applyAlignment="1">
      <alignment horizontal="right" vertical="center" wrapText="1"/>
    </xf>
    <xf numFmtId="0" fontId="9" fillId="18" borderId="64" xfId="0" applyNumberFormat="1" applyFont="1" applyFill="1" applyBorder="1" applyAlignment="1">
      <alignment horizontal="center" vertical="center" wrapText="1"/>
    </xf>
    <xf numFmtId="4" fontId="1" fillId="17" borderId="65" xfId="0" applyNumberFormat="1" applyFont="1" applyFill="1" applyBorder="1" applyAlignment="1">
      <alignment horizontal="right" vertical="center" wrapText="1"/>
    </xf>
    <xf numFmtId="4" fontId="1" fillId="17" borderId="70" xfId="0" applyNumberFormat="1" applyFont="1" applyFill="1" applyBorder="1" applyAlignment="1">
      <alignment horizontal="right" vertical="center" wrapText="1"/>
    </xf>
    <xf numFmtId="165" fontId="1" fillId="14" borderId="58" xfId="2" applyNumberFormat="1" applyFont="1" applyFill="1" applyBorder="1" applyAlignment="1">
      <alignment horizontal="right" vertical="center" wrapText="1"/>
    </xf>
    <xf numFmtId="0" fontId="2" fillId="18" borderId="71" xfId="0" applyNumberFormat="1" applyFont="1" applyFill="1" applyBorder="1" applyAlignment="1">
      <alignment horizontal="center" vertical="center" wrapText="1"/>
    </xf>
    <xf numFmtId="0" fontId="2" fillId="18" borderId="30" xfId="0" applyNumberFormat="1" applyFont="1" applyFill="1" applyBorder="1" applyAlignment="1">
      <alignment horizontal="center" vertical="center" wrapText="1"/>
    </xf>
    <xf numFmtId="0" fontId="3" fillId="6" borderId="72" xfId="0" applyNumberFormat="1" applyFont="1" applyFill="1" applyBorder="1" applyAlignment="1">
      <alignment horizontal="center" vertical="center" wrapText="1"/>
    </xf>
    <xf numFmtId="167" fontId="5" fillId="0" borderId="14" xfId="0" applyNumberFormat="1" applyFont="1" applyFill="1" applyBorder="1" applyAlignment="1" applyProtection="1">
      <alignment horizontal="left" vertical="center" wrapText="1"/>
      <protection locked="0"/>
    </xf>
    <xf numFmtId="4" fontId="5" fillId="19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167" fontId="4" fillId="0" borderId="14" xfId="0" applyNumberFormat="1" applyFont="1" applyFill="1" applyBorder="1" applyAlignment="1" applyProtection="1">
      <alignment horizontal="left" vertical="center" wrapText="1"/>
      <protection locked="0"/>
    </xf>
    <xf numFmtId="4" fontId="4" fillId="19" borderId="1" xfId="0" applyNumberFormat="1" applyFont="1" applyFill="1" applyBorder="1" applyAlignment="1">
      <alignment vertical="center" wrapText="1"/>
    </xf>
    <xf numFmtId="4" fontId="2" fillId="8" borderId="16" xfId="0" applyNumberFormat="1" applyFont="1" applyFill="1" applyBorder="1" applyAlignment="1" applyProtection="1">
      <alignment horizontal="center" vertical="center" wrapText="1"/>
      <protection locked="0"/>
    </xf>
    <xf numFmtId="4" fontId="2" fillId="8" borderId="14" xfId="0" applyNumberFormat="1" applyFont="1" applyFill="1" applyBorder="1" applyAlignment="1" applyProtection="1">
      <alignment horizontal="center" vertical="center" wrapText="1"/>
      <protection locked="0"/>
    </xf>
    <xf numFmtId="4" fontId="2" fillId="8" borderId="15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6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4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5" xfId="0" applyNumberFormat="1" applyFont="1" applyFill="1" applyBorder="1" applyAlignment="1" applyProtection="1">
      <alignment horizontal="center" vertical="center" wrapText="1"/>
      <protection locked="0"/>
    </xf>
    <xf numFmtId="3" fontId="1" fillId="4" borderId="5" xfId="0" applyNumberFormat="1" applyFont="1" applyFill="1" applyBorder="1" applyAlignment="1">
      <alignment horizontal="right" vertical="center" wrapText="1"/>
    </xf>
    <xf numFmtId="3" fontId="1" fillId="4" borderId="69" xfId="0" applyNumberFormat="1" applyFont="1" applyFill="1" applyBorder="1" applyAlignment="1">
      <alignment horizontal="right" vertical="center" wrapText="1"/>
    </xf>
    <xf numFmtId="3" fontId="1" fillId="4" borderId="4" xfId="0" applyNumberFormat="1" applyFont="1" applyFill="1" applyBorder="1" applyAlignment="1">
      <alignment horizontal="right" vertical="center" wrapText="1"/>
    </xf>
    <xf numFmtId="3" fontId="2" fillId="7" borderId="30" xfId="0" applyNumberFormat="1" applyFont="1" applyFill="1" applyBorder="1" applyAlignment="1">
      <alignment horizontal="right" vertical="center" wrapText="1"/>
    </xf>
    <xf numFmtId="3" fontId="1" fillId="4" borderId="35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center"/>
    </xf>
    <xf numFmtId="9" fontId="1" fillId="10" borderId="26" xfId="0" applyNumberFormat="1" applyFont="1" applyFill="1" applyBorder="1" applyAlignment="1">
      <alignment horizontal="right" vertical="center" wrapText="1"/>
    </xf>
    <xf numFmtId="9" fontId="2" fillId="21" borderId="33" xfId="0" applyNumberFormat="1" applyFont="1" applyFill="1" applyBorder="1" applyAlignment="1">
      <alignment horizontal="right" vertical="center" wrapText="1"/>
    </xf>
    <xf numFmtId="0" fontId="1" fillId="8" borderId="25" xfId="0" applyNumberFormat="1" applyFont="1" applyFill="1" applyBorder="1" applyAlignment="1">
      <alignment horizontal="center" vertical="center" wrapText="1"/>
    </xf>
    <xf numFmtId="0" fontId="1" fillId="7" borderId="25" xfId="0" applyNumberFormat="1" applyFont="1" applyFill="1" applyBorder="1" applyAlignment="1">
      <alignment horizontal="center" vertical="center" wrapText="1"/>
    </xf>
    <xf numFmtId="166" fontId="13" fillId="18" borderId="14" xfId="0" applyNumberFormat="1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vertical="center" wrapText="1"/>
    </xf>
    <xf numFmtId="0" fontId="2" fillId="18" borderId="0" xfId="0" applyFont="1" applyFill="1" applyAlignment="1">
      <alignment vertical="center" wrapText="1"/>
    </xf>
    <xf numFmtId="164" fontId="1" fillId="19" borderId="11" xfId="0" applyNumberFormat="1" applyFont="1" applyFill="1" applyBorder="1" applyAlignment="1">
      <alignment horizontal="right" vertical="center" wrapText="1"/>
    </xf>
    <xf numFmtId="164" fontId="1" fillId="19" borderId="10" xfId="0" applyNumberFormat="1" applyFont="1" applyFill="1" applyBorder="1" applyAlignment="1">
      <alignment horizontal="right" vertical="center" wrapText="1"/>
    </xf>
    <xf numFmtId="164" fontId="2" fillId="2" borderId="32" xfId="0" applyNumberFormat="1" applyFont="1" applyFill="1" applyBorder="1" applyAlignment="1">
      <alignment horizontal="right" vertical="center" wrapText="1"/>
    </xf>
    <xf numFmtId="164" fontId="1" fillId="19" borderId="37" xfId="0" applyNumberFormat="1" applyFont="1" applyFill="1" applyBorder="1" applyAlignment="1">
      <alignment horizontal="right" vertical="center" wrapText="1"/>
    </xf>
    <xf numFmtId="3" fontId="1" fillId="11" borderId="53" xfId="0" applyNumberFormat="1" applyFont="1" applyFill="1" applyBorder="1" applyAlignment="1">
      <alignment horizontal="right" vertical="center" wrapText="1"/>
    </xf>
    <xf numFmtId="3" fontId="1" fillId="11" borderId="46" xfId="0" applyNumberFormat="1" applyFont="1" applyFill="1" applyBorder="1" applyAlignment="1">
      <alignment horizontal="right" vertical="center" wrapText="1"/>
    </xf>
    <xf numFmtId="3" fontId="2" fillId="16" borderId="53" xfId="0" applyNumberFormat="1" applyFont="1" applyFill="1" applyBorder="1" applyAlignment="1">
      <alignment horizontal="right" vertical="center" wrapText="1"/>
    </xf>
    <xf numFmtId="3" fontId="2" fillId="16" borderId="46" xfId="0" applyNumberFormat="1" applyFont="1" applyFill="1" applyBorder="1" applyAlignment="1">
      <alignment horizontal="right" vertical="center" wrapText="1"/>
    </xf>
    <xf numFmtId="3" fontId="4" fillId="11" borderId="53" xfId="0" applyNumberFormat="1" applyFont="1" applyFill="1" applyBorder="1" applyAlignment="1">
      <alignment horizontal="right" vertical="center" wrapText="1"/>
    </xf>
    <xf numFmtId="3" fontId="4" fillId="11" borderId="46" xfId="0" applyNumberFormat="1" applyFont="1" applyFill="1" applyBorder="1" applyAlignment="1">
      <alignment horizontal="right" vertical="center" wrapText="1"/>
    </xf>
    <xf numFmtId="3" fontId="8" fillId="16" borderId="53" xfId="0" applyNumberFormat="1" applyFont="1" applyFill="1" applyBorder="1" applyAlignment="1">
      <alignment horizontal="right" vertical="center" wrapText="1"/>
    </xf>
    <xf numFmtId="3" fontId="8" fillId="16" borderId="46" xfId="0" applyNumberFormat="1" applyFont="1" applyFill="1" applyBorder="1" applyAlignment="1">
      <alignment horizontal="right" vertical="center" wrapText="1"/>
    </xf>
    <xf numFmtId="4" fontId="1" fillId="17" borderId="53" xfId="0" applyNumberFormat="1" applyFont="1" applyFill="1" applyBorder="1" applyAlignment="1">
      <alignment horizontal="right" vertical="center" wrapText="1"/>
    </xf>
    <xf numFmtId="4" fontId="1" fillId="17" borderId="51" xfId="0" applyNumberFormat="1" applyFont="1" applyFill="1" applyBorder="1" applyAlignment="1">
      <alignment horizontal="right" vertical="center" wrapText="1"/>
    </xf>
    <xf numFmtId="164" fontId="1" fillId="19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18" borderId="0" xfId="0" applyFont="1" applyFill="1" applyAlignment="1">
      <alignment horizontal="center" vertical="center" wrapText="1"/>
    </xf>
    <xf numFmtId="0" fontId="9" fillId="18" borderId="9" xfId="0" applyNumberFormat="1" applyFont="1" applyFill="1" applyBorder="1" applyAlignment="1">
      <alignment horizontal="center" vertical="center" wrapText="1"/>
    </xf>
    <xf numFmtId="0" fontId="9" fillId="18" borderId="25" xfId="0" applyNumberFormat="1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vertical="center" wrapText="1"/>
    </xf>
    <xf numFmtId="0" fontId="5" fillId="24" borderId="1" xfId="0" applyFont="1" applyFill="1" applyBorder="1" applyAlignment="1">
      <alignment vertical="center" wrapText="1"/>
    </xf>
    <xf numFmtId="9" fontId="1" fillId="24" borderId="1" xfId="2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9" fontId="2" fillId="22" borderId="1" xfId="2" applyFont="1" applyFill="1" applyBorder="1" applyAlignment="1">
      <alignment vertical="center" wrapText="1"/>
    </xf>
    <xf numFmtId="0" fontId="1" fillId="22" borderId="69" xfId="0" applyFont="1" applyFill="1" applyBorder="1" applyAlignment="1">
      <alignment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2" fillId="22" borderId="26" xfId="0" applyFont="1" applyFill="1" applyBorder="1" applyAlignment="1">
      <alignment horizontal="center" vertical="center" wrapText="1"/>
    </xf>
    <xf numFmtId="0" fontId="1" fillId="22" borderId="70" xfId="0" applyFont="1" applyFill="1" applyBorder="1" applyAlignment="1">
      <alignment vertical="center" wrapText="1"/>
    </xf>
    <xf numFmtId="0" fontId="3" fillId="22" borderId="6" xfId="0" applyFont="1" applyFill="1" applyBorder="1" applyAlignment="1">
      <alignment horizontal="center" vertical="center" wrapText="1"/>
    </xf>
    <xf numFmtId="0" fontId="3" fillId="22" borderId="27" xfId="0" applyFont="1" applyFill="1" applyBorder="1" applyAlignment="1">
      <alignment horizontal="center" vertical="center" wrapText="1"/>
    </xf>
    <xf numFmtId="164" fontId="1" fillId="19" borderId="5" xfId="0" applyNumberFormat="1" applyFont="1" applyFill="1" applyBorder="1" applyAlignment="1">
      <alignment horizontal="right" vertical="center" wrapText="1"/>
    </xf>
    <xf numFmtId="164" fontId="1" fillId="19" borderId="4" xfId="0" applyNumberFormat="1" applyFont="1" applyFill="1" applyBorder="1" applyAlignment="1">
      <alignment horizontal="right" vertical="center" wrapText="1"/>
    </xf>
    <xf numFmtId="164" fontId="2" fillId="2" borderId="30" xfId="0" applyNumberFormat="1" applyFont="1" applyFill="1" applyBorder="1" applyAlignment="1">
      <alignment horizontal="right" vertical="center" wrapText="1"/>
    </xf>
    <xf numFmtId="164" fontId="1" fillId="19" borderId="35" xfId="0" applyNumberFormat="1" applyFont="1" applyFill="1" applyBorder="1" applyAlignment="1">
      <alignment horizontal="right" vertical="center" wrapText="1"/>
    </xf>
    <xf numFmtId="0" fontId="14" fillId="22" borderId="3" xfId="0" applyFont="1" applyFill="1" applyBorder="1" applyAlignment="1">
      <alignment horizontal="center" vertical="center" wrapText="1"/>
    </xf>
    <xf numFmtId="0" fontId="14" fillId="22" borderId="39" xfId="0" applyFont="1" applyFill="1" applyBorder="1" applyAlignment="1">
      <alignment horizontal="center"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24" fillId="10" borderId="0" xfId="0" applyFont="1" applyFill="1" applyAlignment="1">
      <alignment horizontal="center" vertical="center" wrapText="1"/>
    </xf>
    <xf numFmtId="0" fontId="2" fillId="2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2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7">
    <cellStyle name="Lien hypertexte" xfId="1" builtinId="8"/>
    <cellStyle name="Normal" xfId="0" builtinId="0"/>
    <cellStyle name="Normal 2" xfId="3"/>
    <cellStyle name="Pourcentage" xfId="2" builtinId="5"/>
    <cellStyle name="Titre 1 2" xfId="4"/>
    <cellStyle name="Titre 2 2" xfId="5"/>
    <cellStyle name="Titre 4 2" xfId="6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93"/>
  <sheetViews>
    <sheetView topLeftCell="D10" zoomScaleNormal="100" workbookViewId="0">
      <selection activeCell="B68" sqref="B68:P68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6" width="12.7109375" style="18" customWidth="1"/>
    <col min="17" max="17" width="12.7109375" style="26" customWidth="1"/>
    <col min="18" max="19" width="10.7109375" style="18" customWidth="1"/>
    <col min="20" max="16384" width="15.7109375" style="18"/>
  </cols>
  <sheetData>
    <row r="1" spans="1:24" ht="30" customHeight="1" thickBot="1" x14ac:dyDescent="0.3">
      <c r="A1" s="465" t="str">
        <f>CONCATENATE("ENCERTICUS - ",B4," - ",B5," - ",B7)</f>
        <v>ENCERTICUS - Entrée Logiciel - 2014 - S23</v>
      </c>
      <c r="B1" s="466"/>
      <c r="C1" s="466"/>
      <c r="D1" s="467"/>
      <c r="E1" s="25"/>
      <c r="F1" s="185" t="s">
        <v>73</v>
      </c>
      <c r="G1" s="111" t="s">
        <v>76</v>
      </c>
      <c r="H1" s="25"/>
      <c r="I1" s="25"/>
      <c r="T1" s="468" t="s">
        <v>135</v>
      </c>
      <c r="U1" s="468"/>
      <c r="V1" s="468"/>
      <c r="W1" s="468"/>
      <c r="X1" s="468"/>
    </row>
    <row r="2" spans="1:24" ht="13.5" thickBot="1" x14ac:dyDescent="0.3">
      <c r="E2" s="23"/>
      <c r="F2" s="13"/>
      <c r="G2" s="102"/>
      <c r="H2" s="13"/>
      <c r="I2" s="25"/>
      <c r="K2" s="186">
        <v>3</v>
      </c>
      <c r="L2" s="186">
        <v>4</v>
      </c>
      <c r="M2" s="186">
        <v>5</v>
      </c>
      <c r="N2" s="186">
        <v>6</v>
      </c>
      <c r="O2" s="186">
        <v>7</v>
      </c>
      <c r="P2" s="186">
        <v>8</v>
      </c>
      <c r="Q2" s="186"/>
      <c r="T2" s="186" t="s">
        <v>35</v>
      </c>
      <c r="U2" s="186" t="s">
        <v>36</v>
      </c>
      <c r="V2" s="186" t="s">
        <v>30</v>
      </c>
      <c r="W2" s="186" t="s">
        <v>151</v>
      </c>
      <c r="X2" s="186"/>
    </row>
    <row r="3" spans="1:24" ht="25.5" x14ac:dyDescent="0.25">
      <c r="A3" s="305" t="s">
        <v>9</v>
      </c>
      <c r="B3" s="306" t="s">
        <v>10</v>
      </c>
      <c r="C3" s="329"/>
      <c r="I3" s="333" t="s">
        <v>262</v>
      </c>
      <c r="J3" s="330" t="s">
        <v>174</v>
      </c>
      <c r="K3" s="333" t="s">
        <v>172</v>
      </c>
      <c r="L3" s="333" t="s">
        <v>156</v>
      </c>
      <c r="M3" s="333" t="s">
        <v>157</v>
      </c>
      <c r="N3" s="333" t="s">
        <v>154</v>
      </c>
      <c r="O3" s="333" t="s">
        <v>155</v>
      </c>
      <c r="P3" s="333" t="s">
        <v>173</v>
      </c>
      <c r="Q3" s="333" t="s">
        <v>246</v>
      </c>
      <c r="T3" s="186">
        <v>2011</v>
      </c>
      <c r="U3" s="186" t="s">
        <v>41</v>
      </c>
      <c r="V3" s="186" t="s">
        <v>16</v>
      </c>
      <c r="W3" s="186">
        <v>3</v>
      </c>
      <c r="X3" s="186"/>
    </row>
    <row r="4" spans="1:24" x14ac:dyDescent="0.25">
      <c r="A4" s="96" t="s">
        <v>11</v>
      </c>
      <c r="B4" s="97" t="s">
        <v>75</v>
      </c>
      <c r="C4" s="329"/>
      <c r="E4" s="470" t="str">
        <f>CONCATENATE("DJU Annuel Moyen")</f>
        <v>DJU Annuel Moyen</v>
      </c>
      <c r="F4" s="470"/>
      <c r="G4" s="335">
        <f>'1_REFERENCE'!G4</f>
        <v>1519.8666666666668</v>
      </c>
      <c r="I4" s="359">
        <f>AVERAGE(K4:M4)</f>
        <v>335.36666666666662</v>
      </c>
      <c r="J4" s="331" t="s">
        <v>41</v>
      </c>
      <c r="K4" s="194">
        <v>339.1</v>
      </c>
      <c r="L4" s="194">
        <v>302.7</v>
      </c>
      <c r="M4" s="194">
        <v>364.3</v>
      </c>
      <c r="N4" s="312">
        <v>302.7</v>
      </c>
      <c r="O4" s="194"/>
      <c r="P4" s="194"/>
      <c r="Q4" s="194"/>
      <c r="R4" s="186">
        <v>3</v>
      </c>
      <c r="T4" s="186">
        <v>2012</v>
      </c>
      <c r="U4" s="186" t="s">
        <v>42</v>
      </c>
      <c r="V4" s="186" t="s">
        <v>82</v>
      </c>
      <c r="W4" s="186">
        <v>4</v>
      </c>
      <c r="X4" s="186"/>
    </row>
    <row r="5" spans="1:24" x14ac:dyDescent="0.25">
      <c r="A5" s="96" t="s">
        <v>35</v>
      </c>
      <c r="B5" s="183">
        <v>2014</v>
      </c>
      <c r="C5" s="329">
        <f>VLOOKUP(B5,T2:W16,4,FALSE)</f>
        <v>6</v>
      </c>
      <c r="E5" s="470" t="str">
        <f>CONCATENATE("DJU Annuel Réel - ",B5)</f>
        <v>DJU Annuel Réel - 2014</v>
      </c>
      <c r="F5" s="470"/>
      <c r="G5" s="335">
        <f>HLOOKUP($C$5,$J$2:$Q$16,15,FALSE)</f>
        <v>1548.4</v>
      </c>
      <c r="I5" s="359">
        <f t="shared" ref="I5:I15" si="0">AVERAGE(K5:M5)</f>
        <v>347.76666666666671</v>
      </c>
      <c r="J5" s="331" t="s">
        <v>42</v>
      </c>
      <c r="K5" s="194">
        <v>266.60000000000002</v>
      </c>
      <c r="L5" s="194">
        <v>425.6</v>
      </c>
      <c r="M5" s="194">
        <v>351.1</v>
      </c>
      <c r="N5" s="312">
        <v>425.6</v>
      </c>
      <c r="O5" s="194"/>
      <c r="P5" s="194"/>
      <c r="Q5" s="194"/>
      <c r="R5" s="186">
        <v>4</v>
      </c>
      <c r="T5" s="186">
        <v>2013</v>
      </c>
      <c r="U5" s="186" t="s">
        <v>43</v>
      </c>
      <c r="V5" s="186" t="s">
        <v>83</v>
      </c>
      <c r="W5" s="186">
        <v>5</v>
      </c>
      <c r="X5" s="186"/>
    </row>
    <row r="6" spans="1:24" x14ac:dyDescent="0.25">
      <c r="A6" s="96" t="s">
        <v>36</v>
      </c>
      <c r="B6" s="183" t="s">
        <v>45</v>
      </c>
      <c r="C6" s="329">
        <f>VLOOKUP(B6,U3:W17,3,FALSE)</f>
        <v>8</v>
      </c>
      <c r="E6" s="470" t="str">
        <f>CONCATENATE("DJU Mensuel Moyen - ",B6)</f>
        <v>DJU Mensuel Moyen - Juin</v>
      </c>
      <c r="F6" s="470"/>
      <c r="G6" s="335">
        <f>'1_REFERENCE'!G6</f>
        <v>0</v>
      </c>
      <c r="I6" s="359">
        <f t="shared" si="0"/>
        <v>210.16666666666666</v>
      </c>
      <c r="J6" s="331" t="s">
        <v>43</v>
      </c>
      <c r="K6" s="194">
        <v>217.4</v>
      </c>
      <c r="L6" s="194">
        <v>183.6</v>
      </c>
      <c r="M6" s="194">
        <v>229.5</v>
      </c>
      <c r="N6" s="312">
        <v>183.6</v>
      </c>
      <c r="O6" s="194"/>
      <c r="P6" s="194"/>
      <c r="Q6" s="194"/>
      <c r="R6" s="186">
        <v>5</v>
      </c>
      <c r="T6" s="186">
        <v>2014</v>
      </c>
      <c r="U6" s="186" t="s">
        <v>38</v>
      </c>
      <c r="V6" s="186" t="s">
        <v>84</v>
      </c>
      <c r="W6" s="186">
        <v>6</v>
      </c>
      <c r="X6" s="186"/>
    </row>
    <row r="7" spans="1:24" x14ac:dyDescent="0.25">
      <c r="A7" s="96" t="s">
        <v>57</v>
      </c>
      <c r="B7" s="183" t="s">
        <v>102</v>
      </c>
      <c r="C7" s="329">
        <f>VLOOKUP(B7,V2:W54,2,FALSE)</f>
        <v>25</v>
      </c>
      <c r="E7" s="470" t="str">
        <f>CONCATENATE("DJU Mensuel Réel - ",B6)</f>
        <v>DJU Mensuel Réel - Juin</v>
      </c>
      <c r="F7" s="470"/>
      <c r="G7" s="335">
        <f>HLOOKUP(C5,$J$2:$Q$16,C6,FALSE)</f>
        <v>0</v>
      </c>
      <c r="I7" s="359">
        <f t="shared" si="0"/>
        <v>106.96666666666665</v>
      </c>
      <c r="J7" s="331" t="s">
        <v>38</v>
      </c>
      <c r="K7" s="194">
        <v>69</v>
      </c>
      <c r="L7" s="194">
        <v>120.9</v>
      </c>
      <c r="M7" s="194">
        <v>131</v>
      </c>
      <c r="N7" s="312">
        <v>120.9</v>
      </c>
      <c r="O7" s="194"/>
      <c r="P7" s="194"/>
      <c r="Q7" s="194"/>
      <c r="R7" s="186">
        <v>6</v>
      </c>
      <c r="T7" s="186">
        <v>2015</v>
      </c>
      <c r="U7" s="186" t="s">
        <v>44</v>
      </c>
      <c r="V7" s="186" t="s">
        <v>85</v>
      </c>
      <c r="W7" s="186">
        <v>7</v>
      </c>
      <c r="X7" s="186"/>
    </row>
    <row r="8" spans="1:24" ht="13.5" thickBot="1" x14ac:dyDescent="0.3">
      <c r="A8" s="98" t="s">
        <v>31</v>
      </c>
      <c r="B8" s="184" t="s">
        <v>30</v>
      </c>
      <c r="C8" s="329"/>
      <c r="E8" s="470" t="str">
        <f>CONCATENATE("DJU Hebdo Moyen - ",B6)</f>
        <v>DJU Hebdo Moyen - Juin</v>
      </c>
      <c r="F8" s="470"/>
      <c r="G8" s="335">
        <f>'1_REFERENCE'!G8</f>
        <v>0</v>
      </c>
      <c r="I8" s="359">
        <f t="shared" si="0"/>
        <v>31.966666666666669</v>
      </c>
      <c r="J8" s="331" t="s">
        <v>44</v>
      </c>
      <c r="K8" s="194">
        <v>7.9</v>
      </c>
      <c r="L8" s="194">
        <v>17.2</v>
      </c>
      <c r="M8" s="194">
        <v>70.8</v>
      </c>
      <c r="N8" s="312">
        <v>17.2</v>
      </c>
      <c r="O8" s="194"/>
      <c r="P8" s="194"/>
      <c r="Q8" s="194"/>
      <c r="R8" s="186">
        <v>7</v>
      </c>
      <c r="T8" s="186">
        <v>2016</v>
      </c>
      <c r="U8" s="186" t="s">
        <v>45</v>
      </c>
      <c r="V8" s="186" t="s">
        <v>86</v>
      </c>
      <c r="W8" s="186">
        <v>8</v>
      </c>
      <c r="X8" s="186"/>
    </row>
    <row r="9" spans="1:24" x14ac:dyDescent="0.25">
      <c r="A9" s="4"/>
      <c r="B9" s="24"/>
      <c r="C9" s="26"/>
      <c r="D9" s="26"/>
      <c r="E9" s="470" t="str">
        <f>CONCATENATE("DJU Hebdo Réel - ",B7)</f>
        <v>DJU Hebdo Réel - S23</v>
      </c>
      <c r="F9" s="470"/>
      <c r="G9" s="335">
        <f>VLOOKUP(C5,A86:BC90,C7,FALSE)</f>
        <v>0</v>
      </c>
      <c r="H9" s="4"/>
      <c r="I9" s="359">
        <f t="shared" si="0"/>
        <v>0</v>
      </c>
      <c r="J9" s="331" t="s">
        <v>45</v>
      </c>
      <c r="K9" s="194">
        <v>0</v>
      </c>
      <c r="L9" s="194">
        <v>0</v>
      </c>
      <c r="M9" s="194">
        <v>0</v>
      </c>
      <c r="N9" s="312">
        <v>0</v>
      </c>
      <c r="O9" s="194"/>
      <c r="P9" s="194"/>
      <c r="Q9" s="194"/>
      <c r="R9" s="186">
        <v>8</v>
      </c>
      <c r="T9" s="186"/>
      <c r="U9" s="186" t="s">
        <v>46</v>
      </c>
      <c r="V9" s="186" t="s">
        <v>87</v>
      </c>
      <c r="W9" s="186">
        <v>9</v>
      </c>
      <c r="X9" s="186"/>
    </row>
    <row r="10" spans="1:24" s="19" customFormat="1" x14ac:dyDescent="0.25">
      <c r="H10" s="14"/>
      <c r="I10" s="359">
        <f t="shared" si="0"/>
        <v>0</v>
      </c>
      <c r="J10" s="331" t="s">
        <v>46</v>
      </c>
      <c r="K10" s="194">
        <v>0</v>
      </c>
      <c r="L10" s="194">
        <v>0</v>
      </c>
      <c r="M10" s="194">
        <v>0</v>
      </c>
      <c r="N10" s="312">
        <v>0</v>
      </c>
      <c r="O10" s="194"/>
      <c r="P10" s="194"/>
      <c r="Q10" s="194"/>
      <c r="R10" s="186">
        <v>9</v>
      </c>
      <c r="T10" s="186"/>
      <c r="U10" s="186" t="s">
        <v>47</v>
      </c>
      <c r="V10" s="186" t="s">
        <v>88</v>
      </c>
      <c r="W10" s="186">
        <v>10</v>
      </c>
      <c r="X10" s="303"/>
    </row>
    <row r="11" spans="1:24" x14ac:dyDescent="0.25">
      <c r="G11" s="13"/>
      <c r="H11" s="25"/>
      <c r="I11" s="359">
        <f t="shared" si="0"/>
        <v>0</v>
      </c>
      <c r="J11" s="331" t="s">
        <v>47</v>
      </c>
      <c r="K11" s="194">
        <v>0</v>
      </c>
      <c r="L11" s="194">
        <v>0</v>
      </c>
      <c r="M11" s="194">
        <v>0</v>
      </c>
      <c r="N11" s="312">
        <v>0</v>
      </c>
      <c r="O11" s="194"/>
      <c r="P11" s="194"/>
      <c r="Q11" s="194"/>
      <c r="R11" s="186">
        <v>10</v>
      </c>
      <c r="T11" s="186"/>
      <c r="U11" s="186" t="s">
        <v>48</v>
      </c>
      <c r="V11" s="186" t="s">
        <v>89</v>
      </c>
      <c r="W11" s="186">
        <v>11</v>
      </c>
      <c r="X11" s="186"/>
    </row>
    <row r="12" spans="1:24" x14ac:dyDescent="0.25">
      <c r="B12" s="310" t="s">
        <v>175</v>
      </c>
      <c r="C12" s="310" t="s">
        <v>270</v>
      </c>
      <c r="D12" s="471" t="s">
        <v>56</v>
      </c>
      <c r="E12" s="471"/>
      <c r="F12" s="310" t="s">
        <v>58</v>
      </c>
      <c r="G12" s="13"/>
      <c r="H12" s="25"/>
      <c r="I12" s="359">
        <f t="shared" si="0"/>
        <v>0</v>
      </c>
      <c r="J12" s="331" t="s">
        <v>48</v>
      </c>
      <c r="K12" s="194">
        <v>0</v>
      </c>
      <c r="L12" s="194">
        <v>0</v>
      </c>
      <c r="M12" s="194">
        <v>0</v>
      </c>
      <c r="N12" s="312">
        <v>0</v>
      </c>
      <c r="O12" s="194"/>
      <c r="P12" s="194"/>
      <c r="Q12" s="194"/>
      <c r="R12" s="186">
        <v>11</v>
      </c>
      <c r="T12" s="186"/>
      <c r="U12" s="186" t="s">
        <v>49</v>
      </c>
      <c r="V12" s="186" t="s">
        <v>90</v>
      </c>
      <c r="W12" s="186">
        <v>12</v>
      </c>
      <c r="X12" s="186"/>
    </row>
    <row r="13" spans="1:24" x14ac:dyDescent="0.25">
      <c r="B13" s="111" t="s">
        <v>266</v>
      </c>
      <c r="C13" s="314"/>
      <c r="D13" s="472" t="s">
        <v>34</v>
      </c>
      <c r="E13" s="472"/>
      <c r="F13" s="308"/>
      <c r="G13" s="25"/>
      <c r="H13" s="25"/>
      <c r="I13" s="359">
        <f t="shared" si="0"/>
        <v>20</v>
      </c>
      <c r="J13" s="331" t="s">
        <v>49</v>
      </c>
      <c r="K13" s="194">
        <v>9.6</v>
      </c>
      <c r="L13" s="194">
        <v>44.5</v>
      </c>
      <c r="M13" s="194">
        <v>5.9</v>
      </c>
      <c r="N13" s="312">
        <v>44.5</v>
      </c>
      <c r="O13" s="194"/>
      <c r="P13" s="194"/>
      <c r="Q13" s="194"/>
      <c r="R13" s="186">
        <v>12</v>
      </c>
      <c r="T13" s="186"/>
      <c r="U13" s="186" t="s">
        <v>50</v>
      </c>
      <c r="V13" s="186" t="s">
        <v>93</v>
      </c>
      <c r="W13" s="186">
        <v>13</v>
      </c>
      <c r="X13" s="186"/>
    </row>
    <row r="14" spans="1:24" x14ac:dyDescent="0.25">
      <c r="B14" s="405" t="s">
        <v>271</v>
      </c>
      <c r="C14" s="315">
        <f>1*7</f>
        <v>7</v>
      </c>
      <c r="D14" s="473" t="s">
        <v>54</v>
      </c>
      <c r="E14" s="473"/>
      <c r="F14" s="308"/>
      <c r="I14" s="359">
        <f t="shared" si="0"/>
        <v>182.4</v>
      </c>
      <c r="J14" s="331" t="s">
        <v>50</v>
      </c>
      <c r="K14" s="194">
        <v>172.7</v>
      </c>
      <c r="L14" s="194">
        <v>154</v>
      </c>
      <c r="M14" s="194">
        <v>220.5</v>
      </c>
      <c r="N14" s="312">
        <v>154</v>
      </c>
      <c r="O14" s="194"/>
      <c r="P14" s="194"/>
      <c r="Q14" s="194"/>
      <c r="R14" s="186">
        <v>13</v>
      </c>
      <c r="T14" s="186"/>
      <c r="U14" s="186" t="s">
        <v>51</v>
      </c>
      <c r="V14" s="186" t="s">
        <v>94</v>
      </c>
      <c r="W14" s="186">
        <v>14</v>
      </c>
      <c r="X14" s="186"/>
    </row>
    <row r="15" spans="1:24" ht="14.25" x14ac:dyDescent="0.25">
      <c r="B15" s="405" t="s">
        <v>267</v>
      </c>
      <c r="C15" s="315">
        <f>1.16*1*(50-15)/0.9</f>
        <v>45.111111111111107</v>
      </c>
      <c r="D15" s="473" t="s">
        <v>282</v>
      </c>
      <c r="E15" s="473"/>
      <c r="F15" s="308" t="s">
        <v>32</v>
      </c>
      <c r="I15" s="359">
        <f t="shared" si="0"/>
        <v>285.23333333333335</v>
      </c>
      <c r="J15" s="331" t="s">
        <v>51</v>
      </c>
      <c r="K15" s="194">
        <v>271</v>
      </c>
      <c r="L15" s="194">
        <v>299.89999999999998</v>
      </c>
      <c r="M15" s="194">
        <v>284.8</v>
      </c>
      <c r="N15" s="312">
        <v>299.89999999999998</v>
      </c>
      <c r="O15" s="194"/>
      <c r="P15" s="194"/>
      <c r="Q15" s="194"/>
      <c r="R15" s="186">
        <v>14</v>
      </c>
      <c r="T15" s="186"/>
      <c r="U15" s="186"/>
      <c r="V15" s="186" t="s">
        <v>95</v>
      </c>
      <c r="W15" s="186">
        <v>15</v>
      </c>
      <c r="X15" s="186"/>
    </row>
    <row r="16" spans="1:24" x14ac:dyDescent="0.25">
      <c r="B16" s="405" t="s">
        <v>283</v>
      </c>
      <c r="C16" s="406">
        <v>35</v>
      </c>
      <c r="D16" s="473" t="s">
        <v>169</v>
      </c>
      <c r="E16" s="473"/>
      <c r="F16" s="308"/>
      <c r="G16" s="13"/>
      <c r="H16" s="25"/>
      <c r="I16" s="334"/>
      <c r="J16" s="332" t="s">
        <v>35</v>
      </c>
      <c r="K16" s="334">
        <f>SUM(K4:K15)</f>
        <v>1353.3</v>
      </c>
      <c r="L16" s="334">
        <f t="shared" ref="L16:Q16" si="1">SUM(L4:L15)</f>
        <v>1548.4</v>
      </c>
      <c r="M16" s="334">
        <f t="shared" si="1"/>
        <v>1657.9</v>
      </c>
      <c r="N16" s="334">
        <f t="shared" si="1"/>
        <v>1548.4</v>
      </c>
      <c r="O16" s="334">
        <f t="shared" si="1"/>
        <v>0</v>
      </c>
      <c r="P16" s="334">
        <f t="shared" si="1"/>
        <v>0</v>
      </c>
      <c r="Q16" s="334">
        <f t="shared" si="1"/>
        <v>0</v>
      </c>
      <c r="T16" s="186"/>
      <c r="U16" s="186"/>
      <c r="V16" s="186" t="s">
        <v>91</v>
      </c>
      <c r="W16" s="186">
        <v>16</v>
      </c>
      <c r="X16" s="186"/>
    </row>
    <row r="17" spans="2:24" x14ac:dyDescent="0.25">
      <c r="B17" s="405" t="s">
        <v>272</v>
      </c>
      <c r="C17" s="315">
        <f>C15*C16/1000</f>
        <v>1.5788888888888888</v>
      </c>
      <c r="D17" s="473" t="s">
        <v>168</v>
      </c>
      <c r="E17" s="473"/>
      <c r="F17" s="343"/>
      <c r="G17" s="25"/>
      <c r="H17" s="25"/>
      <c r="I17" s="25"/>
      <c r="Q17" s="18"/>
      <c r="T17" s="186"/>
      <c r="U17" s="186"/>
      <c r="V17" s="186" t="s">
        <v>92</v>
      </c>
      <c r="W17" s="186">
        <v>17</v>
      </c>
      <c r="X17" s="186"/>
    </row>
    <row r="18" spans="2:24" x14ac:dyDescent="0.25">
      <c r="B18" s="405" t="s">
        <v>273</v>
      </c>
      <c r="C18" s="315">
        <f>2726/52</f>
        <v>52.42307692307692</v>
      </c>
      <c r="D18" s="473" t="s">
        <v>52</v>
      </c>
      <c r="E18" s="473"/>
      <c r="F18" s="308" t="s">
        <v>24</v>
      </c>
      <c r="T18" s="186"/>
      <c r="U18" s="186"/>
      <c r="V18" s="186" t="s">
        <v>37</v>
      </c>
      <c r="W18" s="186">
        <v>18</v>
      </c>
      <c r="X18" s="186"/>
    </row>
    <row r="19" spans="2:24" x14ac:dyDescent="0.25">
      <c r="B19" s="405" t="s">
        <v>274</v>
      </c>
      <c r="C19" s="406">
        <f>150*7</f>
        <v>1050</v>
      </c>
      <c r="D19" s="473" t="s">
        <v>55</v>
      </c>
      <c r="E19" s="473"/>
      <c r="F19" s="309" t="s">
        <v>26</v>
      </c>
      <c r="T19" s="186"/>
      <c r="U19" s="186"/>
      <c r="V19" s="186" t="s">
        <v>96</v>
      </c>
      <c r="W19" s="186">
        <v>19</v>
      </c>
      <c r="X19" s="186"/>
    </row>
    <row r="20" spans="2:24" ht="25.5" x14ac:dyDescent="0.25">
      <c r="B20" s="310" t="s">
        <v>176</v>
      </c>
      <c r="C20" s="310" t="s">
        <v>53</v>
      </c>
      <c r="D20" s="471" t="s">
        <v>56</v>
      </c>
      <c r="E20" s="471"/>
      <c r="F20" s="310" t="s">
        <v>58</v>
      </c>
      <c r="T20" s="186"/>
      <c r="U20" s="186"/>
      <c r="V20" s="186" t="s">
        <v>97</v>
      </c>
      <c r="W20" s="186">
        <v>20</v>
      </c>
      <c r="X20" s="186"/>
    </row>
    <row r="21" spans="2:24" x14ac:dyDescent="0.25">
      <c r="B21" s="27" t="s">
        <v>23</v>
      </c>
      <c r="C21" s="307">
        <f>(365/7)/12</f>
        <v>4.3452380952380958</v>
      </c>
      <c r="D21" s="474"/>
      <c r="E21" s="474"/>
      <c r="F21" s="308"/>
      <c r="T21" s="186"/>
      <c r="U21" s="186"/>
      <c r="V21" s="186" t="s">
        <v>98</v>
      </c>
      <c r="W21" s="186">
        <v>21</v>
      </c>
      <c r="X21" s="186"/>
    </row>
    <row r="22" spans="2:24" x14ac:dyDescent="0.25">
      <c r="B22" s="27" t="s">
        <v>268</v>
      </c>
      <c r="C22" s="307">
        <v>11.628</v>
      </c>
      <c r="D22" s="474" t="s">
        <v>29</v>
      </c>
      <c r="E22" s="474"/>
      <c r="F22" s="308"/>
      <c r="T22" s="186"/>
      <c r="U22" s="186"/>
      <c r="V22" s="186" t="s">
        <v>99</v>
      </c>
      <c r="W22" s="186">
        <v>22</v>
      </c>
      <c r="X22" s="186"/>
    </row>
    <row r="23" spans="2:24" x14ac:dyDescent="0.25">
      <c r="B23" s="27" t="s">
        <v>269</v>
      </c>
      <c r="C23" s="307">
        <f>1/1.11</f>
        <v>0.9009009009009008</v>
      </c>
      <c r="D23" s="474" t="s">
        <v>15</v>
      </c>
      <c r="E23" s="474"/>
      <c r="F23" s="308"/>
      <c r="T23" s="186"/>
      <c r="U23" s="186"/>
      <c r="V23" s="186" t="s">
        <v>100</v>
      </c>
      <c r="W23" s="186">
        <v>23</v>
      </c>
      <c r="X23" s="186"/>
    </row>
    <row r="24" spans="2:24" x14ac:dyDescent="0.25">
      <c r="B24" s="27"/>
      <c r="C24" s="307"/>
      <c r="D24" s="474"/>
      <c r="E24" s="474"/>
      <c r="F24" s="308"/>
      <c r="T24" s="186"/>
      <c r="U24" s="186"/>
      <c r="V24" s="186" t="s">
        <v>101</v>
      </c>
      <c r="W24" s="186">
        <v>24</v>
      </c>
      <c r="X24" s="186"/>
    </row>
    <row r="25" spans="2:24" x14ac:dyDescent="0.25">
      <c r="B25" s="27" t="s">
        <v>132</v>
      </c>
      <c r="C25" s="307">
        <v>1</v>
      </c>
      <c r="D25" s="474"/>
      <c r="E25" s="474"/>
      <c r="F25" s="308"/>
      <c r="T25" s="186"/>
      <c r="U25" s="186"/>
      <c r="V25" s="186" t="s">
        <v>102</v>
      </c>
      <c r="W25" s="186">
        <v>25</v>
      </c>
      <c r="X25" s="186"/>
    </row>
    <row r="26" spans="2:24" x14ac:dyDescent="0.25">
      <c r="T26" s="186"/>
      <c r="U26" s="186"/>
      <c r="V26" s="320" t="s">
        <v>103</v>
      </c>
      <c r="W26" s="320">
        <v>26</v>
      </c>
      <c r="X26" s="186"/>
    </row>
    <row r="27" spans="2:24" x14ac:dyDescent="0.25">
      <c r="T27" s="186"/>
      <c r="U27" s="186"/>
      <c r="V27" s="186" t="s">
        <v>104</v>
      </c>
      <c r="W27" s="186">
        <v>27</v>
      </c>
      <c r="X27" s="186"/>
    </row>
    <row r="28" spans="2:24" x14ac:dyDescent="0.25">
      <c r="B28" s="319" t="s">
        <v>182</v>
      </c>
      <c r="C28" s="336"/>
      <c r="D28" s="336"/>
      <c r="E28" s="336"/>
      <c r="F28" s="336"/>
      <c r="G28" s="336"/>
      <c r="H28" s="336"/>
      <c r="I28" s="469" t="s">
        <v>177</v>
      </c>
      <c r="J28" s="469"/>
      <c r="K28" s="469"/>
      <c r="L28" s="469"/>
      <c r="M28" s="469"/>
      <c r="N28" s="469"/>
      <c r="O28" s="469"/>
      <c r="P28" s="469"/>
      <c r="Q28" s="32"/>
      <c r="T28" s="186"/>
      <c r="U28" s="186"/>
      <c r="V28" s="186" t="s">
        <v>105</v>
      </c>
      <c r="W28" s="186">
        <v>28</v>
      </c>
      <c r="X28" s="186"/>
    </row>
    <row r="29" spans="2:24" s="26" customFormat="1" x14ac:dyDescent="0.25">
      <c r="G29" s="338" t="s">
        <v>142</v>
      </c>
      <c r="Q29" s="33"/>
      <c r="T29" s="320"/>
      <c r="U29" s="320"/>
      <c r="V29" s="186" t="s">
        <v>106</v>
      </c>
      <c r="W29" s="186">
        <v>29</v>
      </c>
      <c r="X29" s="320"/>
    </row>
    <row r="30" spans="2:24" x14ac:dyDescent="0.25">
      <c r="I30" s="170" t="s">
        <v>147</v>
      </c>
      <c r="J30" s="170" t="s">
        <v>147</v>
      </c>
      <c r="K30" s="447" t="s">
        <v>148</v>
      </c>
      <c r="L30" s="447" t="s">
        <v>148</v>
      </c>
      <c r="M30" s="189" t="s">
        <v>149</v>
      </c>
      <c r="N30" s="189" t="s">
        <v>149</v>
      </c>
      <c r="O30" s="190" t="s">
        <v>150</v>
      </c>
      <c r="P30" s="190" t="s">
        <v>150</v>
      </c>
      <c r="Q30" s="132"/>
      <c r="T30" s="186"/>
      <c r="U30" s="186"/>
      <c r="V30" s="186" t="s">
        <v>107</v>
      </c>
      <c r="W30" s="186">
        <v>30</v>
      </c>
      <c r="X30" s="186"/>
    </row>
    <row r="31" spans="2:24" ht="38.25" x14ac:dyDescent="0.25">
      <c r="B31" s="455"/>
      <c r="C31" s="456" t="s">
        <v>0</v>
      </c>
      <c r="D31" s="456" t="s">
        <v>40</v>
      </c>
      <c r="E31" s="456" t="s">
        <v>60</v>
      </c>
      <c r="F31" s="456" t="s">
        <v>8</v>
      </c>
      <c r="G31" s="456" t="s">
        <v>71</v>
      </c>
      <c r="H31" s="457" t="s">
        <v>61</v>
      </c>
      <c r="I31" s="38" t="s">
        <v>13</v>
      </c>
      <c r="J31" s="6" t="s">
        <v>14</v>
      </c>
      <c r="K31" s="7" t="s">
        <v>300</v>
      </c>
      <c r="L31" s="39" t="s">
        <v>301</v>
      </c>
      <c r="M31" s="38" t="s">
        <v>20</v>
      </c>
      <c r="N31" s="39" t="s">
        <v>21</v>
      </c>
      <c r="O31" s="38" t="s">
        <v>25</v>
      </c>
      <c r="P31" s="39" t="s">
        <v>167</v>
      </c>
      <c r="Q31" s="132"/>
      <c r="T31" s="186"/>
      <c r="U31" s="186"/>
      <c r="V31" s="186" t="s">
        <v>108</v>
      </c>
      <c r="W31" s="186">
        <v>31</v>
      </c>
      <c r="X31" s="186"/>
    </row>
    <row r="32" spans="2:24" ht="15" thickBot="1" x14ac:dyDescent="0.3">
      <c r="B32" s="458"/>
      <c r="C32" s="459" t="s">
        <v>18</v>
      </c>
      <c r="D32" s="459" t="s">
        <v>18</v>
      </c>
      <c r="E32" s="459" t="s">
        <v>18</v>
      </c>
      <c r="F32" s="459" t="s">
        <v>19</v>
      </c>
      <c r="G32" s="459" t="s">
        <v>72</v>
      </c>
      <c r="H32" s="460" t="s">
        <v>28</v>
      </c>
      <c r="I32" s="40" t="s">
        <v>33</v>
      </c>
      <c r="J32" s="11" t="s">
        <v>33</v>
      </c>
      <c r="K32" s="12" t="s">
        <v>33</v>
      </c>
      <c r="L32" s="41" t="s">
        <v>33</v>
      </c>
      <c r="M32" s="40" t="s">
        <v>4</v>
      </c>
      <c r="N32" s="41" t="s">
        <v>4</v>
      </c>
      <c r="O32" s="40" t="s">
        <v>33</v>
      </c>
      <c r="P32" s="41" t="s">
        <v>33</v>
      </c>
      <c r="Q32" s="132"/>
      <c r="T32" s="186"/>
      <c r="U32" s="186"/>
      <c r="V32" s="186" t="s">
        <v>109</v>
      </c>
      <c r="W32" s="186">
        <v>32</v>
      </c>
      <c r="X32" s="186"/>
    </row>
    <row r="33" spans="1:24" hidden="1" x14ac:dyDescent="0.25">
      <c r="B33" s="450" t="str">
        <f>CONCATENATE(C33," - ",D33," - ",E33," - ",F33,"m²")</f>
        <v>GC - 274 - T4 - 83m²</v>
      </c>
      <c r="C33" s="450" t="s">
        <v>2</v>
      </c>
      <c r="D33" s="450">
        <v>274</v>
      </c>
      <c r="E33" s="450" t="s">
        <v>6</v>
      </c>
      <c r="F33" s="450">
        <v>83</v>
      </c>
      <c r="G33" s="450">
        <v>2</v>
      </c>
      <c r="H33" s="452">
        <v>0.9</v>
      </c>
      <c r="I33" s="171">
        <v>530.79999999999995</v>
      </c>
      <c r="J33" s="461">
        <v>535.6</v>
      </c>
      <c r="K33" s="430">
        <v>15.5</v>
      </c>
      <c r="L33" s="174">
        <v>16.3</v>
      </c>
      <c r="M33" s="172">
        <v>1415.1</v>
      </c>
      <c r="N33" s="173">
        <v>1470.1</v>
      </c>
      <c r="O33" s="171">
        <v>38.299999999999997</v>
      </c>
      <c r="P33" s="174">
        <v>40.700000000000003</v>
      </c>
      <c r="Q33" s="132"/>
      <c r="T33" s="186"/>
      <c r="U33" s="186"/>
      <c r="V33" s="186" t="s">
        <v>110</v>
      </c>
      <c r="W33" s="186">
        <v>33</v>
      </c>
      <c r="X33" s="186"/>
    </row>
    <row r="34" spans="1:24" hidden="1" x14ac:dyDescent="0.25">
      <c r="B34" s="450" t="str">
        <f t="shared" ref="B34:B80" si="2">CONCATENATE(C34," - ",D34," - ",E34," - ",F34,"m²")</f>
        <v>GC - 277 - T2 - 53m²</v>
      </c>
      <c r="C34" s="450" t="s">
        <v>2</v>
      </c>
      <c r="D34" s="450">
        <v>277</v>
      </c>
      <c r="E34" s="450" t="s">
        <v>141</v>
      </c>
      <c r="F34" s="450">
        <v>53</v>
      </c>
      <c r="G34" s="450">
        <v>1</v>
      </c>
      <c r="H34" s="452">
        <v>0.9</v>
      </c>
      <c r="I34" s="175">
        <v>523.6</v>
      </c>
      <c r="J34" s="462">
        <v>524.79999999999995</v>
      </c>
      <c r="K34" s="431">
        <v>9.8000000000000007</v>
      </c>
      <c r="L34" s="178">
        <v>10</v>
      </c>
      <c r="M34" s="176">
        <v>1013.5</v>
      </c>
      <c r="N34" s="177">
        <v>1045</v>
      </c>
      <c r="O34" s="175">
        <v>22.6</v>
      </c>
      <c r="P34" s="178">
        <v>23.1</v>
      </c>
      <c r="Q34" s="132"/>
      <c r="T34" s="186"/>
      <c r="U34" s="186"/>
      <c r="V34" s="186" t="s">
        <v>111</v>
      </c>
      <c r="W34" s="186">
        <v>34</v>
      </c>
      <c r="X34" s="186"/>
    </row>
    <row r="35" spans="1:24" hidden="1" x14ac:dyDescent="0.25">
      <c r="B35" s="450" t="str">
        <f t="shared" si="2"/>
        <v>GC - 281 - T3 - 71m²</v>
      </c>
      <c r="C35" s="450" t="s">
        <v>2</v>
      </c>
      <c r="D35" s="450">
        <v>281</v>
      </c>
      <c r="E35" s="450" t="s">
        <v>5</v>
      </c>
      <c r="F35" s="450">
        <v>71</v>
      </c>
      <c r="G35" s="450">
        <v>2</v>
      </c>
      <c r="H35" s="452">
        <v>0.9</v>
      </c>
      <c r="I35" s="175">
        <v>576.4</v>
      </c>
      <c r="J35" s="462">
        <v>579.9</v>
      </c>
      <c r="K35" s="431">
        <v>27.8</v>
      </c>
      <c r="L35" s="178">
        <v>28.8</v>
      </c>
      <c r="M35" s="176">
        <v>1083.2</v>
      </c>
      <c r="N35" s="177">
        <v>1119.9000000000001</v>
      </c>
      <c r="O35" s="175">
        <v>46.6</v>
      </c>
      <c r="P35" s="178">
        <v>48.6</v>
      </c>
      <c r="Q35" s="132"/>
      <c r="T35" s="186"/>
      <c r="U35" s="186"/>
      <c r="V35" s="186" t="s">
        <v>112</v>
      </c>
      <c r="W35" s="186">
        <v>35</v>
      </c>
      <c r="X35" s="186"/>
    </row>
    <row r="36" spans="1:24" hidden="1" x14ac:dyDescent="0.25">
      <c r="B36" s="450" t="str">
        <f t="shared" si="2"/>
        <v>GC - 283 - T3 - 70m²</v>
      </c>
      <c r="C36" s="450" t="s">
        <v>2</v>
      </c>
      <c r="D36" s="450">
        <v>283</v>
      </c>
      <c r="E36" s="450" t="s">
        <v>5</v>
      </c>
      <c r="F36" s="450">
        <v>70</v>
      </c>
      <c r="G36" s="450">
        <v>2</v>
      </c>
      <c r="H36" s="452">
        <v>0.9</v>
      </c>
      <c r="I36" s="175">
        <v>648.20000000000005</v>
      </c>
      <c r="J36" s="462">
        <v>649.9</v>
      </c>
      <c r="K36" s="431">
        <v>7.7</v>
      </c>
      <c r="L36" s="178">
        <v>7.9</v>
      </c>
      <c r="M36" s="176">
        <v>771.5</v>
      </c>
      <c r="N36" s="177">
        <v>799.5</v>
      </c>
      <c r="O36" s="175">
        <v>22.2</v>
      </c>
      <c r="P36" s="178">
        <v>23.4</v>
      </c>
      <c r="Q36" s="132"/>
      <c r="T36" s="186"/>
      <c r="U36" s="186"/>
      <c r="V36" s="186" t="s">
        <v>113</v>
      </c>
      <c r="W36" s="186">
        <v>36</v>
      </c>
      <c r="X36" s="186"/>
    </row>
    <row r="37" spans="1:24" hidden="1" x14ac:dyDescent="0.25">
      <c r="B37" s="450" t="str">
        <f t="shared" si="2"/>
        <v>GC - 285 - T3 - 64m²</v>
      </c>
      <c r="C37" s="450" t="s">
        <v>2</v>
      </c>
      <c r="D37" s="450">
        <v>285</v>
      </c>
      <c r="E37" s="450" t="s">
        <v>5</v>
      </c>
      <c r="F37" s="450">
        <v>64</v>
      </c>
      <c r="G37" s="450">
        <v>3</v>
      </c>
      <c r="H37" s="452">
        <v>0.9</v>
      </c>
      <c r="I37" s="175">
        <v>244.4</v>
      </c>
      <c r="J37" s="462">
        <v>248.7</v>
      </c>
      <c r="K37" s="431">
        <v>999993.5</v>
      </c>
      <c r="L37" s="178">
        <v>999993</v>
      </c>
      <c r="M37" s="176">
        <v>853</v>
      </c>
      <c r="N37" s="177">
        <v>890</v>
      </c>
      <c r="O37" s="175">
        <v>23.9</v>
      </c>
      <c r="P37" s="178">
        <v>25.5</v>
      </c>
      <c r="Q37" s="132"/>
      <c r="T37" s="186"/>
      <c r="U37" s="186"/>
      <c r="V37" s="186" t="s">
        <v>114</v>
      </c>
      <c r="W37" s="186">
        <v>37</v>
      </c>
      <c r="X37" s="186"/>
    </row>
    <row r="38" spans="1:24" hidden="1" x14ac:dyDescent="0.25">
      <c r="B38" s="450" t="str">
        <f t="shared" si="2"/>
        <v>GC - 286 - T3 - 68m²</v>
      </c>
      <c r="C38" s="450" t="s">
        <v>2</v>
      </c>
      <c r="D38" s="450">
        <v>286</v>
      </c>
      <c r="E38" s="450" t="s">
        <v>5</v>
      </c>
      <c r="F38" s="450">
        <v>68</v>
      </c>
      <c r="G38" s="450">
        <v>3</v>
      </c>
      <c r="H38" s="452">
        <v>0.9</v>
      </c>
      <c r="I38" s="175">
        <v>518.70000000000005</v>
      </c>
      <c r="J38" s="462">
        <v>524.4</v>
      </c>
      <c r="K38" s="431">
        <v>28.2</v>
      </c>
      <c r="L38" s="178">
        <v>29.6</v>
      </c>
      <c r="M38" s="176">
        <v>925.5</v>
      </c>
      <c r="N38" s="177">
        <v>946.1</v>
      </c>
      <c r="O38" s="175">
        <v>67</v>
      </c>
      <c r="P38" s="178">
        <v>70.5</v>
      </c>
      <c r="Q38" s="132"/>
      <c r="T38" s="186"/>
      <c r="U38" s="186"/>
      <c r="V38" s="186" t="s">
        <v>115</v>
      </c>
      <c r="W38" s="186">
        <v>38</v>
      </c>
      <c r="X38" s="186"/>
    </row>
    <row r="39" spans="1:24" hidden="1" x14ac:dyDescent="0.25">
      <c r="B39" s="450" t="str">
        <f t="shared" si="2"/>
        <v>GC - 289 - T3 - 76m²</v>
      </c>
      <c r="C39" s="450" t="s">
        <v>2</v>
      </c>
      <c r="D39" s="450">
        <v>289</v>
      </c>
      <c r="E39" s="450" t="s">
        <v>5</v>
      </c>
      <c r="F39" s="450">
        <v>76</v>
      </c>
      <c r="G39" s="450">
        <v>1</v>
      </c>
      <c r="H39" s="452">
        <v>0.9</v>
      </c>
      <c r="I39" s="175">
        <v>258.3</v>
      </c>
      <c r="J39" s="462">
        <v>259.10000000000002</v>
      </c>
      <c r="K39" s="431">
        <v>5.0999999999999996</v>
      </c>
      <c r="L39" s="178">
        <v>5.2</v>
      </c>
      <c r="M39" s="176">
        <v>659</v>
      </c>
      <c r="N39" s="177">
        <v>684.4</v>
      </c>
      <c r="O39" s="175">
        <v>12.8</v>
      </c>
      <c r="P39" s="178">
        <v>13.3</v>
      </c>
      <c r="Q39" s="132"/>
      <c r="T39" s="186"/>
      <c r="U39" s="186"/>
      <c r="V39" s="186" t="s">
        <v>116</v>
      </c>
      <c r="W39" s="186">
        <v>39</v>
      </c>
      <c r="X39" s="186"/>
    </row>
    <row r="40" spans="1:24" hidden="1" x14ac:dyDescent="0.25">
      <c r="B40" s="450" t="str">
        <f t="shared" si="2"/>
        <v>GC - 303 - T4 - 81m²</v>
      </c>
      <c r="C40" s="450" t="s">
        <v>2</v>
      </c>
      <c r="D40" s="450">
        <v>303</v>
      </c>
      <c r="E40" s="450" t="s">
        <v>6</v>
      </c>
      <c r="F40" s="450">
        <v>81</v>
      </c>
      <c r="G40" s="451">
        <v>1</v>
      </c>
      <c r="H40" s="452">
        <v>0.9</v>
      </c>
      <c r="I40" s="175">
        <v>148.1</v>
      </c>
      <c r="J40" s="462">
        <v>151.80000000000001</v>
      </c>
      <c r="K40" s="431">
        <v>11.1</v>
      </c>
      <c r="L40" s="178">
        <v>11.5</v>
      </c>
      <c r="M40" s="176">
        <v>1856.9</v>
      </c>
      <c r="N40" s="177">
        <v>1930.2</v>
      </c>
      <c r="O40" s="175">
        <v>39.799999999999997</v>
      </c>
      <c r="P40" s="178">
        <v>41.9</v>
      </c>
      <c r="Q40" s="132"/>
      <c r="T40" s="186"/>
      <c r="U40" s="186"/>
      <c r="V40" s="186" t="s">
        <v>117</v>
      </c>
      <c r="W40" s="186">
        <v>40</v>
      </c>
      <c r="X40" s="186"/>
    </row>
    <row r="41" spans="1:24" hidden="1" x14ac:dyDescent="0.25">
      <c r="B41" s="450" t="str">
        <f t="shared" si="2"/>
        <v>GC - 304 - T3 - 66m²</v>
      </c>
      <c r="C41" s="450" t="s">
        <v>2</v>
      </c>
      <c r="D41" s="450">
        <v>304</v>
      </c>
      <c r="E41" s="450" t="s">
        <v>5</v>
      </c>
      <c r="F41" s="450">
        <v>66</v>
      </c>
      <c r="G41" s="450">
        <v>1</v>
      </c>
      <c r="H41" s="452">
        <v>0.9</v>
      </c>
      <c r="I41" s="175">
        <v>617.6</v>
      </c>
      <c r="J41" s="462">
        <v>621.29999999999995</v>
      </c>
      <c r="K41" s="431">
        <v>34.9</v>
      </c>
      <c r="L41" s="178">
        <v>35.6</v>
      </c>
      <c r="M41" s="176">
        <v>868.2</v>
      </c>
      <c r="N41" s="177">
        <v>891.7</v>
      </c>
      <c r="O41" s="175">
        <v>65.3</v>
      </c>
      <c r="P41" s="178">
        <v>67.099999999999994</v>
      </c>
      <c r="Q41" s="132"/>
      <c r="T41" s="186"/>
      <c r="U41" s="186"/>
      <c r="V41" s="186" t="s">
        <v>118</v>
      </c>
      <c r="W41" s="186">
        <v>41</v>
      </c>
      <c r="X41" s="186"/>
    </row>
    <row r="42" spans="1:24" hidden="1" x14ac:dyDescent="0.25">
      <c r="B42" s="450" t="str">
        <f t="shared" si="2"/>
        <v>GC - 306 - T3 - 66m²</v>
      </c>
      <c r="C42" s="450" t="s">
        <v>2</v>
      </c>
      <c r="D42" s="450">
        <v>306</v>
      </c>
      <c r="E42" s="450" t="s">
        <v>5</v>
      </c>
      <c r="F42" s="450">
        <v>66</v>
      </c>
      <c r="G42" s="450">
        <v>2</v>
      </c>
      <c r="H42" s="452">
        <v>0.9</v>
      </c>
      <c r="I42" s="175">
        <v>578.6</v>
      </c>
      <c r="J42" s="462">
        <v>581.1</v>
      </c>
      <c r="K42" s="431">
        <v>9</v>
      </c>
      <c r="L42" s="178">
        <v>9.3000000000000007</v>
      </c>
      <c r="M42" s="176">
        <v>685.4</v>
      </c>
      <c r="N42" s="177">
        <v>705.6</v>
      </c>
      <c r="O42" s="175">
        <v>21.5</v>
      </c>
      <c r="P42" s="178">
        <v>23.1</v>
      </c>
      <c r="Q42" s="132"/>
      <c r="T42" s="186"/>
      <c r="U42" s="186"/>
      <c r="V42" s="186" t="s">
        <v>119</v>
      </c>
      <c r="W42" s="186">
        <v>42</v>
      </c>
      <c r="X42" s="186"/>
    </row>
    <row r="43" spans="1:24" s="21" customFormat="1" hidden="1" x14ac:dyDescent="0.25">
      <c r="A43" s="18"/>
      <c r="B43" s="450" t="str">
        <f t="shared" si="2"/>
        <v>GC - 307 - T3 - 66m²</v>
      </c>
      <c r="C43" s="450" t="s">
        <v>2</v>
      </c>
      <c r="D43" s="450">
        <v>307</v>
      </c>
      <c r="E43" s="450" t="s">
        <v>5</v>
      </c>
      <c r="F43" s="450">
        <v>66</v>
      </c>
      <c r="G43" s="450">
        <v>3</v>
      </c>
      <c r="H43" s="452">
        <v>0.9</v>
      </c>
      <c r="I43" s="175">
        <v>571.4</v>
      </c>
      <c r="J43" s="462">
        <v>578.79999999999995</v>
      </c>
      <c r="K43" s="431">
        <v>0</v>
      </c>
      <c r="L43" s="178">
        <v>0</v>
      </c>
      <c r="M43" s="176">
        <v>1553</v>
      </c>
      <c r="N43" s="177">
        <v>1598.9</v>
      </c>
      <c r="O43" s="175">
        <v>74</v>
      </c>
      <c r="P43" s="178">
        <v>77.400000000000006</v>
      </c>
      <c r="Q43" s="133"/>
      <c r="T43" s="186"/>
      <c r="U43" s="186"/>
      <c r="V43" s="186" t="s">
        <v>120</v>
      </c>
      <c r="W43" s="186">
        <v>43</v>
      </c>
      <c r="X43" s="304"/>
    </row>
    <row r="44" spans="1:24" hidden="1" x14ac:dyDescent="0.25">
      <c r="B44" s="450" t="str">
        <f t="shared" si="2"/>
        <v>GC - 308 - T3 - 66m²</v>
      </c>
      <c r="C44" s="450" t="s">
        <v>2</v>
      </c>
      <c r="D44" s="450">
        <v>308</v>
      </c>
      <c r="E44" s="450" t="s">
        <v>5</v>
      </c>
      <c r="F44" s="450">
        <v>66</v>
      </c>
      <c r="G44" s="450">
        <v>2</v>
      </c>
      <c r="H44" s="452">
        <v>0.9</v>
      </c>
      <c r="I44" s="175">
        <v>606.5</v>
      </c>
      <c r="J44" s="462">
        <v>608.9</v>
      </c>
      <c r="K44" s="431">
        <v>12.7</v>
      </c>
      <c r="L44" s="178">
        <v>13.2</v>
      </c>
      <c r="M44" s="176">
        <v>1026.4000000000001</v>
      </c>
      <c r="N44" s="177">
        <v>1048.5999999999999</v>
      </c>
      <c r="O44" s="175">
        <v>34.5</v>
      </c>
      <c r="P44" s="178">
        <v>36</v>
      </c>
      <c r="Q44" s="132"/>
      <c r="T44" s="186"/>
      <c r="U44" s="186"/>
      <c r="V44" s="186" t="s">
        <v>121</v>
      </c>
      <c r="W44" s="186">
        <v>44</v>
      </c>
      <c r="X44" s="186"/>
    </row>
    <row r="45" spans="1:24" hidden="1" x14ac:dyDescent="0.25">
      <c r="B45" s="450" t="str">
        <f t="shared" si="2"/>
        <v>GC - 314 - T4 - 75m²</v>
      </c>
      <c r="C45" s="450" t="s">
        <v>2</v>
      </c>
      <c r="D45" s="450">
        <v>314</v>
      </c>
      <c r="E45" s="450" t="s">
        <v>6</v>
      </c>
      <c r="F45" s="450">
        <v>75</v>
      </c>
      <c r="G45" s="450">
        <v>5</v>
      </c>
      <c r="H45" s="452">
        <v>0.9</v>
      </c>
      <c r="I45" s="175">
        <v>718.1</v>
      </c>
      <c r="J45" s="462">
        <v>728.9</v>
      </c>
      <c r="K45" s="431">
        <v>40.4</v>
      </c>
      <c r="L45" s="178">
        <v>42.6</v>
      </c>
      <c r="M45" s="176">
        <v>3209.6</v>
      </c>
      <c r="N45" s="177">
        <v>3322.8</v>
      </c>
      <c r="O45" s="175">
        <v>82.3</v>
      </c>
      <c r="P45" s="178">
        <v>86.7</v>
      </c>
      <c r="Q45" s="132"/>
      <c r="T45" s="186"/>
      <c r="U45" s="186"/>
      <c r="V45" s="186" t="s">
        <v>122</v>
      </c>
      <c r="W45" s="186">
        <v>45</v>
      </c>
      <c r="X45" s="186"/>
    </row>
    <row r="46" spans="1:24" ht="13.5" hidden="1" thickBot="1" x14ac:dyDescent="0.3">
      <c r="A46" s="21"/>
      <c r="B46" s="453" t="s">
        <v>159</v>
      </c>
      <c r="C46" s="453"/>
      <c r="D46" s="453"/>
      <c r="E46" s="453"/>
      <c r="F46" s="453"/>
      <c r="G46" s="453"/>
      <c r="H46" s="454"/>
      <c r="I46" s="62"/>
      <c r="J46" s="463"/>
      <c r="K46" s="432"/>
      <c r="L46" s="63"/>
      <c r="M46" s="64"/>
      <c r="N46" s="65"/>
      <c r="O46" s="62"/>
      <c r="P46" s="63"/>
      <c r="Q46" s="132"/>
      <c r="T46" s="186"/>
      <c r="U46" s="186"/>
      <c r="V46" s="186" t="s">
        <v>123</v>
      </c>
      <c r="W46" s="186">
        <v>46</v>
      </c>
      <c r="X46" s="186"/>
    </row>
    <row r="47" spans="1:24" hidden="1" x14ac:dyDescent="0.25">
      <c r="B47" s="450" t="str">
        <f t="shared" si="2"/>
        <v>GE2.1 - 275 - T3 - 74m²</v>
      </c>
      <c r="C47" s="450" t="s">
        <v>3</v>
      </c>
      <c r="D47" s="450">
        <v>275</v>
      </c>
      <c r="E47" s="450" t="s">
        <v>5</v>
      </c>
      <c r="F47" s="450">
        <v>74</v>
      </c>
      <c r="G47" s="450">
        <v>2</v>
      </c>
      <c r="H47" s="452">
        <v>0.9</v>
      </c>
      <c r="I47" s="179">
        <v>91.5</v>
      </c>
      <c r="J47" s="464">
        <v>96</v>
      </c>
      <c r="K47" s="433">
        <v>18.5</v>
      </c>
      <c r="L47" s="182">
        <v>19.5</v>
      </c>
      <c r="M47" s="180">
        <v>1566.9</v>
      </c>
      <c r="N47" s="181">
        <v>1621.9</v>
      </c>
      <c r="O47" s="179">
        <v>34.9</v>
      </c>
      <c r="P47" s="182">
        <v>37.200000000000003</v>
      </c>
      <c r="Q47" s="132"/>
      <c r="T47" s="186"/>
      <c r="U47" s="186"/>
      <c r="V47" s="186" t="s">
        <v>124</v>
      </c>
      <c r="W47" s="186">
        <v>47</v>
      </c>
      <c r="X47" s="186"/>
    </row>
    <row r="48" spans="1:24" hidden="1" x14ac:dyDescent="0.25">
      <c r="B48" s="450" t="str">
        <f t="shared" si="2"/>
        <v>GE2.1 - 278 - T2 - 57m²</v>
      </c>
      <c r="C48" s="450" t="s">
        <v>3</v>
      </c>
      <c r="D48" s="450">
        <v>278</v>
      </c>
      <c r="E48" s="450" t="s">
        <v>141</v>
      </c>
      <c r="F48" s="450">
        <v>57</v>
      </c>
      <c r="G48" s="450">
        <v>1</v>
      </c>
      <c r="H48" s="452">
        <v>0.9</v>
      </c>
      <c r="I48" s="175">
        <v>452.3</v>
      </c>
      <c r="J48" s="462">
        <v>453.9</v>
      </c>
      <c r="K48" s="431">
        <v>2.6</v>
      </c>
      <c r="L48" s="178">
        <v>2.7</v>
      </c>
      <c r="M48" s="176">
        <v>325.5</v>
      </c>
      <c r="N48" s="177">
        <v>328.5</v>
      </c>
      <c r="O48" s="175">
        <v>9.5</v>
      </c>
      <c r="P48" s="178">
        <v>9.9</v>
      </c>
      <c r="Q48" s="132"/>
      <c r="T48" s="186"/>
      <c r="U48" s="186"/>
      <c r="V48" s="186" t="s">
        <v>125</v>
      </c>
      <c r="W48" s="186">
        <v>48</v>
      </c>
      <c r="X48" s="186"/>
    </row>
    <row r="49" spans="1:24" hidden="1" x14ac:dyDescent="0.25">
      <c r="B49" s="450" t="str">
        <f t="shared" si="2"/>
        <v>GE2.1 - 280 - T3 - 66m²</v>
      </c>
      <c r="C49" s="450" t="s">
        <v>3</v>
      </c>
      <c r="D49" s="450">
        <v>280</v>
      </c>
      <c r="E49" s="450" t="s">
        <v>5</v>
      </c>
      <c r="F49" s="450">
        <v>66</v>
      </c>
      <c r="G49" s="450">
        <v>3</v>
      </c>
      <c r="H49" s="452">
        <v>0.9</v>
      </c>
      <c r="I49" s="175">
        <v>0.2</v>
      </c>
      <c r="J49" s="462">
        <v>0.5</v>
      </c>
      <c r="K49" s="431">
        <v>0.3</v>
      </c>
      <c r="L49" s="178">
        <v>0.4</v>
      </c>
      <c r="M49" s="176">
        <v>2.5</v>
      </c>
      <c r="N49" s="177">
        <v>2.9</v>
      </c>
      <c r="O49" s="175">
        <v>1.3</v>
      </c>
      <c r="P49" s="178">
        <v>1.6</v>
      </c>
      <c r="Q49" s="132"/>
      <c r="T49" s="186"/>
      <c r="U49" s="186"/>
      <c r="V49" s="186" t="s">
        <v>126</v>
      </c>
      <c r="W49" s="186">
        <v>49</v>
      </c>
      <c r="X49" s="186"/>
    </row>
    <row r="50" spans="1:24" hidden="1" x14ac:dyDescent="0.25">
      <c r="B50" s="450" t="str">
        <f t="shared" si="2"/>
        <v>GE2.1 - 282 - T4 - 78m²</v>
      </c>
      <c r="C50" s="450" t="s">
        <v>3</v>
      </c>
      <c r="D50" s="450">
        <v>282</v>
      </c>
      <c r="E50" s="450" t="s">
        <v>6</v>
      </c>
      <c r="F50" s="450">
        <v>78</v>
      </c>
      <c r="G50" s="450">
        <v>3</v>
      </c>
      <c r="H50" s="452">
        <v>0.9</v>
      </c>
      <c r="I50" s="175">
        <v>178.1</v>
      </c>
      <c r="J50" s="462">
        <v>181.3</v>
      </c>
      <c r="K50" s="431">
        <v>6.4</v>
      </c>
      <c r="L50" s="178">
        <v>6.7</v>
      </c>
      <c r="M50" s="176">
        <v>729.1</v>
      </c>
      <c r="N50" s="177">
        <v>758.4</v>
      </c>
      <c r="O50" s="175">
        <v>14.5</v>
      </c>
      <c r="P50" s="178">
        <v>15.2</v>
      </c>
      <c r="Q50" s="132"/>
      <c r="T50" s="186"/>
      <c r="U50" s="186"/>
      <c r="V50" s="186" t="s">
        <v>127</v>
      </c>
      <c r="W50" s="186">
        <v>50</v>
      </c>
      <c r="X50" s="186"/>
    </row>
    <row r="51" spans="1:24" hidden="1" x14ac:dyDescent="0.25">
      <c r="B51" s="450" t="str">
        <f t="shared" si="2"/>
        <v>GE2.1 - 292 - T3 - 63m²</v>
      </c>
      <c r="C51" s="450" t="s">
        <v>3</v>
      </c>
      <c r="D51" s="450">
        <v>292</v>
      </c>
      <c r="E51" s="450" t="s">
        <v>5</v>
      </c>
      <c r="F51" s="450">
        <v>63</v>
      </c>
      <c r="G51" s="450">
        <v>1</v>
      </c>
      <c r="H51" s="452">
        <v>0.9</v>
      </c>
      <c r="I51" s="175">
        <v>387.9</v>
      </c>
      <c r="J51" s="462">
        <v>390.4</v>
      </c>
      <c r="K51" s="431">
        <v>9.1</v>
      </c>
      <c r="L51" s="178">
        <v>9.5</v>
      </c>
      <c r="M51" s="176">
        <v>848.9</v>
      </c>
      <c r="N51" s="177">
        <v>884.4</v>
      </c>
      <c r="O51" s="175">
        <v>18.5</v>
      </c>
      <c r="P51" s="178">
        <v>19.5</v>
      </c>
      <c r="Q51" s="132"/>
      <c r="T51" s="186"/>
      <c r="U51" s="186"/>
      <c r="V51" s="186" t="s">
        <v>128</v>
      </c>
      <c r="W51" s="186">
        <v>51</v>
      </c>
      <c r="X51" s="186"/>
    </row>
    <row r="52" spans="1:24" hidden="1" x14ac:dyDescent="0.25">
      <c r="B52" s="450" t="str">
        <f t="shared" si="2"/>
        <v>GE2.1 - 293 - T3 - 63m²</v>
      </c>
      <c r="C52" s="450" t="s">
        <v>3</v>
      </c>
      <c r="D52" s="450">
        <v>293</v>
      </c>
      <c r="E52" s="450" t="s">
        <v>5</v>
      </c>
      <c r="F52" s="450">
        <v>63</v>
      </c>
      <c r="G52" s="450">
        <v>2</v>
      </c>
      <c r="H52" s="452">
        <v>0.9</v>
      </c>
      <c r="I52" s="175">
        <v>145.4</v>
      </c>
      <c r="J52" s="462">
        <v>149.9</v>
      </c>
      <c r="K52" s="431">
        <v>18.2</v>
      </c>
      <c r="L52" s="178">
        <v>19</v>
      </c>
      <c r="M52" s="176">
        <v>477.7</v>
      </c>
      <c r="N52" s="177">
        <v>503.4</v>
      </c>
      <c r="O52" s="175">
        <v>40.6</v>
      </c>
      <c r="P52" s="178">
        <v>43.3</v>
      </c>
      <c r="Q52" s="132"/>
      <c r="T52" s="186"/>
      <c r="U52" s="186"/>
      <c r="V52" s="186" t="s">
        <v>129</v>
      </c>
      <c r="W52" s="186">
        <v>52</v>
      </c>
      <c r="X52" s="186"/>
    </row>
    <row r="53" spans="1:24" hidden="1" x14ac:dyDescent="0.25">
      <c r="B53" s="450" t="str">
        <f t="shared" si="2"/>
        <v>GE2.1 - 295 - T3 - 63m²</v>
      </c>
      <c r="C53" s="450" t="s">
        <v>3</v>
      </c>
      <c r="D53" s="450">
        <v>295</v>
      </c>
      <c r="E53" s="450" t="s">
        <v>5</v>
      </c>
      <c r="F53" s="450">
        <v>63</v>
      </c>
      <c r="G53" s="450">
        <v>2</v>
      </c>
      <c r="H53" s="452">
        <v>0.9</v>
      </c>
      <c r="I53" s="175">
        <v>680.6</v>
      </c>
      <c r="J53" s="462">
        <v>690.6</v>
      </c>
      <c r="K53" s="431">
        <v>38.299999999999997</v>
      </c>
      <c r="L53" s="178">
        <v>39.9</v>
      </c>
      <c r="M53" s="176">
        <v>1103.5</v>
      </c>
      <c r="N53" s="177">
        <v>1152.0999999999999</v>
      </c>
      <c r="O53" s="175">
        <v>78.8</v>
      </c>
      <c r="P53" s="178">
        <v>82.9</v>
      </c>
      <c r="Q53" s="132"/>
      <c r="T53" s="186"/>
      <c r="U53" s="186"/>
      <c r="V53" s="186" t="s">
        <v>130</v>
      </c>
      <c r="W53" s="186">
        <v>53</v>
      </c>
      <c r="X53" s="186"/>
    </row>
    <row r="54" spans="1:24" hidden="1" x14ac:dyDescent="0.25">
      <c r="B54" s="450" t="str">
        <f t="shared" si="2"/>
        <v>GE2.1 - 296 - T4 - 78m²</v>
      </c>
      <c r="C54" s="450" t="s">
        <v>3</v>
      </c>
      <c r="D54" s="450">
        <v>296</v>
      </c>
      <c r="E54" s="450" t="s">
        <v>6</v>
      </c>
      <c r="F54" s="450">
        <v>78</v>
      </c>
      <c r="G54" s="450">
        <v>4</v>
      </c>
      <c r="H54" s="452">
        <v>0.9</v>
      </c>
      <c r="I54" s="175">
        <v>338.6</v>
      </c>
      <c r="J54" s="462">
        <v>340.6</v>
      </c>
      <c r="K54" s="431">
        <v>10.7</v>
      </c>
      <c r="L54" s="178">
        <v>11.2</v>
      </c>
      <c r="M54" s="176">
        <v>678.9</v>
      </c>
      <c r="N54" s="177">
        <v>706.6</v>
      </c>
      <c r="O54" s="175">
        <v>35.299999999999997</v>
      </c>
      <c r="P54" s="178">
        <v>36.299999999999997</v>
      </c>
      <c r="Q54" s="132"/>
      <c r="T54" s="186"/>
      <c r="U54" s="186"/>
      <c r="V54" s="186" t="s">
        <v>131</v>
      </c>
      <c r="W54" s="186">
        <v>54</v>
      </c>
      <c r="X54" s="186"/>
    </row>
    <row r="55" spans="1:24" hidden="1" x14ac:dyDescent="0.25">
      <c r="B55" s="450" t="str">
        <f t="shared" si="2"/>
        <v>GE2.1 - 297 - T4 - 79m²</v>
      </c>
      <c r="C55" s="450" t="s">
        <v>3</v>
      </c>
      <c r="D55" s="450">
        <v>297</v>
      </c>
      <c r="E55" s="450" t="s">
        <v>6</v>
      </c>
      <c r="F55" s="450">
        <v>79</v>
      </c>
      <c r="G55" s="451">
        <v>1</v>
      </c>
      <c r="H55" s="452">
        <v>0.9</v>
      </c>
      <c r="I55" s="175">
        <v>1114.5</v>
      </c>
      <c r="J55" s="462">
        <v>1146.4000000000001</v>
      </c>
      <c r="K55" s="431">
        <v>53.3</v>
      </c>
      <c r="L55" s="178">
        <v>54.9</v>
      </c>
      <c r="M55" s="176">
        <v>1717.7</v>
      </c>
      <c r="N55" s="177">
        <v>1776.6</v>
      </c>
      <c r="O55" s="175">
        <v>110.5</v>
      </c>
      <c r="P55" s="178">
        <v>115.1</v>
      </c>
      <c r="Q55" s="132"/>
      <c r="T55" s="186"/>
      <c r="U55" s="186"/>
      <c r="X55" s="186"/>
    </row>
    <row r="56" spans="1:24" hidden="1" x14ac:dyDescent="0.25">
      <c r="B56" s="450" t="str">
        <f t="shared" si="2"/>
        <v>GE2.1 - 299 - T4 - 79m²</v>
      </c>
      <c r="C56" s="450" t="s">
        <v>3</v>
      </c>
      <c r="D56" s="450">
        <v>299</v>
      </c>
      <c r="E56" s="450" t="s">
        <v>6</v>
      </c>
      <c r="F56" s="450">
        <v>79</v>
      </c>
      <c r="G56" s="450">
        <v>3</v>
      </c>
      <c r="H56" s="452">
        <v>0.9</v>
      </c>
      <c r="I56" s="175">
        <v>109.9</v>
      </c>
      <c r="J56" s="462">
        <v>111.6</v>
      </c>
      <c r="K56" s="431">
        <v>14.1</v>
      </c>
      <c r="L56" s="178">
        <v>14.3</v>
      </c>
      <c r="M56" s="176">
        <v>836.1</v>
      </c>
      <c r="N56" s="177">
        <v>858.4</v>
      </c>
      <c r="O56" s="175">
        <v>28.5</v>
      </c>
      <c r="P56" s="178">
        <v>29.3</v>
      </c>
      <c r="Q56" s="132"/>
      <c r="T56" s="186"/>
      <c r="U56" s="186"/>
      <c r="X56" s="186"/>
    </row>
    <row r="57" spans="1:24" s="21" customFormat="1" hidden="1" x14ac:dyDescent="0.25">
      <c r="A57" s="18"/>
      <c r="B57" s="450" t="str">
        <f t="shared" si="2"/>
        <v>GE2.1 - 300 - T5 - 93m²</v>
      </c>
      <c r="C57" s="450" t="s">
        <v>3</v>
      </c>
      <c r="D57" s="450">
        <v>300</v>
      </c>
      <c r="E57" s="450" t="s">
        <v>7</v>
      </c>
      <c r="F57" s="450">
        <v>93</v>
      </c>
      <c r="G57" s="450">
        <v>4</v>
      </c>
      <c r="H57" s="452">
        <v>0.9</v>
      </c>
      <c r="I57" s="175">
        <v>354.6</v>
      </c>
      <c r="J57" s="462">
        <v>359.1</v>
      </c>
      <c r="K57" s="431">
        <v>26.3</v>
      </c>
      <c r="L57" s="178">
        <v>27.3</v>
      </c>
      <c r="M57" s="176">
        <v>1531.6</v>
      </c>
      <c r="N57" s="177">
        <v>1580.6</v>
      </c>
      <c r="O57" s="175">
        <v>53.9</v>
      </c>
      <c r="P57" s="178">
        <v>56.4</v>
      </c>
      <c r="Q57" s="133"/>
      <c r="T57" s="186"/>
      <c r="U57" s="186"/>
      <c r="X57" s="304"/>
    </row>
    <row r="58" spans="1:24" hidden="1" x14ac:dyDescent="0.25">
      <c r="B58" s="450" t="str">
        <f t="shared" si="2"/>
        <v>GE2.1 - 302 - T5 - 93m²</v>
      </c>
      <c r="C58" s="450" t="s">
        <v>3</v>
      </c>
      <c r="D58" s="450">
        <v>302</v>
      </c>
      <c r="E58" s="450" t="s">
        <v>7</v>
      </c>
      <c r="F58" s="450">
        <v>93</v>
      </c>
      <c r="G58" s="450">
        <v>3</v>
      </c>
      <c r="H58" s="452">
        <v>0.9</v>
      </c>
      <c r="I58" s="175">
        <v>791.9</v>
      </c>
      <c r="J58" s="462">
        <v>796.2</v>
      </c>
      <c r="K58" s="431">
        <v>17</v>
      </c>
      <c r="L58" s="178">
        <v>17.600000000000001</v>
      </c>
      <c r="M58" s="176">
        <v>1326.3</v>
      </c>
      <c r="N58" s="177">
        <v>1378.1</v>
      </c>
      <c r="O58" s="175">
        <v>42.8</v>
      </c>
      <c r="P58" s="178">
        <v>44.9</v>
      </c>
      <c r="Q58" s="132"/>
    </row>
    <row r="59" spans="1:24" hidden="1" x14ac:dyDescent="0.25">
      <c r="B59" s="450" t="str">
        <f t="shared" si="2"/>
        <v>GE2.1 - 312 - T4 - 75m²</v>
      </c>
      <c r="C59" s="450" t="s">
        <v>3</v>
      </c>
      <c r="D59" s="450">
        <v>312</v>
      </c>
      <c r="E59" s="450" t="s">
        <v>6</v>
      </c>
      <c r="F59" s="450">
        <v>75</v>
      </c>
      <c r="G59" s="450">
        <v>2</v>
      </c>
      <c r="H59" s="452">
        <v>0.9</v>
      </c>
      <c r="I59" s="175">
        <v>128.19999999999999</v>
      </c>
      <c r="J59" s="462">
        <v>130</v>
      </c>
      <c r="K59" s="431">
        <v>25.1</v>
      </c>
      <c r="L59" s="178">
        <v>25.6</v>
      </c>
      <c r="M59" s="176">
        <v>30617.3</v>
      </c>
      <c r="N59" s="177">
        <v>30649.1</v>
      </c>
      <c r="O59" s="175">
        <v>46.8</v>
      </c>
      <c r="P59" s="178">
        <v>47.9</v>
      </c>
      <c r="Q59" s="132"/>
    </row>
    <row r="60" spans="1:24" ht="13.5" hidden="1" thickBot="1" x14ac:dyDescent="0.3">
      <c r="A60" s="21"/>
      <c r="B60" s="453" t="s">
        <v>160</v>
      </c>
      <c r="C60" s="453"/>
      <c r="D60" s="453"/>
      <c r="E60" s="453"/>
      <c r="F60" s="453"/>
      <c r="G60" s="453"/>
      <c r="H60" s="454"/>
      <c r="I60" s="62"/>
      <c r="J60" s="463"/>
      <c r="K60" s="432"/>
      <c r="L60" s="63"/>
      <c r="M60" s="64"/>
      <c r="N60" s="65"/>
      <c r="O60" s="62"/>
      <c r="P60" s="63"/>
      <c r="Q60" s="132"/>
    </row>
    <row r="61" spans="1:24" x14ac:dyDescent="0.25">
      <c r="B61" s="450" t="str">
        <f t="shared" si="2"/>
        <v>GE2.2 - 271 - T3 - 74m²</v>
      </c>
      <c r="C61" s="450" t="s">
        <v>1</v>
      </c>
      <c r="D61" s="450">
        <v>271</v>
      </c>
      <c r="E61" s="450" t="s">
        <v>5</v>
      </c>
      <c r="F61" s="450">
        <v>74</v>
      </c>
      <c r="G61" s="450">
        <v>2</v>
      </c>
      <c r="H61" s="452">
        <v>0.9</v>
      </c>
      <c r="I61" s="179">
        <v>280.8</v>
      </c>
      <c r="J61" s="464">
        <v>285.5</v>
      </c>
      <c r="K61" s="433">
        <v>26.7</v>
      </c>
      <c r="L61" s="182">
        <v>27.9</v>
      </c>
      <c r="M61" s="180">
        <v>743.3</v>
      </c>
      <c r="N61" s="181">
        <v>775.1</v>
      </c>
      <c r="O61" s="179">
        <v>38.799999999999997</v>
      </c>
      <c r="P61" s="182">
        <v>40.6</v>
      </c>
      <c r="Q61" s="132"/>
    </row>
    <row r="62" spans="1:24" x14ac:dyDescent="0.25">
      <c r="B62" s="450" t="str">
        <f t="shared" si="2"/>
        <v>GE2.2 - 272 - T3 - 74m²</v>
      </c>
      <c r="C62" s="450" t="s">
        <v>1</v>
      </c>
      <c r="D62" s="450">
        <v>272</v>
      </c>
      <c r="E62" s="450" t="s">
        <v>5</v>
      </c>
      <c r="F62" s="450">
        <v>74</v>
      </c>
      <c r="G62" s="450">
        <v>1</v>
      </c>
      <c r="H62" s="452">
        <v>0.9</v>
      </c>
      <c r="I62" s="175">
        <v>304.5</v>
      </c>
      <c r="J62" s="462">
        <v>305.10000000000002</v>
      </c>
      <c r="K62" s="431">
        <v>3.9</v>
      </c>
      <c r="L62" s="178">
        <v>4</v>
      </c>
      <c r="M62" s="176">
        <v>2893.1</v>
      </c>
      <c r="N62" s="177">
        <v>2965.8</v>
      </c>
      <c r="O62" s="175">
        <v>42</v>
      </c>
      <c r="P62" s="178">
        <v>43.8</v>
      </c>
      <c r="Q62" s="132"/>
    </row>
    <row r="63" spans="1:24" x14ac:dyDescent="0.25">
      <c r="B63" s="450" t="str">
        <f t="shared" si="2"/>
        <v>GE2.2 - 273 - T3 - 74m²</v>
      </c>
      <c r="C63" s="450" t="s">
        <v>1</v>
      </c>
      <c r="D63" s="450">
        <v>273</v>
      </c>
      <c r="E63" s="450" t="s">
        <v>5</v>
      </c>
      <c r="F63" s="450">
        <v>74</v>
      </c>
      <c r="G63" s="450">
        <v>2</v>
      </c>
      <c r="H63" s="452">
        <v>0.9</v>
      </c>
      <c r="I63" s="175">
        <v>697.1</v>
      </c>
      <c r="J63" s="462">
        <v>701.4</v>
      </c>
      <c r="K63" s="431">
        <v>18.8</v>
      </c>
      <c r="L63" s="178">
        <v>19.7</v>
      </c>
      <c r="M63" s="176">
        <v>1471.2</v>
      </c>
      <c r="N63" s="177">
        <v>1526</v>
      </c>
      <c r="O63" s="175">
        <v>38.200000000000003</v>
      </c>
      <c r="P63" s="178">
        <v>40.200000000000003</v>
      </c>
      <c r="Q63" s="132"/>
    </row>
    <row r="64" spans="1:24" x14ac:dyDescent="0.25">
      <c r="B64" s="450" t="str">
        <f t="shared" si="2"/>
        <v>GE2.2 - 276 - T4 - 83m²</v>
      </c>
      <c r="C64" s="450" t="s">
        <v>1</v>
      </c>
      <c r="D64" s="450">
        <v>276</v>
      </c>
      <c r="E64" s="450" t="s">
        <v>6</v>
      </c>
      <c r="F64" s="450">
        <v>83</v>
      </c>
      <c r="G64" s="450">
        <v>2</v>
      </c>
      <c r="H64" s="452">
        <v>0.9</v>
      </c>
      <c r="I64" s="175">
        <v>279.3</v>
      </c>
      <c r="J64" s="462">
        <v>282.60000000000002</v>
      </c>
      <c r="K64" s="431">
        <v>18.7</v>
      </c>
      <c r="L64" s="178">
        <v>19.399999999999999</v>
      </c>
      <c r="M64" s="176">
        <v>2071.5</v>
      </c>
      <c r="N64" s="177">
        <v>2157.1999999999998</v>
      </c>
      <c r="O64" s="175">
        <v>41.9</v>
      </c>
      <c r="P64" s="178">
        <v>44</v>
      </c>
      <c r="Q64" s="132"/>
    </row>
    <row r="65" spans="1:17" x14ac:dyDescent="0.25">
      <c r="B65" s="450" t="str">
        <f t="shared" si="2"/>
        <v>GE2.2 - 279 - T3 - 70m²</v>
      </c>
      <c r="C65" s="450" t="s">
        <v>1</v>
      </c>
      <c r="D65" s="450">
        <v>279</v>
      </c>
      <c r="E65" s="450" t="s">
        <v>5</v>
      </c>
      <c r="F65" s="450">
        <v>70</v>
      </c>
      <c r="G65" s="450">
        <v>2</v>
      </c>
      <c r="H65" s="452">
        <v>0.9</v>
      </c>
      <c r="I65" s="175">
        <v>479.6</v>
      </c>
      <c r="J65" s="462">
        <v>483.4</v>
      </c>
      <c r="K65" s="431">
        <v>15.3</v>
      </c>
      <c r="L65" s="178">
        <v>16.2</v>
      </c>
      <c r="M65" s="176">
        <v>1082.5999999999999</v>
      </c>
      <c r="N65" s="177">
        <v>1124.3</v>
      </c>
      <c r="O65" s="175">
        <v>28</v>
      </c>
      <c r="P65" s="178">
        <v>29.8</v>
      </c>
      <c r="Q65" s="132"/>
    </row>
    <row r="66" spans="1:17" x14ac:dyDescent="0.25">
      <c r="B66" s="450" t="str">
        <f t="shared" si="2"/>
        <v>GE2.2 - 288 - T3 - 68m²</v>
      </c>
      <c r="C66" s="450" t="s">
        <v>1</v>
      </c>
      <c r="D66" s="450">
        <v>288</v>
      </c>
      <c r="E66" s="450" t="s">
        <v>5</v>
      </c>
      <c r="F66" s="450">
        <v>68</v>
      </c>
      <c r="G66" s="450">
        <v>4</v>
      </c>
      <c r="H66" s="452">
        <v>0.9</v>
      </c>
      <c r="I66" s="175">
        <v>79.2</v>
      </c>
      <c r="J66" s="462">
        <v>81</v>
      </c>
      <c r="K66" s="431">
        <v>3.7</v>
      </c>
      <c r="L66" s="178">
        <v>3.8</v>
      </c>
      <c r="M66" s="176">
        <v>743.7</v>
      </c>
      <c r="N66" s="177">
        <v>778.8</v>
      </c>
      <c r="O66" s="175">
        <v>18.899999999999999</v>
      </c>
      <c r="P66" s="178">
        <v>19.8</v>
      </c>
      <c r="Q66" s="132"/>
    </row>
    <row r="67" spans="1:17" x14ac:dyDescent="0.25">
      <c r="B67" s="450" t="str">
        <f t="shared" si="2"/>
        <v>GE2.2 - 291 - T3 - 62m²</v>
      </c>
      <c r="C67" s="450" t="s">
        <v>1</v>
      </c>
      <c r="D67" s="450">
        <v>291</v>
      </c>
      <c r="E67" s="450" t="s">
        <v>5</v>
      </c>
      <c r="F67" s="450">
        <v>62</v>
      </c>
      <c r="G67" s="450">
        <v>2</v>
      </c>
      <c r="H67" s="452">
        <v>0.9</v>
      </c>
      <c r="I67" s="175">
        <v>304.3</v>
      </c>
      <c r="J67" s="462">
        <v>304.60000000000002</v>
      </c>
      <c r="K67" s="431">
        <v>0</v>
      </c>
      <c r="L67" s="178">
        <v>0</v>
      </c>
      <c r="M67" s="176">
        <v>1269.3</v>
      </c>
      <c r="N67" s="177">
        <v>1288.0999999999999</v>
      </c>
      <c r="O67" s="175">
        <v>31.3</v>
      </c>
      <c r="P67" s="178">
        <v>31.7</v>
      </c>
      <c r="Q67" s="132"/>
    </row>
    <row r="68" spans="1:17" x14ac:dyDescent="0.25">
      <c r="B68" s="450" t="str">
        <f t="shared" si="2"/>
        <v>GE2.2 - 294 - T3 - 63m²</v>
      </c>
      <c r="C68" s="450" t="s">
        <v>1</v>
      </c>
      <c r="D68" s="450">
        <v>294</v>
      </c>
      <c r="E68" s="450" t="s">
        <v>5</v>
      </c>
      <c r="F68" s="450">
        <v>63</v>
      </c>
      <c r="G68" s="450">
        <v>1</v>
      </c>
      <c r="H68" s="452">
        <v>0.9</v>
      </c>
      <c r="I68" s="175">
        <v>699.6</v>
      </c>
      <c r="J68" s="462">
        <v>699.6</v>
      </c>
      <c r="K68" s="431">
        <v>8.1999999999999993</v>
      </c>
      <c r="L68" s="178">
        <v>8.6</v>
      </c>
      <c r="M68" s="176">
        <v>3124.8</v>
      </c>
      <c r="N68" s="177">
        <v>3183.8</v>
      </c>
      <c r="O68" s="175">
        <v>31.9</v>
      </c>
      <c r="P68" s="178">
        <v>33.299999999999997</v>
      </c>
      <c r="Q68" s="132"/>
    </row>
    <row r="69" spans="1:17" x14ac:dyDescent="0.25">
      <c r="B69" s="450" t="str">
        <f t="shared" si="2"/>
        <v>GE2.2 - 298 - T5 - 93m²</v>
      </c>
      <c r="C69" s="450" t="s">
        <v>1</v>
      </c>
      <c r="D69" s="450">
        <v>298</v>
      </c>
      <c r="E69" s="450" t="s">
        <v>7</v>
      </c>
      <c r="F69" s="450">
        <v>93</v>
      </c>
      <c r="G69" s="451">
        <v>1</v>
      </c>
      <c r="H69" s="452">
        <v>0.9</v>
      </c>
      <c r="I69" s="175">
        <v>589.4</v>
      </c>
      <c r="J69" s="462">
        <v>602.29999999999995</v>
      </c>
      <c r="K69" s="431">
        <v>38.200000000000003</v>
      </c>
      <c r="L69" s="178">
        <v>39.5</v>
      </c>
      <c r="M69" s="176">
        <v>1896</v>
      </c>
      <c r="N69" s="177">
        <v>1966.7</v>
      </c>
      <c r="O69" s="175">
        <v>88.7</v>
      </c>
      <c r="P69" s="178">
        <v>93.4</v>
      </c>
      <c r="Q69" s="132"/>
    </row>
    <row r="70" spans="1:17" x14ac:dyDescent="0.25">
      <c r="B70" s="450" t="str">
        <f t="shared" si="2"/>
        <v>GE2.2 - 301 - T4 - 79m²</v>
      </c>
      <c r="C70" s="450" t="s">
        <v>1</v>
      </c>
      <c r="D70" s="450">
        <v>301</v>
      </c>
      <c r="E70" s="450" t="s">
        <v>6</v>
      </c>
      <c r="F70" s="450">
        <v>79</v>
      </c>
      <c r="G70" s="450">
        <v>3</v>
      </c>
      <c r="H70" s="452">
        <v>0.9</v>
      </c>
      <c r="I70" s="175">
        <v>603.4</v>
      </c>
      <c r="J70" s="462">
        <v>605</v>
      </c>
      <c r="K70" s="431">
        <v>16.100000000000001</v>
      </c>
      <c r="L70" s="178">
        <v>16.600000000000001</v>
      </c>
      <c r="M70" s="176">
        <v>1911.4</v>
      </c>
      <c r="N70" s="177">
        <v>1976.4</v>
      </c>
      <c r="O70" s="175">
        <v>43.3</v>
      </c>
      <c r="P70" s="178">
        <v>44.8</v>
      </c>
      <c r="Q70" s="132"/>
    </row>
    <row r="71" spans="1:17" s="21" customFormat="1" x14ac:dyDescent="0.25">
      <c r="A71" s="18"/>
      <c r="B71" s="450" t="str">
        <f t="shared" si="2"/>
        <v>GE2.2 - 311 - T4 - 74m²</v>
      </c>
      <c r="C71" s="450" t="s">
        <v>1</v>
      </c>
      <c r="D71" s="450">
        <v>311</v>
      </c>
      <c r="E71" s="450" t="s">
        <v>6</v>
      </c>
      <c r="F71" s="450">
        <v>74</v>
      </c>
      <c r="G71" s="450">
        <v>2</v>
      </c>
      <c r="H71" s="452">
        <v>0.9</v>
      </c>
      <c r="I71" s="175">
        <v>405.5</v>
      </c>
      <c r="J71" s="462">
        <v>412</v>
      </c>
      <c r="K71" s="431">
        <v>20.5</v>
      </c>
      <c r="L71" s="178">
        <v>21.3</v>
      </c>
      <c r="M71" s="176">
        <v>953.8</v>
      </c>
      <c r="N71" s="177">
        <v>989.8</v>
      </c>
      <c r="O71" s="175">
        <v>49.2</v>
      </c>
      <c r="P71" s="178">
        <v>51.2</v>
      </c>
      <c r="Q71" s="133"/>
    </row>
    <row r="72" spans="1:17" x14ac:dyDescent="0.25">
      <c r="B72" s="450" t="str">
        <f t="shared" si="2"/>
        <v>GE2.2 - 313 - T4 - 75m²</v>
      </c>
      <c r="C72" s="450" t="s">
        <v>1</v>
      </c>
      <c r="D72" s="450">
        <v>313</v>
      </c>
      <c r="E72" s="450" t="s">
        <v>6</v>
      </c>
      <c r="F72" s="450">
        <v>75</v>
      </c>
      <c r="G72" s="450">
        <v>2</v>
      </c>
      <c r="H72" s="452">
        <v>0.9</v>
      </c>
      <c r="I72" s="175">
        <v>296.89999999999998</v>
      </c>
      <c r="J72" s="462">
        <v>298.8</v>
      </c>
      <c r="K72" s="431">
        <v>10.3</v>
      </c>
      <c r="L72" s="178">
        <v>10.7</v>
      </c>
      <c r="M72" s="176">
        <v>788.6</v>
      </c>
      <c r="N72" s="177">
        <v>814.4</v>
      </c>
      <c r="O72" s="175">
        <v>21.6</v>
      </c>
      <c r="P72" s="178">
        <v>22.5</v>
      </c>
      <c r="Q72" s="132"/>
    </row>
    <row r="73" spans="1:17" x14ac:dyDescent="0.25">
      <c r="B73" s="450" t="str">
        <f t="shared" si="2"/>
        <v>GE2.2 - 315 - T4 - 75m²</v>
      </c>
      <c r="C73" s="450" t="s">
        <v>1</v>
      </c>
      <c r="D73" s="450">
        <v>315</v>
      </c>
      <c r="E73" s="450" t="s">
        <v>6</v>
      </c>
      <c r="F73" s="450">
        <v>75</v>
      </c>
      <c r="G73" s="451">
        <v>1</v>
      </c>
      <c r="H73" s="452">
        <v>0.9</v>
      </c>
      <c r="I73" s="175">
        <v>470.2</v>
      </c>
      <c r="J73" s="462">
        <v>476.8</v>
      </c>
      <c r="K73" s="431">
        <v>22.2</v>
      </c>
      <c r="L73" s="178">
        <v>23.2</v>
      </c>
      <c r="M73" s="176">
        <v>1262.2</v>
      </c>
      <c r="N73" s="177">
        <v>1312</v>
      </c>
      <c r="O73" s="175">
        <v>48.4</v>
      </c>
      <c r="P73" s="178">
        <v>51</v>
      </c>
      <c r="Q73" s="132"/>
    </row>
    <row r="74" spans="1:17" ht="13.5" thickBot="1" x14ac:dyDescent="0.3">
      <c r="A74" s="21"/>
      <c r="B74" s="453" t="s">
        <v>161</v>
      </c>
      <c r="C74" s="453"/>
      <c r="D74" s="453"/>
      <c r="E74" s="453"/>
      <c r="F74" s="453"/>
      <c r="G74" s="453"/>
      <c r="H74" s="454"/>
      <c r="I74" s="62"/>
      <c r="J74" s="463"/>
      <c r="K74" s="432"/>
      <c r="L74" s="63"/>
      <c r="M74" s="64"/>
      <c r="N74" s="65"/>
      <c r="O74" s="62"/>
      <c r="P74" s="63"/>
      <c r="Q74" s="132"/>
    </row>
    <row r="75" spans="1:17" x14ac:dyDescent="0.25">
      <c r="B75" s="450" t="str">
        <f t="shared" si="2"/>
        <v>SO - 284 - T - 64m²</v>
      </c>
      <c r="C75" s="450" t="s">
        <v>39</v>
      </c>
      <c r="D75" s="450">
        <v>284</v>
      </c>
      <c r="E75" s="450" t="s">
        <v>59</v>
      </c>
      <c r="F75" s="450">
        <v>64</v>
      </c>
      <c r="G75" s="451">
        <v>1</v>
      </c>
      <c r="H75" s="452">
        <v>0.9</v>
      </c>
      <c r="I75" s="179">
        <v>31.8</v>
      </c>
      <c r="J75" s="464">
        <v>34</v>
      </c>
      <c r="K75" s="433">
        <v>1.2</v>
      </c>
      <c r="L75" s="182">
        <v>1.2</v>
      </c>
      <c r="M75" s="180">
        <v>2250</v>
      </c>
      <c r="N75" s="181">
        <v>2313.4</v>
      </c>
      <c r="O75" s="179">
        <v>6.4</v>
      </c>
      <c r="P75" s="182">
        <v>6.6</v>
      </c>
      <c r="Q75" s="132"/>
    </row>
    <row r="76" spans="1:17" x14ac:dyDescent="0.25">
      <c r="B76" s="450" t="str">
        <f t="shared" si="2"/>
        <v>SO - 287 - T - 81m²</v>
      </c>
      <c r="C76" s="450" t="s">
        <v>39</v>
      </c>
      <c r="D76" s="450">
        <v>287</v>
      </c>
      <c r="E76" s="450" t="s">
        <v>59</v>
      </c>
      <c r="F76" s="450">
        <v>81</v>
      </c>
      <c r="G76" s="451">
        <v>1</v>
      </c>
      <c r="H76" s="452">
        <v>0.9</v>
      </c>
      <c r="I76" s="175">
        <v>404</v>
      </c>
      <c r="J76" s="462">
        <v>405.9</v>
      </c>
      <c r="K76" s="431">
        <v>13.2</v>
      </c>
      <c r="L76" s="178">
        <v>13.5</v>
      </c>
      <c r="M76" s="176">
        <v>1079.5999999999999</v>
      </c>
      <c r="N76" s="177">
        <v>1115.2</v>
      </c>
      <c r="O76" s="175">
        <v>32.1</v>
      </c>
      <c r="P76" s="178">
        <v>33.299999999999997</v>
      </c>
      <c r="Q76" s="132"/>
    </row>
    <row r="77" spans="1:17" x14ac:dyDescent="0.25">
      <c r="B77" s="450" t="str">
        <f t="shared" si="2"/>
        <v>SO - 290 - T - 40m²</v>
      </c>
      <c r="C77" s="450" t="s">
        <v>39</v>
      </c>
      <c r="D77" s="450">
        <v>290</v>
      </c>
      <c r="E77" s="450" t="s">
        <v>59</v>
      </c>
      <c r="F77" s="450">
        <v>40</v>
      </c>
      <c r="G77" s="451">
        <v>1</v>
      </c>
      <c r="H77" s="452">
        <v>0.9</v>
      </c>
      <c r="I77" s="175">
        <v>78.900000000000006</v>
      </c>
      <c r="J77" s="462">
        <v>80.7</v>
      </c>
      <c r="K77" s="431">
        <v>0</v>
      </c>
      <c r="L77" s="178">
        <v>0</v>
      </c>
      <c r="M77" s="176">
        <v>534.5</v>
      </c>
      <c r="N77" s="177">
        <v>561.29999999999995</v>
      </c>
      <c r="O77" s="175">
        <v>19.600000000000001</v>
      </c>
      <c r="P77" s="178">
        <v>20.7</v>
      </c>
      <c r="Q77" s="132"/>
    </row>
    <row r="78" spans="1:17" s="21" customFormat="1" x14ac:dyDescent="0.25">
      <c r="A78" s="18"/>
      <c r="B78" s="450" t="str">
        <f t="shared" si="2"/>
        <v>SO - 305 - T - 66m²</v>
      </c>
      <c r="C78" s="450" t="s">
        <v>39</v>
      </c>
      <c r="D78" s="450">
        <v>305</v>
      </c>
      <c r="E78" s="450" t="s">
        <v>59</v>
      </c>
      <c r="F78" s="450">
        <v>66</v>
      </c>
      <c r="G78" s="450">
        <v>3</v>
      </c>
      <c r="H78" s="452">
        <v>0.9</v>
      </c>
      <c r="I78" s="175">
        <v>438.7</v>
      </c>
      <c r="J78" s="462">
        <v>443.4</v>
      </c>
      <c r="K78" s="431">
        <v>0</v>
      </c>
      <c r="L78" s="178">
        <v>0</v>
      </c>
      <c r="M78" s="176">
        <v>1035</v>
      </c>
      <c r="N78" s="177">
        <v>1078.8</v>
      </c>
      <c r="O78" s="175">
        <v>23.6</v>
      </c>
      <c r="P78" s="178">
        <v>25.6</v>
      </c>
      <c r="Q78" s="133"/>
    </row>
    <row r="79" spans="1:17" x14ac:dyDescent="0.25">
      <c r="B79" s="450" t="str">
        <f t="shared" si="2"/>
        <v>SO - 309 - T - 66m²</v>
      </c>
      <c r="C79" s="450" t="s">
        <v>39</v>
      </c>
      <c r="D79" s="450">
        <v>309</v>
      </c>
      <c r="E79" s="450" t="s">
        <v>59</v>
      </c>
      <c r="F79" s="450">
        <v>66</v>
      </c>
      <c r="G79" s="451">
        <v>1</v>
      </c>
      <c r="H79" s="452">
        <v>0.9</v>
      </c>
      <c r="I79" s="175">
        <v>848.8</v>
      </c>
      <c r="J79" s="462">
        <v>854</v>
      </c>
      <c r="K79" s="431">
        <v>12.7</v>
      </c>
      <c r="L79" s="178">
        <v>13.2</v>
      </c>
      <c r="M79" s="176">
        <v>605.79999999999995</v>
      </c>
      <c r="N79" s="177">
        <v>622.79999999999995</v>
      </c>
      <c r="O79" s="175">
        <v>23.6</v>
      </c>
      <c r="P79" s="178">
        <v>25.1</v>
      </c>
    </row>
    <row r="80" spans="1:17" x14ac:dyDescent="0.25">
      <c r="B80" s="450" t="str">
        <f t="shared" si="2"/>
        <v>SO - 310 - T - 54m²</v>
      </c>
      <c r="C80" s="450" t="s">
        <v>39</v>
      </c>
      <c r="D80" s="450">
        <v>310</v>
      </c>
      <c r="E80" s="450" t="s">
        <v>59</v>
      </c>
      <c r="F80" s="450">
        <v>54</v>
      </c>
      <c r="G80" s="451">
        <v>1</v>
      </c>
      <c r="H80" s="452">
        <v>0.9</v>
      </c>
      <c r="I80" s="175">
        <v>700.8</v>
      </c>
      <c r="J80" s="462">
        <v>703.5</v>
      </c>
      <c r="K80" s="431">
        <v>6.9</v>
      </c>
      <c r="L80" s="178">
        <v>7.2</v>
      </c>
      <c r="M80" s="176">
        <v>1460.8</v>
      </c>
      <c r="N80" s="177">
        <v>1476.1</v>
      </c>
      <c r="O80" s="175">
        <v>33.200000000000003</v>
      </c>
      <c r="P80" s="178">
        <v>34.799999999999997</v>
      </c>
    </row>
    <row r="81" spans="1:57" x14ac:dyDescent="0.25">
      <c r="A81" s="21"/>
      <c r="B81" s="453" t="s">
        <v>162</v>
      </c>
      <c r="C81" s="453"/>
      <c r="D81" s="453"/>
      <c r="E81" s="453"/>
      <c r="F81" s="453"/>
      <c r="G81" s="453"/>
      <c r="H81" s="454"/>
      <c r="I81" s="112"/>
      <c r="J81" s="113"/>
      <c r="K81" s="44"/>
      <c r="L81" s="45"/>
      <c r="M81" s="114"/>
      <c r="N81" s="115"/>
      <c r="O81" s="112"/>
      <c r="P81" s="116"/>
    </row>
    <row r="82" spans="1:57" x14ac:dyDescent="0.25">
      <c r="I82" s="170" t="s">
        <v>147</v>
      </c>
      <c r="J82" s="170" t="s">
        <v>147</v>
      </c>
      <c r="K82" s="170" t="s">
        <v>148</v>
      </c>
      <c r="L82" s="170" t="s">
        <v>148</v>
      </c>
      <c r="M82" s="189" t="s">
        <v>149</v>
      </c>
      <c r="N82" s="189" t="s">
        <v>149</v>
      </c>
      <c r="O82" s="190" t="s">
        <v>150</v>
      </c>
      <c r="P82" s="190" t="s">
        <v>150</v>
      </c>
    </row>
    <row r="83" spans="1:57" x14ac:dyDescent="0.25">
      <c r="B83" s="134"/>
    </row>
    <row r="85" spans="1:57" x14ac:dyDescent="0.25">
      <c r="C85" s="469" t="s">
        <v>186</v>
      </c>
      <c r="D85" s="469"/>
      <c r="E85" s="469"/>
      <c r="F85" s="469"/>
      <c r="G85" s="469"/>
      <c r="H85" s="469"/>
      <c r="I85" s="469"/>
      <c r="J85" s="469"/>
      <c r="K85" s="26"/>
      <c r="Q85" s="18"/>
    </row>
    <row r="86" spans="1:57" x14ac:dyDescent="0.25">
      <c r="C86" s="186">
        <v>3</v>
      </c>
      <c r="D86" s="186">
        <v>4</v>
      </c>
      <c r="E86" s="186">
        <v>5</v>
      </c>
      <c r="F86" s="186">
        <v>6</v>
      </c>
      <c r="G86" s="186">
        <v>7</v>
      </c>
      <c r="H86" s="186">
        <v>8</v>
      </c>
      <c r="I86" s="186">
        <v>9</v>
      </c>
      <c r="J86" s="186">
        <v>10</v>
      </c>
      <c r="K86" s="186">
        <v>11</v>
      </c>
      <c r="L86" s="186">
        <v>12</v>
      </c>
      <c r="M86" s="186">
        <v>13</v>
      </c>
      <c r="N86" s="186">
        <v>14</v>
      </c>
      <c r="O86" s="186">
        <v>15</v>
      </c>
      <c r="P86" s="186">
        <v>16</v>
      </c>
      <c r="Q86" s="186">
        <v>17</v>
      </c>
      <c r="R86" s="186">
        <v>18</v>
      </c>
      <c r="S86" s="186">
        <v>19</v>
      </c>
      <c r="T86" s="186">
        <v>20</v>
      </c>
      <c r="U86" s="186">
        <v>21</v>
      </c>
      <c r="V86" s="186">
        <v>22</v>
      </c>
      <c r="W86" s="186">
        <v>23</v>
      </c>
      <c r="X86" s="186">
        <v>24</v>
      </c>
      <c r="Y86" s="186"/>
      <c r="Z86" s="186"/>
      <c r="AA86" s="186"/>
      <c r="AB86" s="186">
        <v>25</v>
      </c>
      <c r="AC86" s="186">
        <v>26</v>
      </c>
      <c r="AD86" s="186">
        <v>27</v>
      </c>
      <c r="AE86" s="186">
        <v>28</v>
      </c>
      <c r="AF86" s="186">
        <v>29</v>
      </c>
      <c r="AG86" s="186">
        <v>30</v>
      </c>
      <c r="AH86" s="186">
        <v>31</v>
      </c>
      <c r="AI86" s="186">
        <v>32</v>
      </c>
      <c r="AJ86" s="186">
        <v>33</v>
      </c>
      <c r="AK86" s="186">
        <v>34</v>
      </c>
      <c r="AL86" s="186">
        <v>35</v>
      </c>
      <c r="AM86" s="186">
        <v>36</v>
      </c>
      <c r="AN86" s="186">
        <v>37</v>
      </c>
      <c r="AO86" s="186">
        <v>38</v>
      </c>
      <c r="AP86" s="186">
        <v>39</v>
      </c>
      <c r="AQ86" s="186">
        <v>40</v>
      </c>
      <c r="AR86" s="186">
        <v>41</v>
      </c>
      <c r="AS86" s="186">
        <v>42</v>
      </c>
      <c r="AT86" s="186">
        <v>43</v>
      </c>
      <c r="AU86" s="186">
        <v>44</v>
      </c>
      <c r="AV86" s="186">
        <v>45</v>
      </c>
      <c r="AW86" s="186">
        <v>46</v>
      </c>
      <c r="AX86" s="186">
        <v>47</v>
      </c>
      <c r="AY86" s="186">
        <v>48</v>
      </c>
      <c r="AZ86" s="186">
        <v>49</v>
      </c>
      <c r="BA86" s="186">
        <v>50</v>
      </c>
      <c r="BB86" s="186">
        <v>51</v>
      </c>
      <c r="BC86" s="186">
        <v>52</v>
      </c>
      <c r="BD86" s="186">
        <v>53</v>
      </c>
      <c r="BE86" s="186">
        <v>54</v>
      </c>
    </row>
    <row r="87" spans="1:57" x14ac:dyDescent="0.25">
      <c r="C87" s="18" t="s">
        <v>16</v>
      </c>
      <c r="D87" s="18" t="s">
        <v>82</v>
      </c>
      <c r="E87" s="18" t="s">
        <v>83</v>
      </c>
      <c r="F87" s="18" t="s">
        <v>84</v>
      </c>
      <c r="G87" s="18" t="s">
        <v>85</v>
      </c>
      <c r="H87" s="18" t="s">
        <v>86</v>
      </c>
      <c r="I87" s="18" t="s">
        <v>87</v>
      </c>
      <c r="J87" s="18" t="s">
        <v>88</v>
      </c>
      <c r="K87" s="18" t="s">
        <v>89</v>
      </c>
      <c r="L87" s="18" t="s">
        <v>90</v>
      </c>
      <c r="M87" s="18" t="s">
        <v>91</v>
      </c>
      <c r="N87" s="18" t="s">
        <v>92</v>
      </c>
      <c r="O87" s="18" t="s">
        <v>93</v>
      </c>
      <c r="P87" s="18" t="s">
        <v>94</v>
      </c>
      <c r="Q87" s="18" t="s">
        <v>95</v>
      </c>
      <c r="R87" s="18" t="s">
        <v>37</v>
      </c>
      <c r="S87" s="18" t="s">
        <v>96</v>
      </c>
      <c r="T87" s="18" t="s">
        <v>97</v>
      </c>
      <c r="U87" s="18" t="s">
        <v>98</v>
      </c>
      <c r="V87" s="18" t="s">
        <v>99</v>
      </c>
      <c r="W87" s="18" t="s">
        <v>100</v>
      </c>
      <c r="X87" s="18" t="s">
        <v>101</v>
      </c>
      <c r="Y87" s="18" t="s">
        <v>102</v>
      </c>
      <c r="Z87" s="18" t="s">
        <v>103</v>
      </c>
      <c r="AA87" s="18" t="s">
        <v>104</v>
      </c>
      <c r="AB87" s="18" t="s">
        <v>105</v>
      </c>
      <c r="AC87" s="18" t="s">
        <v>106</v>
      </c>
      <c r="AD87" s="18" t="s">
        <v>107</v>
      </c>
      <c r="AE87" s="18" t="s">
        <v>108</v>
      </c>
      <c r="AF87" s="18" t="s">
        <v>109</v>
      </c>
      <c r="AG87" s="18" t="s">
        <v>110</v>
      </c>
      <c r="AH87" s="18" t="s">
        <v>111</v>
      </c>
      <c r="AI87" s="18" t="s">
        <v>112</v>
      </c>
      <c r="AJ87" s="18" t="s">
        <v>113</v>
      </c>
      <c r="AK87" s="18" t="s">
        <v>114</v>
      </c>
      <c r="AL87" s="18" t="s">
        <v>115</v>
      </c>
      <c r="AM87" s="18" t="s">
        <v>116</v>
      </c>
      <c r="AN87" s="18" t="s">
        <v>117</v>
      </c>
      <c r="AO87" s="18" t="s">
        <v>118</v>
      </c>
      <c r="AP87" s="18" t="s">
        <v>119</v>
      </c>
      <c r="AQ87" s="18" t="s">
        <v>120</v>
      </c>
      <c r="AR87" s="18" t="s">
        <v>121</v>
      </c>
      <c r="AS87" s="18" t="s">
        <v>122</v>
      </c>
      <c r="AT87" s="18" t="s">
        <v>123</v>
      </c>
      <c r="AU87" s="18" t="s">
        <v>124</v>
      </c>
      <c r="AV87" s="18" t="s">
        <v>125</v>
      </c>
      <c r="AW87" s="18" t="s">
        <v>126</v>
      </c>
      <c r="AX87" s="18" t="s">
        <v>127</v>
      </c>
      <c r="AY87" s="18" t="s">
        <v>128</v>
      </c>
      <c r="AZ87" s="18" t="s">
        <v>129</v>
      </c>
      <c r="BA87" s="18" t="s">
        <v>130</v>
      </c>
      <c r="BB87" s="18" t="s">
        <v>131</v>
      </c>
      <c r="BC87" s="18" t="s">
        <v>185</v>
      </c>
    </row>
    <row r="88" spans="1:57" x14ac:dyDescent="0.25">
      <c r="A88" s="186">
        <v>6</v>
      </c>
      <c r="B88" s="18">
        <v>2014</v>
      </c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340"/>
      <c r="AB88" s="340"/>
      <c r="AC88" s="340"/>
      <c r="AD88" s="340"/>
      <c r="AE88" s="340"/>
      <c r="AF88" s="340"/>
      <c r="AG88" s="340"/>
      <c r="AH88" s="340"/>
      <c r="AI88" s="340"/>
      <c r="AJ88" s="340"/>
      <c r="AK88" s="340"/>
      <c r="AL88" s="340"/>
      <c r="AM88" s="340"/>
      <c r="AN88" s="340"/>
      <c r="AO88" s="340"/>
      <c r="AP88" s="340"/>
      <c r="AQ88" s="340"/>
      <c r="AR88" s="340"/>
      <c r="AS88" s="340"/>
      <c r="AT88" s="340"/>
      <c r="AU88" s="340"/>
      <c r="AV88" s="340"/>
      <c r="AW88" s="340"/>
      <c r="AX88" s="340"/>
      <c r="AY88" s="340"/>
      <c r="AZ88" s="340"/>
      <c r="BA88" s="340"/>
      <c r="BB88" s="340"/>
      <c r="BC88" s="340"/>
    </row>
    <row r="89" spans="1:57" x14ac:dyDescent="0.25">
      <c r="A89" s="186">
        <v>7</v>
      </c>
      <c r="B89" s="18">
        <v>2015</v>
      </c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  <c r="AA89" s="340"/>
      <c r="AB89" s="340"/>
      <c r="AC89" s="340"/>
      <c r="AD89" s="340"/>
      <c r="AE89" s="340"/>
      <c r="AF89" s="340"/>
      <c r="AG89" s="340"/>
      <c r="AH89" s="340"/>
      <c r="AI89" s="340"/>
      <c r="AJ89" s="340"/>
      <c r="AK89" s="340"/>
      <c r="AL89" s="340"/>
      <c r="AM89" s="340"/>
      <c r="AN89" s="340"/>
      <c r="AO89" s="340"/>
      <c r="AP89" s="340"/>
      <c r="AQ89" s="340"/>
      <c r="AR89" s="340"/>
      <c r="AS89" s="340"/>
      <c r="AT89" s="340"/>
      <c r="AU89" s="340"/>
      <c r="AV89" s="340"/>
      <c r="AW89" s="340"/>
      <c r="AX89" s="340"/>
      <c r="AY89" s="340"/>
      <c r="AZ89" s="340"/>
      <c r="BA89" s="340"/>
      <c r="BB89" s="340"/>
      <c r="BC89" s="340"/>
    </row>
    <row r="90" spans="1:57" x14ac:dyDescent="0.25">
      <c r="A90" s="186">
        <v>8</v>
      </c>
      <c r="B90" s="18">
        <v>2016</v>
      </c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340"/>
      <c r="AB90" s="340"/>
      <c r="AC90" s="340"/>
      <c r="AD90" s="340"/>
      <c r="AE90" s="340"/>
      <c r="AF90" s="340"/>
      <c r="AG90" s="340"/>
      <c r="AH90" s="340"/>
      <c r="AI90" s="340"/>
      <c r="AJ90" s="340"/>
      <c r="AK90" s="340"/>
      <c r="AL90" s="340"/>
      <c r="AM90" s="340"/>
      <c r="AN90" s="340"/>
      <c r="AO90" s="340"/>
      <c r="AP90" s="340"/>
      <c r="AQ90" s="340"/>
      <c r="AR90" s="340"/>
      <c r="AS90" s="340"/>
      <c r="AT90" s="340"/>
      <c r="AU90" s="340"/>
      <c r="AV90" s="340"/>
      <c r="AW90" s="340"/>
      <c r="AX90" s="340"/>
      <c r="AY90" s="340"/>
      <c r="AZ90" s="340"/>
      <c r="BA90" s="340"/>
      <c r="BB90" s="340"/>
      <c r="BC90" s="340"/>
    </row>
    <row r="91" spans="1:57" x14ac:dyDescent="0.25">
      <c r="K91" s="26"/>
      <c r="Q91" s="18"/>
    </row>
    <row r="92" spans="1:57" x14ac:dyDescent="0.25">
      <c r="K92" s="26"/>
      <c r="Q92" s="18"/>
    </row>
    <row r="93" spans="1:57" x14ac:dyDescent="0.25">
      <c r="B93" s="2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</sheetData>
  <sortState ref="D4:F15">
    <sortCondition ref="D74"/>
  </sortState>
  <mergeCells count="24">
    <mergeCell ref="C85:J85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  <mergeCell ref="A1:D1"/>
    <mergeCell ref="T1:X1"/>
    <mergeCell ref="I28:P28"/>
    <mergeCell ref="E5:F5"/>
    <mergeCell ref="E6:F6"/>
    <mergeCell ref="E7:F7"/>
    <mergeCell ref="E8:F8"/>
    <mergeCell ref="E4:F4"/>
    <mergeCell ref="E9:F9"/>
  </mergeCells>
  <dataValidations count="3">
    <dataValidation type="list" allowBlank="1" showInputMessage="1" showErrorMessage="1" sqref="B6">
      <formula1>Mois</formula1>
    </dataValidation>
    <dataValidation type="list" allowBlank="1" showInputMessage="1" showErrorMessage="1" sqref="B5">
      <formula1>$T$3:$T$17</formula1>
    </dataValidation>
    <dataValidation type="list" allowBlank="1" showInputMessage="1" showErrorMessage="1" sqref="B7">
      <formula1>$V$2:$V$54</formula1>
    </dataValidation>
  </dataValidation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68" orientation="landscape" r:id="rId2"/>
  <headerFooter>
    <oddFooter>&amp;L&amp;F&amp;CSOLAIR&amp;R&amp;A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53"/>
  <sheetViews>
    <sheetView topLeftCell="A85" zoomScaleNormal="100" workbookViewId="0">
      <selection activeCell="A103" sqref="A103:XFD130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55" width="12.7109375" style="18" customWidth="1"/>
    <col min="56" max="16384" width="15.7109375" style="18"/>
  </cols>
  <sheetData>
    <row r="1" spans="1:17" ht="30" customHeight="1" thickBot="1" x14ac:dyDescent="0.3">
      <c r="A1" s="465" t="str">
        <f>CONCATENATE("ENCERTICUS - ",B4," - ",B5," - ",B7)</f>
        <v>ENCERTICUS - Valeur de référence - 2014 - S23</v>
      </c>
      <c r="B1" s="466"/>
      <c r="C1" s="466"/>
      <c r="D1" s="467"/>
      <c r="E1" s="25"/>
      <c r="F1" s="185" t="s">
        <v>73</v>
      </c>
      <c r="G1" s="203" t="s">
        <v>74</v>
      </c>
      <c r="H1" s="25"/>
      <c r="I1" s="25"/>
    </row>
    <row r="2" spans="1:17" ht="13.5" thickBot="1" x14ac:dyDescent="0.3">
      <c r="E2" s="28"/>
      <c r="F2" s="13"/>
      <c r="G2" s="102"/>
      <c r="H2" s="13"/>
      <c r="I2" s="25"/>
    </row>
    <row r="3" spans="1:17" ht="25.5" x14ac:dyDescent="0.25">
      <c r="A3" s="316" t="s">
        <v>9</v>
      </c>
      <c r="B3" s="306" t="s">
        <v>10</v>
      </c>
      <c r="I3" s="360" t="str">
        <f>'0_ENTREE'!I3</f>
        <v>DJU moyen</v>
      </c>
      <c r="J3" s="168" t="s">
        <v>183</v>
      </c>
      <c r="K3" s="339" t="str">
        <f>'0_ENTREE'!K3</f>
        <v>DJU REEL - 2011</v>
      </c>
      <c r="L3" s="339" t="str">
        <f>'0_ENTREE'!L3</f>
        <v>DJU REEL - 2012</v>
      </c>
      <c r="M3" s="339" t="str">
        <f>'0_ENTREE'!M3</f>
        <v>DJU REEL - 2013</v>
      </c>
      <c r="N3" s="339" t="str">
        <f>'0_ENTREE'!N3</f>
        <v>DJU REEL - 2014</v>
      </c>
      <c r="O3" s="339" t="str">
        <f>'0_ENTREE'!O3</f>
        <v>DJU REEL - 2015</v>
      </c>
      <c r="P3" s="339" t="str">
        <f>'0_ENTREE'!P3</f>
        <v>DJU REEL - 2016</v>
      </c>
      <c r="Q3" s="339" t="str">
        <f>'0_ENTREE'!Q3</f>
        <v>DJU REEL - 2017</v>
      </c>
    </row>
    <row r="4" spans="1:17" ht="25.5" x14ac:dyDescent="0.25">
      <c r="A4" s="99" t="s">
        <v>11</v>
      </c>
      <c r="B4" s="97" t="s">
        <v>78</v>
      </c>
      <c r="C4" s="136" t="s">
        <v>134</v>
      </c>
      <c r="E4" s="475" t="str">
        <f>'0_ENTREE'!E4:F4</f>
        <v>DJU Annuel Moyen</v>
      </c>
      <c r="F4" s="475"/>
      <c r="G4" s="335">
        <f>AVERAGE(K16:M16)</f>
        <v>1519.8666666666668</v>
      </c>
      <c r="I4" s="317">
        <f>'0_ENTREE'!I4</f>
        <v>335.36666666666662</v>
      </c>
      <c r="J4" s="317" t="str">
        <f>'0_ENTREE'!J4</f>
        <v>Janvier</v>
      </c>
      <c r="K4" s="317">
        <f>'0_ENTREE'!K4</f>
        <v>339.1</v>
      </c>
      <c r="L4" s="317">
        <f>'0_ENTREE'!L4</f>
        <v>302.7</v>
      </c>
      <c r="M4" s="317">
        <f>'0_ENTREE'!M4</f>
        <v>364.3</v>
      </c>
      <c r="N4" s="317">
        <f>'0_ENTREE'!N4</f>
        <v>302.7</v>
      </c>
      <c r="O4" s="317">
        <f>'0_ENTREE'!O4</f>
        <v>0</v>
      </c>
      <c r="P4" s="317">
        <f>'0_ENTREE'!P4</f>
        <v>0</v>
      </c>
      <c r="Q4" s="155">
        <f>'1_REFERENCE'!O4</f>
        <v>0</v>
      </c>
    </row>
    <row r="5" spans="1:17" x14ac:dyDescent="0.25">
      <c r="A5" s="99" t="s">
        <v>35</v>
      </c>
      <c r="B5" s="103">
        <f>'0_ENTREE'!B5</f>
        <v>2014</v>
      </c>
      <c r="C5" s="136"/>
      <c r="E5" s="475" t="str">
        <f>'0_ENTREE'!E5:F5</f>
        <v>DJU Annuel Réel - 2014</v>
      </c>
      <c r="F5" s="475"/>
      <c r="G5" s="335">
        <f>'0_ENTREE'!G5</f>
        <v>1548.4</v>
      </c>
      <c r="I5" s="317">
        <f>'0_ENTREE'!I5</f>
        <v>347.76666666666671</v>
      </c>
      <c r="J5" s="317" t="str">
        <f>'0_ENTREE'!J5</f>
        <v>Février</v>
      </c>
      <c r="K5" s="317">
        <f>'0_ENTREE'!K5</f>
        <v>266.60000000000002</v>
      </c>
      <c r="L5" s="317">
        <f>'0_ENTREE'!L5</f>
        <v>425.6</v>
      </c>
      <c r="M5" s="317">
        <f>'0_ENTREE'!M5</f>
        <v>351.1</v>
      </c>
      <c r="N5" s="317">
        <f>'0_ENTREE'!N5</f>
        <v>425.6</v>
      </c>
      <c r="O5" s="317">
        <f>'0_ENTREE'!O5</f>
        <v>0</v>
      </c>
      <c r="P5" s="317">
        <f>'0_ENTREE'!P5</f>
        <v>0</v>
      </c>
      <c r="Q5" s="155">
        <f>'1_REFERENCE'!O5</f>
        <v>0</v>
      </c>
    </row>
    <row r="6" spans="1:17" x14ac:dyDescent="0.25">
      <c r="A6" s="99" t="s">
        <v>36</v>
      </c>
      <c r="B6" s="103" t="str">
        <f>'0_ENTREE'!B6</f>
        <v>Juin</v>
      </c>
      <c r="C6" s="156">
        <f>'0_ENTREE'!C6</f>
        <v>8</v>
      </c>
      <c r="E6" s="475" t="str">
        <f>'0_ENTREE'!E6:F6</f>
        <v>DJU Mensuel Moyen - Juin</v>
      </c>
      <c r="F6" s="475"/>
      <c r="G6" s="335">
        <f>HLOOKUP($C$6,$B$31:$N$39,8,FALSE)</f>
        <v>0</v>
      </c>
      <c r="I6" s="317">
        <f>'0_ENTREE'!I6</f>
        <v>210.16666666666666</v>
      </c>
      <c r="J6" s="317" t="str">
        <f>'0_ENTREE'!J6</f>
        <v>Mars</v>
      </c>
      <c r="K6" s="317">
        <f>'0_ENTREE'!K6</f>
        <v>217.4</v>
      </c>
      <c r="L6" s="317">
        <f>'0_ENTREE'!L6</f>
        <v>183.6</v>
      </c>
      <c r="M6" s="317">
        <f>'0_ENTREE'!M6</f>
        <v>229.5</v>
      </c>
      <c r="N6" s="317">
        <f>'0_ENTREE'!N6</f>
        <v>183.6</v>
      </c>
      <c r="O6" s="317">
        <f>'0_ENTREE'!O6</f>
        <v>0</v>
      </c>
      <c r="P6" s="317">
        <f>'0_ENTREE'!P6</f>
        <v>0</v>
      </c>
      <c r="Q6" s="155">
        <f>'1_REFERENCE'!O6</f>
        <v>0</v>
      </c>
    </row>
    <row r="7" spans="1:17" x14ac:dyDescent="0.25">
      <c r="A7" s="99" t="s">
        <v>57</v>
      </c>
      <c r="B7" s="103" t="str">
        <f>'0_ENTREE'!B7</f>
        <v>S23</v>
      </c>
      <c r="C7" s="156">
        <f>'0_ENTREE'!C7</f>
        <v>25</v>
      </c>
      <c r="E7" s="475" t="str">
        <f>'0_ENTREE'!E7:F7</f>
        <v>DJU Mensuel Réel - Juin</v>
      </c>
      <c r="F7" s="475"/>
      <c r="G7" s="335">
        <f>'0_ENTREE'!G7</f>
        <v>0</v>
      </c>
      <c r="I7" s="317">
        <f>'0_ENTREE'!I7</f>
        <v>106.96666666666665</v>
      </c>
      <c r="J7" s="317" t="str">
        <f>'0_ENTREE'!J7</f>
        <v>Avril</v>
      </c>
      <c r="K7" s="317">
        <f>'0_ENTREE'!K7</f>
        <v>69</v>
      </c>
      <c r="L7" s="317">
        <f>'0_ENTREE'!L7</f>
        <v>120.9</v>
      </c>
      <c r="M7" s="317">
        <f>'0_ENTREE'!M7</f>
        <v>131</v>
      </c>
      <c r="N7" s="317">
        <f>'0_ENTREE'!N7</f>
        <v>120.9</v>
      </c>
      <c r="O7" s="317">
        <f>'0_ENTREE'!O7</f>
        <v>0</v>
      </c>
      <c r="P7" s="317">
        <f>'0_ENTREE'!P7</f>
        <v>0</v>
      </c>
      <c r="Q7" s="155">
        <f>'1_REFERENCE'!O7</f>
        <v>0</v>
      </c>
    </row>
    <row r="8" spans="1:17" ht="13.5" thickBot="1" x14ac:dyDescent="0.3">
      <c r="A8" s="100" t="s">
        <v>31</v>
      </c>
      <c r="B8" s="104" t="str">
        <f>'0_ENTREE'!B8</f>
        <v>Semaine</v>
      </c>
      <c r="E8" s="475" t="str">
        <f>'0_ENTREE'!E8:F8</f>
        <v>DJU Hebdo Moyen - Juin</v>
      </c>
      <c r="F8" s="475"/>
      <c r="G8" s="335">
        <f>HLOOKUP($C$6,$B$31:$N$39,9,FALSE)</f>
        <v>0</v>
      </c>
      <c r="I8" s="317">
        <f>'0_ENTREE'!I8</f>
        <v>31.966666666666669</v>
      </c>
      <c r="J8" s="317" t="str">
        <f>'0_ENTREE'!J8</f>
        <v>Mai</v>
      </c>
      <c r="K8" s="317">
        <f>'0_ENTREE'!K8</f>
        <v>7.9</v>
      </c>
      <c r="L8" s="317">
        <f>'0_ENTREE'!L8</f>
        <v>17.2</v>
      </c>
      <c r="M8" s="317">
        <f>'0_ENTREE'!M8</f>
        <v>70.8</v>
      </c>
      <c r="N8" s="317">
        <f>'0_ENTREE'!N8</f>
        <v>17.2</v>
      </c>
      <c r="O8" s="317">
        <f>'0_ENTREE'!O8</f>
        <v>0</v>
      </c>
      <c r="P8" s="317">
        <f>'0_ENTREE'!P8</f>
        <v>0</v>
      </c>
      <c r="Q8" s="155">
        <f>'1_REFERENCE'!O8</f>
        <v>0</v>
      </c>
    </row>
    <row r="9" spans="1:17" x14ac:dyDescent="0.25">
      <c r="A9" s="4"/>
      <c r="B9" s="24"/>
      <c r="C9" s="26"/>
      <c r="E9" s="475" t="str">
        <f>'0_ENTREE'!E9:F9</f>
        <v>DJU Hebdo Réel - S23</v>
      </c>
      <c r="F9" s="475"/>
      <c r="G9" s="335">
        <f>HLOOKUP($C$6,$B$31:$N$39,9,FALSE)</f>
        <v>0</v>
      </c>
      <c r="I9" s="317">
        <f>'0_ENTREE'!I9</f>
        <v>0</v>
      </c>
      <c r="J9" s="317" t="str">
        <f>'0_ENTREE'!J9</f>
        <v>Juin</v>
      </c>
      <c r="K9" s="317">
        <f>'0_ENTREE'!K9</f>
        <v>0</v>
      </c>
      <c r="L9" s="317">
        <f>'0_ENTREE'!L9</f>
        <v>0</v>
      </c>
      <c r="M9" s="317">
        <f>'0_ENTREE'!M9</f>
        <v>0</v>
      </c>
      <c r="N9" s="317">
        <f>'0_ENTREE'!N9</f>
        <v>0</v>
      </c>
      <c r="O9" s="317">
        <f>'0_ENTREE'!O9</f>
        <v>0</v>
      </c>
      <c r="P9" s="317">
        <f>'0_ENTREE'!P9</f>
        <v>0</v>
      </c>
      <c r="Q9" s="155">
        <f>'1_REFERENCE'!O9</f>
        <v>0</v>
      </c>
    </row>
    <row r="10" spans="1:17" s="20" customFormat="1" x14ac:dyDescent="0.25">
      <c r="D10" s="18"/>
      <c r="E10" s="18"/>
      <c r="F10" s="18"/>
      <c r="G10" s="18"/>
      <c r="H10" s="18"/>
      <c r="I10" s="317">
        <f>'0_ENTREE'!I10</f>
        <v>0</v>
      </c>
      <c r="J10" s="317" t="str">
        <f>'0_ENTREE'!J10</f>
        <v>Juillet</v>
      </c>
      <c r="K10" s="317">
        <f>'0_ENTREE'!K10</f>
        <v>0</v>
      </c>
      <c r="L10" s="317">
        <f>'0_ENTREE'!L10</f>
        <v>0</v>
      </c>
      <c r="M10" s="317">
        <f>'0_ENTREE'!M10</f>
        <v>0</v>
      </c>
      <c r="N10" s="317">
        <f>'0_ENTREE'!N10</f>
        <v>0</v>
      </c>
      <c r="O10" s="317">
        <f>'0_ENTREE'!O10</f>
        <v>0</v>
      </c>
      <c r="P10" s="317">
        <f>'0_ENTREE'!P10</f>
        <v>0</v>
      </c>
      <c r="Q10" s="155">
        <f>'1_REFERENCE'!O10</f>
        <v>0</v>
      </c>
    </row>
    <row r="11" spans="1:17" x14ac:dyDescent="0.25">
      <c r="I11" s="317">
        <f>'0_ENTREE'!I11</f>
        <v>0</v>
      </c>
      <c r="J11" s="317" t="str">
        <f>'0_ENTREE'!J11</f>
        <v>Août</v>
      </c>
      <c r="K11" s="317">
        <f>'0_ENTREE'!K11</f>
        <v>0</v>
      </c>
      <c r="L11" s="317">
        <f>'0_ENTREE'!L11</f>
        <v>0</v>
      </c>
      <c r="M11" s="317">
        <f>'0_ENTREE'!M11</f>
        <v>0</v>
      </c>
      <c r="N11" s="317">
        <f>'0_ENTREE'!N11</f>
        <v>0</v>
      </c>
      <c r="O11" s="317">
        <f>'0_ENTREE'!O11</f>
        <v>0</v>
      </c>
      <c r="P11" s="317">
        <f>'0_ENTREE'!P11</f>
        <v>0</v>
      </c>
      <c r="Q11" s="155">
        <f>'1_REFERENCE'!O11</f>
        <v>0</v>
      </c>
    </row>
    <row r="12" spans="1:17" ht="25.5" x14ac:dyDescent="0.25">
      <c r="B12" s="310" t="s">
        <v>175</v>
      </c>
      <c r="C12" s="310" t="s">
        <v>53</v>
      </c>
      <c r="D12" s="471" t="s">
        <v>56</v>
      </c>
      <c r="E12" s="471"/>
      <c r="F12" s="310" t="s">
        <v>58</v>
      </c>
      <c r="G12" s="13"/>
      <c r="H12" s="25"/>
      <c r="I12" s="317">
        <f>'0_ENTREE'!I12</f>
        <v>0</v>
      </c>
      <c r="J12" s="317" t="str">
        <f>'0_ENTREE'!J12</f>
        <v>Septembre</v>
      </c>
      <c r="K12" s="317">
        <f>'0_ENTREE'!K12</f>
        <v>0</v>
      </c>
      <c r="L12" s="317">
        <f>'0_ENTREE'!L12</f>
        <v>0</v>
      </c>
      <c r="M12" s="317">
        <f>'0_ENTREE'!M12</f>
        <v>0</v>
      </c>
      <c r="N12" s="317">
        <f>'0_ENTREE'!N12</f>
        <v>0</v>
      </c>
      <c r="O12" s="317">
        <f>'0_ENTREE'!O12</f>
        <v>0</v>
      </c>
      <c r="P12" s="317">
        <f>'0_ENTREE'!P12</f>
        <v>0</v>
      </c>
      <c r="Q12" s="155">
        <f>'1_REFERENCE'!O12</f>
        <v>0</v>
      </c>
    </row>
    <row r="13" spans="1:17" x14ac:dyDescent="0.25">
      <c r="B13" s="111" t="str">
        <f>'0_ENTREE'!B13</f>
        <v>Ratio de chauffage</v>
      </c>
      <c r="C13" s="314">
        <f>'0_ENTREE'!C13</f>
        <v>0</v>
      </c>
      <c r="D13" s="472" t="s">
        <v>34</v>
      </c>
      <c r="E13" s="472"/>
      <c r="F13" s="308"/>
      <c r="G13" s="13"/>
      <c r="H13" s="25"/>
      <c r="I13" s="317">
        <f>'0_ENTREE'!I13</f>
        <v>20</v>
      </c>
      <c r="J13" s="317" t="str">
        <f>'0_ENTREE'!J13</f>
        <v>Octobre</v>
      </c>
      <c r="K13" s="317">
        <f>'0_ENTREE'!K13</f>
        <v>9.6</v>
      </c>
      <c r="L13" s="317">
        <f>'0_ENTREE'!L13</f>
        <v>44.5</v>
      </c>
      <c r="M13" s="317">
        <f>'0_ENTREE'!M13</f>
        <v>5.9</v>
      </c>
      <c r="N13" s="317">
        <f>'0_ENTREE'!N13</f>
        <v>44.5</v>
      </c>
      <c r="O13" s="317">
        <f>'0_ENTREE'!O13</f>
        <v>0</v>
      </c>
      <c r="P13" s="317">
        <f>'0_ENTREE'!P13</f>
        <v>0</v>
      </c>
      <c r="Q13" s="155">
        <f>'1_REFERENCE'!O13</f>
        <v>0</v>
      </c>
    </row>
    <row r="14" spans="1:17" x14ac:dyDescent="0.25">
      <c r="B14" s="405" t="str">
        <f>'0_ENTREE'!B14</f>
        <v>Ratio cuisson - semaine</v>
      </c>
      <c r="C14" s="315">
        <f>'0_ENTREE'!C14</f>
        <v>7</v>
      </c>
      <c r="D14" s="473" t="s">
        <v>54</v>
      </c>
      <c r="E14" s="473"/>
      <c r="F14" s="308"/>
      <c r="G14" s="25"/>
      <c r="H14" s="25"/>
      <c r="I14" s="317">
        <f>'0_ENTREE'!I14</f>
        <v>182.4</v>
      </c>
      <c r="J14" s="317" t="str">
        <f>'0_ENTREE'!J14</f>
        <v>Novembre</v>
      </c>
      <c r="K14" s="317">
        <f>'0_ENTREE'!K14</f>
        <v>172.7</v>
      </c>
      <c r="L14" s="317">
        <f>'0_ENTREE'!L14</f>
        <v>154</v>
      </c>
      <c r="M14" s="317">
        <f>'0_ENTREE'!M14</f>
        <v>220.5</v>
      </c>
      <c r="N14" s="317">
        <f>'0_ENTREE'!N14</f>
        <v>154</v>
      </c>
      <c r="O14" s="317">
        <f>'0_ENTREE'!O14</f>
        <v>0</v>
      </c>
      <c r="P14" s="317">
        <f>'0_ENTREE'!P14</f>
        <v>0</v>
      </c>
      <c r="Q14" s="155">
        <f>'1_REFERENCE'!O14</f>
        <v>0</v>
      </c>
    </row>
    <row r="15" spans="1:17" ht="14.25" x14ac:dyDescent="0.25">
      <c r="B15" s="405" t="str">
        <f>'0_ENTREE'!B15</f>
        <v>Energie nécessaire ECS</v>
      </c>
      <c r="C15" s="315">
        <f>'0_ENTREE'!C15</f>
        <v>45.111111111111107</v>
      </c>
      <c r="D15" s="473" t="s">
        <v>282</v>
      </c>
      <c r="E15" s="473"/>
      <c r="F15" s="308" t="s">
        <v>32</v>
      </c>
      <c r="G15" s="25"/>
      <c r="H15" s="25"/>
      <c r="I15" s="317">
        <f>'0_ENTREE'!I15</f>
        <v>285.23333333333335</v>
      </c>
      <c r="J15" s="317" t="str">
        <f>'0_ENTREE'!J15</f>
        <v>Décembre</v>
      </c>
      <c r="K15" s="317">
        <f>'0_ENTREE'!K15</f>
        <v>271</v>
      </c>
      <c r="L15" s="317">
        <f>'0_ENTREE'!L15</f>
        <v>299.89999999999998</v>
      </c>
      <c r="M15" s="317">
        <f>'0_ENTREE'!M15</f>
        <v>284.8</v>
      </c>
      <c r="N15" s="317">
        <f>'0_ENTREE'!N15</f>
        <v>299.89999999999998</v>
      </c>
      <c r="O15" s="317">
        <f>'0_ENTREE'!O15</f>
        <v>0</v>
      </c>
      <c r="P15" s="317">
        <f>'0_ENTREE'!P15</f>
        <v>0</v>
      </c>
      <c r="Q15" s="155">
        <f>'1_REFERENCE'!O15</f>
        <v>0</v>
      </c>
    </row>
    <row r="16" spans="1:17" x14ac:dyDescent="0.25">
      <c r="B16" s="405" t="str">
        <f>'0_ENTREE'!B16</f>
        <v>Volume ECS consommé jour</v>
      </c>
      <c r="C16" s="406">
        <f>'0_ENTREE'!C16</f>
        <v>35</v>
      </c>
      <c r="D16" s="473" t="s">
        <v>169</v>
      </c>
      <c r="E16" s="473"/>
      <c r="F16" s="308"/>
      <c r="I16" s="318"/>
      <c r="J16" s="318" t="str">
        <f>'0_ENTREE'!J16</f>
        <v>Année</v>
      </c>
      <c r="K16" s="318">
        <f>'0_ENTREE'!K16</f>
        <v>1353.3</v>
      </c>
      <c r="L16" s="318">
        <f>'0_ENTREE'!L16</f>
        <v>1548.4</v>
      </c>
      <c r="M16" s="318">
        <f>'0_ENTREE'!M16</f>
        <v>1657.9</v>
      </c>
      <c r="N16" s="318">
        <f>'0_ENTREE'!N16</f>
        <v>1548.4</v>
      </c>
      <c r="O16" s="318">
        <f>'0_ENTREE'!O16</f>
        <v>0</v>
      </c>
      <c r="P16" s="318">
        <f>'0_ENTREE'!P16</f>
        <v>0</v>
      </c>
      <c r="Q16" s="311"/>
    </row>
    <row r="17" spans="1:14" x14ac:dyDescent="0.25">
      <c r="A17" s="187"/>
      <c r="B17" s="405" t="str">
        <f>'0_ENTREE'!B17</f>
        <v>Ratio ECS - jour</v>
      </c>
      <c r="C17" s="315">
        <f>'0_ENTREE'!C17</f>
        <v>1.5788888888888888</v>
      </c>
      <c r="D17" s="473" t="s">
        <v>168</v>
      </c>
      <c r="E17" s="473"/>
      <c r="F17" s="343"/>
    </row>
    <row r="18" spans="1:14" x14ac:dyDescent="0.25">
      <c r="A18" s="187"/>
      <c r="B18" s="405" t="str">
        <f>'0_ENTREE'!B18</f>
        <v>Ratio électrique - semaine</v>
      </c>
      <c r="C18" s="315">
        <f>'0_ENTREE'!C18</f>
        <v>52.42307692307692</v>
      </c>
      <c r="D18" s="473" t="s">
        <v>52</v>
      </c>
      <c r="E18" s="473"/>
      <c r="F18" s="308" t="s">
        <v>24</v>
      </c>
    </row>
    <row r="19" spans="1:14" x14ac:dyDescent="0.25">
      <c r="A19" s="187"/>
      <c r="B19" s="405" t="str">
        <f>'0_ENTREE'!B19</f>
        <v>Ratio eau (EF+ECS) - semaine</v>
      </c>
      <c r="C19" s="406">
        <f>'0_ENTREE'!C19</f>
        <v>1050</v>
      </c>
      <c r="D19" s="473" t="s">
        <v>55</v>
      </c>
      <c r="E19" s="473"/>
      <c r="F19" s="309" t="s">
        <v>26</v>
      </c>
    </row>
    <row r="20" spans="1:14" ht="25.5" x14ac:dyDescent="0.25">
      <c r="A20" s="187"/>
      <c r="B20" s="310" t="s">
        <v>176</v>
      </c>
      <c r="C20" s="310" t="s">
        <v>53</v>
      </c>
      <c r="D20" s="471" t="s">
        <v>56</v>
      </c>
      <c r="E20" s="471"/>
      <c r="F20" s="310" t="s">
        <v>58</v>
      </c>
    </row>
    <row r="21" spans="1:14" x14ac:dyDescent="0.25">
      <c r="A21" s="187"/>
      <c r="B21" s="27" t="str">
        <f>'0_ENTREE'!B21</f>
        <v>Nbre semaine par mois</v>
      </c>
      <c r="C21" s="307">
        <f>'0_ENTREE'!C21</f>
        <v>4.3452380952380958</v>
      </c>
      <c r="D21" s="474"/>
      <c r="E21" s="474"/>
      <c r="F21" s="4"/>
    </row>
    <row r="22" spans="1:14" x14ac:dyDescent="0.25">
      <c r="A22" s="187"/>
      <c r="B22" s="27" t="str">
        <f>'0_ENTREE'!B22</f>
        <v>Conversion GAZ (volume en kWh PCI)</v>
      </c>
      <c r="C22" s="307">
        <f>'0_ENTREE'!C22</f>
        <v>11.628</v>
      </c>
      <c r="D22" s="474" t="s">
        <v>29</v>
      </c>
      <c r="E22" s="474"/>
      <c r="F22" s="4"/>
    </row>
    <row r="23" spans="1:14" x14ac:dyDescent="0.25">
      <c r="A23" s="187"/>
      <c r="B23" s="27" t="str">
        <f>'0_ENTREE'!B23</f>
        <v>Conversion GAZ (PCS en PCI)</v>
      </c>
      <c r="C23" s="307">
        <f>'0_ENTREE'!C23</f>
        <v>0.9009009009009008</v>
      </c>
      <c r="D23" s="474" t="s">
        <v>15</v>
      </c>
      <c r="E23" s="474"/>
      <c r="F23" s="4"/>
    </row>
    <row r="24" spans="1:14" x14ac:dyDescent="0.25">
      <c r="A24" s="187"/>
      <c r="B24" s="27"/>
      <c r="C24" s="307"/>
      <c r="D24" s="474"/>
      <c r="E24" s="474"/>
      <c r="F24" s="4"/>
    </row>
    <row r="25" spans="1:14" x14ac:dyDescent="0.25">
      <c r="A25" s="187"/>
      <c r="B25" s="27" t="str">
        <f>'0_ENTREE'!B25</f>
        <v>Facteur travaux</v>
      </c>
      <c r="C25" s="307">
        <f>'0_ENTREE'!C25</f>
        <v>1</v>
      </c>
      <c r="D25" s="474"/>
      <c r="E25" s="474"/>
      <c r="F25" s="4"/>
    </row>
    <row r="26" spans="1:14" x14ac:dyDescent="0.25">
      <c r="A26" s="187"/>
    </row>
    <row r="27" spans="1:14" x14ac:dyDescent="0.25">
      <c r="A27" s="187"/>
    </row>
    <row r="28" spans="1:14" x14ac:dyDescent="0.25">
      <c r="A28" s="187"/>
      <c r="B28" s="319" t="s">
        <v>181</v>
      </c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</row>
    <row r="29" spans="1:14" s="26" customFormat="1" x14ac:dyDescent="0.25">
      <c r="A29" s="320"/>
      <c r="B29" s="337"/>
    </row>
    <row r="30" spans="1:14" x14ac:dyDescent="0.25">
      <c r="A30" s="187"/>
      <c r="B30" s="344" t="s">
        <v>184</v>
      </c>
    </row>
    <row r="31" spans="1:14" x14ac:dyDescent="0.25">
      <c r="A31" s="187"/>
      <c r="C31" s="136">
        <v>3</v>
      </c>
      <c r="D31" s="136">
        <v>4</v>
      </c>
      <c r="E31" s="136">
        <v>5</v>
      </c>
      <c r="F31" s="136">
        <v>6</v>
      </c>
      <c r="G31" s="136">
        <v>7</v>
      </c>
      <c r="H31" s="136">
        <v>8</v>
      </c>
      <c r="I31" s="136">
        <v>9</v>
      </c>
      <c r="J31" s="136">
        <v>10</v>
      </c>
      <c r="K31" s="136">
        <v>11</v>
      </c>
      <c r="L31" s="136">
        <v>12</v>
      </c>
      <c r="M31" s="136">
        <v>13</v>
      </c>
      <c r="N31" s="136">
        <v>14</v>
      </c>
    </row>
    <row r="32" spans="1:14" x14ac:dyDescent="0.25">
      <c r="A32" s="187"/>
      <c r="B32" s="325" t="s">
        <v>178</v>
      </c>
      <c r="C32" s="345">
        <v>31</v>
      </c>
      <c r="D32" s="345">
        <v>28</v>
      </c>
      <c r="E32" s="345">
        <v>31</v>
      </c>
      <c r="F32" s="345">
        <v>30</v>
      </c>
      <c r="G32" s="345">
        <v>31</v>
      </c>
      <c r="H32" s="345">
        <v>30</v>
      </c>
      <c r="I32" s="345">
        <v>31</v>
      </c>
      <c r="J32" s="345">
        <v>31</v>
      </c>
      <c r="K32" s="345">
        <v>30</v>
      </c>
      <c r="L32" s="345">
        <v>31</v>
      </c>
      <c r="M32" s="345">
        <v>30</v>
      </c>
      <c r="N32" s="345">
        <v>31</v>
      </c>
    </row>
    <row r="33" spans="1:55" s="21" customFormat="1" x14ac:dyDescent="0.25">
      <c r="A33" s="192"/>
      <c r="B33" s="326" t="s">
        <v>179</v>
      </c>
      <c r="C33" s="327">
        <f t="shared" ref="C33:N33" si="0">C32/7</f>
        <v>4.4285714285714288</v>
      </c>
      <c r="D33" s="327">
        <f t="shared" si="0"/>
        <v>4</v>
      </c>
      <c r="E33" s="327">
        <f t="shared" si="0"/>
        <v>4.4285714285714288</v>
      </c>
      <c r="F33" s="327">
        <f t="shared" si="0"/>
        <v>4.2857142857142856</v>
      </c>
      <c r="G33" s="327">
        <f t="shared" si="0"/>
        <v>4.4285714285714288</v>
      </c>
      <c r="H33" s="327">
        <f t="shared" si="0"/>
        <v>4.2857142857142856</v>
      </c>
      <c r="I33" s="327">
        <f t="shared" si="0"/>
        <v>4.4285714285714288</v>
      </c>
      <c r="J33" s="327">
        <f t="shared" si="0"/>
        <v>4.4285714285714288</v>
      </c>
      <c r="K33" s="327">
        <f t="shared" si="0"/>
        <v>4.2857142857142856</v>
      </c>
      <c r="L33" s="327">
        <f t="shared" si="0"/>
        <v>4.4285714285714288</v>
      </c>
      <c r="M33" s="327">
        <f t="shared" si="0"/>
        <v>4.2857142857142856</v>
      </c>
      <c r="N33" s="327">
        <f t="shared" si="0"/>
        <v>4.4285714285714288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1:55" x14ac:dyDescent="0.25">
      <c r="A34" s="187"/>
      <c r="B34" s="321" t="s">
        <v>163</v>
      </c>
      <c r="C34" s="321" t="s">
        <v>41</v>
      </c>
      <c r="D34" s="321" t="s">
        <v>42</v>
      </c>
      <c r="E34" s="321" t="s">
        <v>43</v>
      </c>
      <c r="F34" s="321" t="s">
        <v>38</v>
      </c>
      <c r="G34" s="321" t="s">
        <v>44</v>
      </c>
      <c r="H34" s="321" t="s">
        <v>45</v>
      </c>
      <c r="I34" s="321" t="s">
        <v>46</v>
      </c>
      <c r="J34" s="321" t="s">
        <v>47</v>
      </c>
      <c r="K34" s="321" t="s">
        <v>48</v>
      </c>
      <c r="L34" s="321" t="s">
        <v>49</v>
      </c>
      <c r="M34" s="321" t="s">
        <v>50</v>
      </c>
      <c r="N34" s="321" t="s">
        <v>51</v>
      </c>
    </row>
    <row r="35" spans="1:55" x14ac:dyDescent="0.25">
      <c r="A35" s="187"/>
      <c r="B35" s="323" t="s">
        <v>143</v>
      </c>
      <c r="C35" s="324">
        <f>K4</f>
        <v>339.1</v>
      </c>
      <c r="D35" s="324">
        <f>K5</f>
        <v>266.60000000000002</v>
      </c>
      <c r="E35" s="324">
        <f>K6</f>
        <v>217.4</v>
      </c>
      <c r="F35" s="324">
        <f>K7</f>
        <v>69</v>
      </c>
      <c r="G35" s="324">
        <f>K8</f>
        <v>7.9</v>
      </c>
      <c r="H35" s="324">
        <f>K9</f>
        <v>0</v>
      </c>
      <c r="I35" s="324">
        <f>K10</f>
        <v>0</v>
      </c>
      <c r="J35" s="324">
        <f>K11</f>
        <v>0</v>
      </c>
      <c r="K35" s="324">
        <f>K12</f>
        <v>0</v>
      </c>
      <c r="L35" s="324">
        <f>K13</f>
        <v>9.6</v>
      </c>
      <c r="M35" s="324">
        <f>K14</f>
        <v>172.7</v>
      </c>
      <c r="N35" s="324">
        <f>K15</f>
        <v>271</v>
      </c>
      <c r="O35" s="302">
        <f>SUM(C35:N35)</f>
        <v>1353.3</v>
      </c>
      <c r="BA35" s="29"/>
      <c r="BB35" s="29"/>
      <c r="BC35" s="29"/>
    </row>
    <row r="36" spans="1:55" x14ac:dyDescent="0.25">
      <c r="A36" s="187"/>
      <c r="B36" s="323" t="s">
        <v>144</v>
      </c>
      <c r="C36" s="324">
        <f>L4</f>
        <v>302.7</v>
      </c>
      <c r="D36" s="324">
        <f>L5</f>
        <v>425.6</v>
      </c>
      <c r="E36" s="324">
        <f>L6</f>
        <v>183.6</v>
      </c>
      <c r="F36" s="324">
        <f>L7</f>
        <v>120.9</v>
      </c>
      <c r="G36" s="324">
        <f>L8</f>
        <v>17.2</v>
      </c>
      <c r="H36" s="324">
        <f>L9</f>
        <v>0</v>
      </c>
      <c r="I36" s="324">
        <f>L10</f>
        <v>0</v>
      </c>
      <c r="J36" s="324">
        <f>L11</f>
        <v>0</v>
      </c>
      <c r="K36" s="324">
        <f>L12</f>
        <v>0</v>
      </c>
      <c r="L36" s="324">
        <f>L13</f>
        <v>44.5</v>
      </c>
      <c r="M36" s="324">
        <f>L14</f>
        <v>154</v>
      </c>
      <c r="N36" s="324">
        <f>L15</f>
        <v>299.89999999999998</v>
      </c>
      <c r="O36" s="302">
        <f t="shared" ref="O36:O37" si="1">SUM(C36:N36)</f>
        <v>1548.4</v>
      </c>
    </row>
    <row r="37" spans="1:55" x14ac:dyDescent="0.25">
      <c r="A37" s="187"/>
      <c r="B37" s="323" t="s">
        <v>145</v>
      </c>
      <c r="C37" s="324">
        <f>M4</f>
        <v>364.3</v>
      </c>
      <c r="D37" s="324">
        <f>M5</f>
        <v>351.1</v>
      </c>
      <c r="E37" s="324">
        <f>M6</f>
        <v>229.5</v>
      </c>
      <c r="F37" s="324">
        <f>M7</f>
        <v>131</v>
      </c>
      <c r="G37" s="324">
        <f>M8</f>
        <v>70.8</v>
      </c>
      <c r="H37" s="324">
        <f>M9</f>
        <v>0</v>
      </c>
      <c r="I37" s="324">
        <f>M10</f>
        <v>0</v>
      </c>
      <c r="J37" s="324">
        <f>M11</f>
        <v>0</v>
      </c>
      <c r="K37" s="324">
        <f>M12</f>
        <v>0</v>
      </c>
      <c r="L37" s="324">
        <f>M13</f>
        <v>5.9</v>
      </c>
      <c r="M37" s="324">
        <f>M14</f>
        <v>220.5</v>
      </c>
      <c r="N37" s="324">
        <f>M15</f>
        <v>284.8</v>
      </c>
      <c r="O37" s="302">
        <f t="shared" si="1"/>
        <v>1657.9</v>
      </c>
    </row>
    <row r="38" spans="1:55" x14ac:dyDescent="0.25">
      <c r="A38" s="187"/>
      <c r="B38" s="322" t="s">
        <v>180</v>
      </c>
      <c r="C38" s="328">
        <f>AVERAGE(C35:C37)</f>
        <v>335.36666666666662</v>
      </c>
      <c r="D38" s="328">
        <f t="shared" ref="D38:N38" si="2">AVERAGE(D35:D37)</f>
        <v>347.76666666666671</v>
      </c>
      <c r="E38" s="328">
        <f t="shared" si="2"/>
        <v>210.16666666666666</v>
      </c>
      <c r="F38" s="328">
        <f t="shared" si="2"/>
        <v>106.96666666666665</v>
      </c>
      <c r="G38" s="328">
        <f t="shared" si="2"/>
        <v>31.966666666666669</v>
      </c>
      <c r="H38" s="328">
        <f t="shared" si="2"/>
        <v>0</v>
      </c>
      <c r="I38" s="328">
        <f t="shared" si="2"/>
        <v>0</v>
      </c>
      <c r="J38" s="328">
        <f t="shared" si="2"/>
        <v>0</v>
      </c>
      <c r="K38" s="328">
        <f t="shared" si="2"/>
        <v>0</v>
      </c>
      <c r="L38" s="328">
        <f t="shared" si="2"/>
        <v>20</v>
      </c>
      <c r="M38" s="328">
        <f t="shared" si="2"/>
        <v>182.4</v>
      </c>
      <c r="N38" s="328">
        <f t="shared" si="2"/>
        <v>285.23333333333335</v>
      </c>
      <c r="O38" s="302"/>
    </row>
    <row r="39" spans="1:55" x14ac:dyDescent="0.25">
      <c r="A39" s="187"/>
      <c r="B39" s="322" t="s">
        <v>146</v>
      </c>
      <c r="C39" s="328">
        <f t="shared" ref="C39:N39" si="3">AVERAGE(C35:C37)/C33</f>
        <v>75.727956989247303</v>
      </c>
      <c r="D39" s="328">
        <f t="shared" si="3"/>
        <v>86.941666666666677</v>
      </c>
      <c r="E39" s="328">
        <f t="shared" si="3"/>
        <v>47.456989247311824</v>
      </c>
      <c r="F39" s="328">
        <f t="shared" si="3"/>
        <v>24.958888888888886</v>
      </c>
      <c r="G39" s="328">
        <f t="shared" si="3"/>
        <v>7.2182795698924735</v>
      </c>
      <c r="H39" s="328">
        <f t="shared" si="3"/>
        <v>0</v>
      </c>
      <c r="I39" s="328">
        <f t="shared" si="3"/>
        <v>0</v>
      </c>
      <c r="J39" s="328">
        <f t="shared" si="3"/>
        <v>0</v>
      </c>
      <c r="K39" s="328">
        <f t="shared" si="3"/>
        <v>0</v>
      </c>
      <c r="L39" s="328">
        <f t="shared" si="3"/>
        <v>4.5161290322580641</v>
      </c>
      <c r="M39" s="328">
        <f t="shared" si="3"/>
        <v>42.56</v>
      </c>
      <c r="N39" s="328">
        <f t="shared" si="3"/>
        <v>64.407526881720429</v>
      </c>
    </row>
    <row r="40" spans="1:55" x14ac:dyDescent="0.25">
      <c r="A40" s="187"/>
      <c r="O40" s="302">
        <f>AVERAGE(O35:O37)</f>
        <v>1519.8666666666668</v>
      </c>
    </row>
    <row r="45" spans="1:55" x14ac:dyDescent="0.25">
      <c r="A45" s="187"/>
      <c r="B45" s="346" t="s">
        <v>263</v>
      </c>
      <c r="C45" s="154" t="s">
        <v>187</v>
      </c>
      <c r="D45" s="134"/>
      <c r="P45" s="342" t="s">
        <v>158</v>
      </c>
      <c r="Q45" s="202"/>
      <c r="R45" s="202"/>
    </row>
    <row r="46" spans="1:55" x14ac:dyDescent="0.25">
      <c r="A46" s="187"/>
      <c r="B46" s="169" t="s">
        <v>133</v>
      </c>
      <c r="C46" s="186">
        <v>3</v>
      </c>
      <c r="D46" s="186">
        <v>4</v>
      </c>
      <c r="E46" s="186">
        <v>5</v>
      </c>
      <c r="F46" s="186">
        <v>6</v>
      </c>
      <c r="G46" s="186">
        <v>7</v>
      </c>
      <c r="H46" s="186">
        <v>8</v>
      </c>
      <c r="I46" s="186">
        <v>9</v>
      </c>
      <c r="J46" s="186">
        <v>10</v>
      </c>
      <c r="K46" s="186">
        <v>11</v>
      </c>
      <c r="L46" s="186">
        <v>12</v>
      </c>
      <c r="M46" s="186">
        <v>13</v>
      </c>
      <c r="N46" s="186">
        <v>14</v>
      </c>
      <c r="P46" s="165"/>
    </row>
    <row r="47" spans="1:55" s="19" customFormat="1" x14ac:dyDescent="0.25">
      <c r="A47" s="191"/>
      <c r="B47" s="193" t="str">
        <f>B45</f>
        <v>REFERENCE - CHAUFFAGE</v>
      </c>
      <c r="C47" s="69" t="s">
        <v>41</v>
      </c>
      <c r="D47" s="67" t="s">
        <v>42</v>
      </c>
      <c r="E47" s="67" t="s">
        <v>43</v>
      </c>
      <c r="F47" s="67" t="s">
        <v>38</v>
      </c>
      <c r="G47" s="67" t="s">
        <v>44</v>
      </c>
      <c r="H47" s="67" t="s">
        <v>45</v>
      </c>
      <c r="I47" s="67" t="s">
        <v>46</v>
      </c>
      <c r="J47" s="67" t="s">
        <v>47</v>
      </c>
      <c r="K47" s="67" t="s">
        <v>48</v>
      </c>
      <c r="L47" s="67" t="s">
        <v>49</v>
      </c>
      <c r="M47" s="67" t="s">
        <v>50</v>
      </c>
      <c r="N47" s="68" t="s">
        <v>51</v>
      </c>
      <c r="P47" s="162" t="s">
        <v>41</v>
      </c>
      <c r="Q47" s="163" t="s">
        <v>42</v>
      </c>
      <c r="R47" s="163" t="s">
        <v>43</v>
      </c>
      <c r="S47" s="163" t="s">
        <v>38</v>
      </c>
      <c r="T47" s="163" t="s">
        <v>44</v>
      </c>
      <c r="U47" s="163" t="s">
        <v>45</v>
      </c>
      <c r="V47" s="163" t="s">
        <v>46</v>
      </c>
      <c r="W47" s="163" t="s">
        <v>47</v>
      </c>
      <c r="X47" s="163" t="s">
        <v>48</v>
      </c>
      <c r="Y47" s="163" t="s">
        <v>49</v>
      </c>
      <c r="Z47" s="163" t="s">
        <v>50</v>
      </c>
      <c r="AA47" s="164" t="s">
        <v>51</v>
      </c>
      <c r="AB47" s="164" t="s">
        <v>35</v>
      </c>
    </row>
    <row r="48" spans="1:55" hidden="1" x14ac:dyDescent="0.25">
      <c r="A48" s="186">
        <v>1</v>
      </c>
      <c r="B48" s="117" t="str">
        <f>'0_ENTREE'!B33</f>
        <v>GC - 274 - T4 - 83m²</v>
      </c>
      <c r="C48" s="361">
        <f>((P48/$C$21)-$C$14-(7*$C$17*'0_ENTREE'!$G33))*$L$4/$I$4/'0_ENTREE'!$F33</f>
        <v>6.0627656789540243</v>
      </c>
      <c r="D48" s="358">
        <f>((Q48/$C$21)-$C$14-(7*$C$17*'0_ENTREE'!$G33))*$L$5/$I$5/'0_ENTREE'!$F33</f>
        <v>10.646588597430442</v>
      </c>
      <c r="E48" s="358">
        <f>((R48/$C$21)-$C$14-(7*$C$17*'0_ENTREE'!$G33))*$L$6/$I$6/'0_ENTREE'!$F33</f>
        <v>3.1041835317762851</v>
      </c>
      <c r="F48" s="358">
        <f>((S48/$C$21)-$C$14-(7*$C$17*'0_ENTREE'!$G33))*$L$7/$I$7/'0_ENTREE'!$F33</f>
        <v>1.9070900526252419</v>
      </c>
      <c r="G48" s="358">
        <f>((T48/$C$21)-$C$14-(7*$C$17*'0_ENTREE'!$G33))*$L$8/$I$8/'0_ENTREE'!$F33</f>
        <v>0.21264671926381656</v>
      </c>
      <c r="H48" s="358" t="e">
        <f>((U48/$C$21)-$C$14-(7*$C$17*'0_ENTREE'!$G33))*$L$9/$I$9/'0_ENTREE'!$F33</f>
        <v>#DIV/0!</v>
      </c>
      <c r="I48" s="358" t="e">
        <f>((V48/$C$21)-$C$14-(7*$C$17*'0_ENTREE'!$G33))*$L$10/$I$10/'0_ENTREE'!$F33</f>
        <v>#DIV/0!</v>
      </c>
      <c r="J48" s="358" t="e">
        <f>((W48/$C$21)-$C$14-(7*$C$17*'0_ENTREE'!$G33))*$L$11/$I$11/'0_ENTREE'!$F33</f>
        <v>#DIV/0!</v>
      </c>
      <c r="K48" s="358" t="e">
        <f>((X48/$C$21)-$C$14-(7*$C$17*'0_ENTREE'!$G33))*$L$12/$I$12/'0_ENTREE'!$F33</f>
        <v>#DIV/0!</v>
      </c>
      <c r="L48" s="358">
        <f>((Y48/$C$21)-$C$14-(7*$C$17*'0_ENTREE'!$G33))*$L$13/$I$13/'0_ENTREE'!$F33</f>
        <v>2.8658674056958429</v>
      </c>
      <c r="M48" s="358">
        <f>((Z48/$C$21)-$C$14-(7*$C$17*'0_ENTREE'!$G33))*$L$14/$I$14/'0_ENTREE'!$F33</f>
        <v>2.5459341290500457</v>
      </c>
      <c r="N48" s="362">
        <f>((AA48/$C$21)-$C$14-(7*$C$17*'0_ENTREE'!$G33))*$L$15/$I$15/'0_ENTREE'!$F33</f>
        <v>5.7447152602720299</v>
      </c>
      <c r="P48" s="196">
        <v>2549</v>
      </c>
      <c r="Q48" s="197">
        <v>3264</v>
      </c>
      <c r="R48" s="197">
        <v>1408</v>
      </c>
      <c r="S48" s="197">
        <v>735</v>
      </c>
      <c r="T48" s="197">
        <v>269</v>
      </c>
      <c r="U48" s="197">
        <v>203</v>
      </c>
      <c r="V48" s="197">
        <v>182</v>
      </c>
      <c r="W48" s="197">
        <v>146</v>
      </c>
      <c r="X48" s="197">
        <v>212</v>
      </c>
      <c r="Y48" s="197">
        <v>591</v>
      </c>
      <c r="Z48" s="197">
        <v>1214</v>
      </c>
      <c r="AA48" s="198">
        <v>2097</v>
      </c>
      <c r="AB48" s="198">
        <f>SUM(P48:AA48)</f>
        <v>12870</v>
      </c>
    </row>
    <row r="49" spans="1:28" hidden="1" x14ac:dyDescent="0.25">
      <c r="A49" s="186">
        <v>2</v>
      </c>
      <c r="B49" s="117" t="str">
        <f>'0_ENTREE'!B34</f>
        <v>GC - 277 - T2 - 53m²</v>
      </c>
      <c r="C49" s="361">
        <f>((P49/$C$21)-$C$14-(7*$C$17*'0_ENTREE'!$G34))*$L$4/$I$4/'0_ENTREE'!$F34</f>
        <v>5.9437745906599373</v>
      </c>
      <c r="D49" s="358">
        <f>((Q49/$C$21)-$C$14-(7*$C$17*'0_ENTREE'!$G34))*$L$5/$I$5/'0_ENTREE'!$F34</f>
        <v>10.434415558368809</v>
      </c>
      <c r="E49" s="358">
        <f>((R49/$C$21)-$C$14-(7*$C$17*'0_ENTREE'!$G34))*$L$6/$I$6/'0_ENTREE'!$F34</f>
        <v>3.0443617153284741</v>
      </c>
      <c r="F49" s="358">
        <f>((S49/$C$21)-$C$14-(7*$C$17*'0_ENTREE'!$G34))*$L$7/$I$7/'0_ENTREE'!$F34</f>
        <v>2.1769055506768451</v>
      </c>
      <c r="G49" s="358">
        <f>((T49/$C$21)-$C$14-(7*$C$17*'0_ENTREE'!$G34))*$L$8/$I$8/'0_ENTREE'!$F34</f>
        <v>0.26297901027507303</v>
      </c>
      <c r="H49" s="358" t="e">
        <f>((U49/$C$21)-$C$14-(7*$C$17*'0_ENTREE'!$G34))*$L$9/$I$9/'0_ENTREE'!$F34</f>
        <v>#DIV/0!</v>
      </c>
      <c r="I49" s="358" t="e">
        <f>((V49/$C$21)-$C$14-(7*$C$17*'0_ENTREE'!$G34))*$L$10/$I$10/'0_ENTREE'!$F34</f>
        <v>#DIV/0!</v>
      </c>
      <c r="J49" s="358" t="e">
        <f>((W49/$C$21)-$C$14-(7*$C$17*'0_ENTREE'!$G34))*$L$11/$I$11/'0_ENTREE'!$F34</f>
        <v>#DIV/0!</v>
      </c>
      <c r="K49" s="358" t="e">
        <f>((X49/$C$21)-$C$14-(7*$C$17*'0_ENTREE'!$G34))*$L$12/$I$12/'0_ENTREE'!$F34</f>
        <v>#DIV/0!</v>
      </c>
      <c r="L49" s="358">
        <f>((Y49/$C$21)-$C$14-(7*$C$17*'0_ENTREE'!$G34))*$L$13/$I$13/'0_ENTREE'!$F34</f>
        <v>3.2999399859280309</v>
      </c>
      <c r="M49" s="358">
        <f>((Z49/$C$21)-$C$14-(7*$C$17*'0_ENTREE'!$G34))*$L$14/$I$14/'0_ENTREE'!$F34</f>
        <v>2.8726190039837824</v>
      </c>
      <c r="N49" s="362">
        <f>((AA49/$C$21)-$C$14-(7*$C$17*'0_ENTREE'!$G34))*$L$15/$I$15/'0_ENTREE'!$F34</f>
        <v>6.4398823608466094</v>
      </c>
      <c r="P49" s="199">
        <v>1595</v>
      </c>
      <c r="Q49" s="200">
        <v>2042</v>
      </c>
      <c r="R49" s="200">
        <v>881</v>
      </c>
      <c r="S49" s="200">
        <v>522</v>
      </c>
      <c r="T49" s="200">
        <v>191</v>
      </c>
      <c r="U49" s="200">
        <v>144</v>
      </c>
      <c r="V49" s="200">
        <v>129</v>
      </c>
      <c r="W49" s="200">
        <v>104</v>
      </c>
      <c r="X49" s="200">
        <v>150</v>
      </c>
      <c r="Y49" s="200">
        <v>420</v>
      </c>
      <c r="Z49" s="200">
        <v>862</v>
      </c>
      <c r="AA49" s="201">
        <v>1489</v>
      </c>
      <c r="AB49" s="201">
        <f t="shared" ref="AB49:AB60" si="4">SUM(P49:AA49)</f>
        <v>8529</v>
      </c>
    </row>
    <row r="50" spans="1:28" hidden="1" x14ac:dyDescent="0.25">
      <c r="A50" s="186">
        <v>3</v>
      </c>
      <c r="B50" s="117" t="str">
        <f>'0_ENTREE'!B35</f>
        <v>GC - 281 - T3 - 71m²</v>
      </c>
      <c r="C50" s="361">
        <f>((P50/$C$21)-$C$14-(7*$C$17*'0_ENTREE'!$G35))*$L$4/$I$4/'0_ENTREE'!$F35</f>
        <v>9.2933895792102668</v>
      </c>
      <c r="D50" s="358">
        <f>((Q50/$C$21)-$C$14-(7*$C$17*'0_ENTREE'!$G35))*$L$5/$I$5/'0_ENTREE'!$F35</f>
        <v>16.273986670313256</v>
      </c>
      <c r="E50" s="358">
        <f>((R50/$C$21)-$C$14-(7*$C$17*'0_ENTREE'!$G35))*$L$6/$I$6/'0_ENTREE'!$F35</f>
        <v>4.8067934580859184</v>
      </c>
      <c r="F50" s="358">
        <f>((S50/$C$21)-$C$14-(7*$C$17*'0_ENTREE'!$G35))*$L$7/$I$7/'0_ENTREE'!$F35</f>
        <v>3.1269927112073317</v>
      </c>
      <c r="G50" s="358">
        <f>((T50/$C$21)-$C$14-(7*$C$17*'0_ENTREE'!$G35))*$L$8/$I$8/'0_ENTREE'!$F35</f>
        <v>0.40555159507523414</v>
      </c>
      <c r="H50" s="358" t="e">
        <f>((U50/$C$21)-$C$14-(7*$C$17*'0_ENTREE'!$G35))*$L$9/$I$9/'0_ENTREE'!$F35</f>
        <v>#DIV/0!</v>
      </c>
      <c r="I50" s="358" t="e">
        <f>((V50/$C$21)-$C$14-(7*$C$17*'0_ENTREE'!$G35))*$L$10/$I$10/'0_ENTREE'!$F35</f>
        <v>#DIV/0!</v>
      </c>
      <c r="J50" s="358" t="e">
        <f>((W50/$C$21)-$C$14-(7*$C$17*'0_ENTREE'!$G35))*$L$11/$I$11/'0_ENTREE'!$F35</f>
        <v>#DIV/0!</v>
      </c>
      <c r="K50" s="358" t="e">
        <f>((X50/$C$21)-$C$14-(7*$C$17*'0_ENTREE'!$G35))*$L$12/$I$12/'0_ENTREE'!$F35</f>
        <v>#DIV/0!</v>
      </c>
      <c r="L50" s="358">
        <f>((Y50/$C$21)-$C$14-(7*$C$17*'0_ENTREE'!$G35))*$L$13/$I$13/'0_ENTREE'!$F35</f>
        <v>-0.91207589984350534</v>
      </c>
      <c r="M50" s="358">
        <f>((Z50/$C$21)-$C$14-(7*$C$17*'0_ENTREE'!$G35))*$L$14/$I$14/'0_ENTREE'!$F35</f>
        <v>-0.34609621667627594</v>
      </c>
      <c r="N50" s="362">
        <f>((AA50/$C$21)-$C$14-(7*$C$17*'0_ENTREE'!$G35))*$L$15/$I$15/'0_ENTREE'!$F35</f>
        <v>-0.43099988423392205</v>
      </c>
      <c r="P50" s="199">
        <v>3303</v>
      </c>
      <c r="Q50" s="200">
        <v>4229</v>
      </c>
      <c r="R50" s="200">
        <v>1824</v>
      </c>
      <c r="S50" s="200">
        <v>980</v>
      </c>
      <c r="T50" s="200">
        <v>359</v>
      </c>
      <c r="U50" s="200">
        <v>271</v>
      </c>
      <c r="V50" s="200">
        <v>243</v>
      </c>
      <c r="W50" s="200">
        <v>195</v>
      </c>
      <c r="X50" s="200">
        <v>0</v>
      </c>
      <c r="Y50" s="200">
        <v>0</v>
      </c>
      <c r="Z50" s="200">
        <v>0</v>
      </c>
      <c r="AA50" s="201">
        <v>0</v>
      </c>
      <c r="AB50" s="201">
        <f t="shared" si="4"/>
        <v>11404</v>
      </c>
    </row>
    <row r="51" spans="1:28" hidden="1" x14ac:dyDescent="0.25">
      <c r="A51" s="186">
        <v>4</v>
      </c>
      <c r="B51" s="117" t="str">
        <f>'0_ENTREE'!B36</f>
        <v>GC - 283 - T3 - 70m²</v>
      </c>
      <c r="C51" s="361">
        <f>((P51/$C$21)-$C$14-(7*$C$17*'0_ENTREE'!$G36))*$L$4/$I$4/'0_ENTREE'!$F36</f>
        <v>6.4290450525765444</v>
      </c>
      <c r="D51" s="358">
        <f>((Q51/$C$21)-$C$14-(7*$C$17*'0_ENTREE'!$G36))*$L$5/$I$5/'0_ENTREE'!$F36</f>
        <v>11.304110142255846</v>
      </c>
      <c r="E51" s="358">
        <f>((R51/$C$21)-$C$14-(7*$C$17*'0_ENTREE'!$G36))*$L$6/$I$6/'0_ENTREE'!$F36</f>
        <v>3.2728387515887585</v>
      </c>
      <c r="F51" s="358">
        <f>((S51/$C$21)-$C$14-(7*$C$17*'0_ENTREE'!$G36))*$L$7/$I$7/'0_ENTREE'!$F36</f>
        <v>2.4247643485573538</v>
      </c>
      <c r="G51" s="358">
        <f>((T51/$C$21)-$C$14-(7*$C$17*'0_ENTREE'!$G36))*$L$8/$I$8/'0_ENTREE'!$F36</f>
        <v>0.28044170821013131</v>
      </c>
      <c r="H51" s="358" t="e">
        <f>((U51/$C$21)-$C$14-(7*$C$17*'0_ENTREE'!$G36))*$L$9/$I$9/'0_ENTREE'!$F36</f>
        <v>#DIV/0!</v>
      </c>
      <c r="I51" s="358" t="e">
        <f>((V51/$C$21)-$C$14-(7*$C$17*'0_ENTREE'!$G36))*$L$10/$I$10/'0_ENTREE'!$F36</f>
        <v>#DIV/0!</v>
      </c>
      <c r="J51" s="358" t="e">
        <f>((W51/$C$21)-$C$14-(7*$C$17*'0_ENTREE'!$G36))*$L$11/$I$11/'0_ENTREE'!$F36</f>
        <v>#DIV/0!</v>
      </c>
      <c r="K51" s="358" t="e">
        <f>((X51/$C$21)-$C$14-(7*$C$17*'0_ENTREE'!$G36))*$L$12/$I$12/'0_ENTREE'!$F36</f>
        <v>#DIV/0!</v>
      </c>
      <c r="L51" s="358">
        <f>((Y51/$C$21)-$C$14-(7*$C$17*'0_ENTREE'!$G36))*$L$13/$I$13/'0_ENTREE'!$F36</f>
        <v>3.6614423896499235</v>
      </c>
      <c r="M51" s="358">
        <f>((Z51/$C$21)-$C$14-(7*$C$17*'0_ENTREE'!$G36))*$L$14/$I$14/'0_ENTREE'!$F36</f>
        <v>3.2213820462495661</v>
      </c>
      <c r="N51" s="362">
        <f>((AA51/$C$21)-$C$14-(7*$C$17*'0_ENTREE'!$G36))*$L$15/$I$15/'0_ENTREE'!$F36</f>
        <v>7.2471380402063383</v>
      </c>
      <c r="P51" s="199">
        <v>2293</v>
      </c>
      <c r="Q51" s="200">
        <v>2936</v>
      </c>
      <c r="R51" s="200">
        <v>1266</v>
      </c>
      <c r="S51" s="200">
        <v>779</v>
      </c>
      <c r="T51" s="200">
        <v>285</v>
      </c>
      <c r="U51" s="200">
        <v>215</v>
      </c>
      <c r="V51" s="200">
        <v>193</v>
      </c>
      <c r="W51" s="200">
        <v>155</v>
      </c>
      <c r="X51" s="200">
        <v>224</v>
      </c>
      <c r="Y51" s="200">
        <v>627</v>
      </c>
      <c r="Z51" s="200">
        <v>1287</v>
      </c>
      <c r="AA51" s="201">
        <v>2223</v>
      </c>
      <c r="AB51" s="201">
        <f t="shared" si="4"/>
        <v>12483</v>
      </c>
    </row>
    <row r="52" spans="1:28" hidden="1" x14ac:dyDescent="0.25">
      <c r="A52" s="186">
        <v>5</v>
      </c>
      <c r="B52" s="117" t="str">
        <f>'0_ENTREE'!B37</f>
        <v>GC - 285 - T3 - 64m²</v>
      </c>
      <c r="C52" s="361">
        <f>((P52/$C$21)-$C$14-(7*$C$17*'0_ENTREE'!$G37))*$L$4/$I$4/'0_ENTREE'!$F37</f>
        <v>6.6032652623363912</v>
      </c>
      <c r="D52" s="358">
        <f>((Q52/$C$21)-$C$14-(7*$C$17*'0_ENTREE'!$G37))*$L$5/$I$5/'0_ENTREE'!$F37</f>
        <v>11.677255895085272</v>
      </c>
      <c r="E52" s="358">
        <f>((R52/$C$21)-$C$14-(7*$C$17*'0_ENTREE'!$G37))*$L$6/$I$6/'0_ENTREE'!$F37</f>
        <v>3.2843041114901195</v>
      </c>
      <c r="F52" s="358">
        <f>((S52/$C$21)-$C$14-(7*$C$17*'0_ENTREE'!$G37))*$L$7/$I$7/'0_ENTREE'!$F37</f>
        <v>1.7009433022545752</v>
      </c>
      <c r="G52" s="358">
        <f>((T52/$C$21)-$C$14-(7*$C$17*'0_ENTREE'!$G37))*$L$8/$I$8/'0_ENTREE'!$F37</f>
        <v>8.2248087691230834E-2</v>
      </c>
      <c r="H52" s="358" t="e">
        <f>((U52/$C$21)-$C$14-(7*$C$17*'0_ENTREE'!$G37))*$L$9/$I$9/'0_ENTREE'!$F37</f>
        <v>#DIV/0!</v>
      </c>
      <c r="I52" s="358" t="e">
        <f>((V52/$C$21)-$C$14-(7*$C$17*'0_ENTREE'!$G37))*$L$10/$I$10/'0_ENTREE'!$F37</f>
        <v>#DIV/0!</v>
      </c>
      <c r="J52" s="358" t="e">
        <f>((W52/$C$21)-$C$14-(7*$C$17*'0_ENTREE'!$G37))*$L$11/$I$11/'0_ENTREE'!$F37</f>
        <v>#DIV/0!</v>
      </c>
      <c r="K52" s="358" t="e">
        <f>((X52/$C$21)-$C$14-(7*$C$17*'0_ENTREE'!$G37))*$L$12/$I$12/'0_ENTREE'!$F37</f>
        <v>#DIV/0!</v>
      </c>
      <c r="L52" s="358">
        <f>((Y52/$C$21)-$C$14-(7*$C$17*'0_ENTREE'!$G37))*$L$13/$I$13/'0_ENTREE'!$F37</f>
        <v>2.4203367758276251</v>
      </c>
      <c r="M52" s="358">
        <f>((Z52/$C$21)-$C$14-(7*$C$17*'0_ENTREE'!$G37))*$L$14/$I$14/'0_ENTREE'!$F37</f>
        <v>2.4455307108292277</v>
      </c>
      <c r="N52" s="362">
        <f>((AA52/$C$21)-$C$14-(7*$C$17*'0_ENTREE'!$G37))*$L$15/$I$15/'0_ENTREE'!$F37</f>
        <v>5.7411674369678103</v>
      </c>
      <c r="P52" s="199">
        <v>2209</v>
      </c>
      <c r="Q52" s="200">
        <v>2828</v>
      </c>
      <c r="R52" s="200">
        <v>1220</v>
      </c>
      <c r="S52" s="200">
        <v>593</v>
      </c>
      <c r="T52" s="200">
        <v>217</v>
      </c>
      <c r="U52" s="200">
        <v>164</v>
      </c>
      <c r="V52" s="200">
        <v>147</v>
      </c>
      <c r="W52" s="200">
        <v>118</v>
      </c>
      <c r="X52" s="200">
        <v>171</v>
      </c>
      <c r="Y52" s="200">
        <v>477</v>
      </c>
      <c r="Z52" s="200">
        <v>980</v>
      </c>
      <c r="AA52" s="201">
        <v>1693</v>
      </c>
      <c r="AB52" s="201">
        <f t="shared" si="4"/>
        <v>10817</v>
      </c>
    </row>
    <row r="53" spans="1:28" hidden="1" x14ac:dyDescent="0.25">
      <c r="A53" s="186">
        <v>6</v>
      </c>
      <c r="B53" s="117" t="str">
        <f>'0_ENTREE'!B38</f>
        <v>GC - 286 - T3 - 68m²</v>
      </c>
      <c r="C53" s="361">
        <f>((P53/$C$21)-$C$14-(7*$C$17*'0_ENTREE'!$G38))*$L$4/$I$4/'0_ENTREE'!$F38</f>
        <v>5.2190023217358803</v>
      </c>
      <c r="D53" s="358">
        <f>((Q53/$C$21)-$C$14-(7*$C$17*'0_ENTREE'!$G38))*$L$5/$I$5/'0_ENTREE'!$F38</f>
        <v>9.263219729932441</v>
      </c>
      <c r="E53" s="358">
        <f>((R53/$C$21)-$C$14-(7*$C$17*'0_ENTREE'!$G38))*$L$6/$I$6/'0_ENTREE'!$F38</f>
        <v>2.558929377641141</v>
      </c>
      <c r="F53" s="358">
        <f>((S53/$C$21)-$C$14-(7*$C$17*'0_ENTREE'!$G38))*$L$7/$I$7/'0_ENTREE'!$F38</f>
        <v>2.0943399776615377</v>
      </c>
      <c r="G53" s="358">
        <f>((T53/$C$21)-$C$14-(7*$C$17*'0_ENTREE'!$G38))*$L$8/$I$8/'0_ENTREE'!$F38</f>
        <v>0.16481769470111804</v>
      </c>
      <c r="H53" s="358" t="e">
        <f>((U53/$C$21)-$C$14-(7*$C$17*'0_ENTREE'!$G38))*$L$9/$I$9/'0_ENTREE'!$F38</f>
        <v>#DIV/0!</v>
      </c>
      <c r="I53" s="358" t="e">
        <f>((V53/$C$21)-$C$14-(7*$C$17*'0_ENTREE'!$G38))*$L$10/$I$10/'0_ENTREE'!$F38</f>
        <v>#DIV/0!</v>
      </c>
      <c r="J53" s="358" t="e">
        <f>((W53/$C$21)-$C$14-(7*$C$17*'0_ENTREE'!$G38))*$L$11/$I$11/'0_ENTREE'!$F38</f>
        <v>#DIV/0!</v>
      </c>
      <c r="K53" s="358" t="e">
        <f>((X53/$C$21)-$C$14-(7*$C$17*'0_ENTREE'!$G38))*$L$12/$I$12/'0_ENTREE'!$F38</f>
        <v>#DIV/0!</v>
      </c>
      <c r="L53" s="358">
        <f>((Y53/$C$21)-$C$14-(7*$C$17*'0_ENTREE'!$G38))*$L$13/$I$13/'0_ENTREE'!$F38</f>
        <v>3.0611066512221319</v>
      </c>
      <c r="M53" s="358">
        <f>((Z53/$C$21)-$C$14-(7*$C$17*'0_ENTREE'!$G38))*$L$14/$I$14/'0_ENTREE'!$F38</f>
        <v>2.9103054639603974</v>
      </c>
      <c r="N53" s="362">
        <f>((AA53/$C$21)-$C$14-(7*$C$17*'0_ENTREE'!$G38))*$L$15/$I$15/'0_ENTREE'!$F38</f>
        <v>6.7129396846025733</v>
      </c>
      <c r="P53" s="199">
        <v>1883</v>
      </c>
      <c r="Q53" s="200">
        <v>2411</v>
      </c>
      <c r="R53" s="200">
        <v>1040</v>
      </c>
      <c r="S53" s="200">
        <v>722</v>
      </c>
      <c r="T53" s="200">
        <v>265</v>
      </c>
      <c r="U53" s="200">
        <v>200</v>
      </c>
      <c r="V53" s="200">
        <v>179</v>
      </c>
      <c r="W53" s="200">
        <v>143</v>
      </c>
      <c r="X53" s="200">
        <v>208</v>
      </c>
      <c r="Y53" s="200">
        <v>581</v>
      </c>
      <c r="Z53" s="200">
        <v>1193</v>
      </c>
      <c r="AA53" s="201">
        <v>2061</v>
      </c>
      <c r="AB53" s="201">
        <f t="shared" si="4"/>
        <v>10886</v>
      </c>
    </row>
    <row r="54" spans="1:28" hidden="1" x14ac:dyDescent="0.25">
      <c r="A54" s="186">
        <v>7</v>
      </c>
      <c r="B54" s="117" t="str">
        <f>'0_ENTREE'!B39</f>
        <v>GC - 289 - T3 - 76m²</v>
      </c>
      <c r="C54" s="361">
        <f>((P54/$C$21)-$C$14-(7*$C$17*'0_ENTREE'!$G39))*$L$4/$I$4/'0_ENTREE'!$F39</f>
        <v>3.4343786107699059</v>
      </c>
      <c r="D54" s="358">
        <f>((Q54/$C$21)-$C$14-(7*$C$17*'0_ENTREE'!$G39))*$L$5/$I$5/'0_ENTREE'!$F39</f>
        <v>6.0425876619980405</v>
      </c>
      <c r="E54" s="358">
        <f>((R54/$C$21)-$C$14-(7*$C$17*'0_ENTREE'!$G39))*$L$6/$I$6/'0_ENTREE'!$F39</f>
        <v>1.7421126124709621</v>
      </c>
      <c r="F54" s="358">
        <f>((S54/$C$21)-$C$14-(7*$C$17*'0_ENTREE'!$G39))*$L$7/$I$7/'0_ENTREE'!$F39</f>
        <v>1.2853713223870411</v>
      </c>
      <c r="G54" s="358">
        <f>((T54/$C$21)-$C$14-(7*$C$17*'0_ENTREE'!$G39))*$L$8/$I$8/'0_ENTREE'!$F39</f>
        <v>0.14266048833713119</v>
      </c>
      <c r="H54" s="358" t="e">
        <f>((U54/$C$21)-$C$14-(7*$C$17*'0_ENTREE'!$G39))*$L$9/$I$9/'0_ENTREE'!$F39</f>
        <v>#DIV/0!</v>
      </c>
      <c r="I54" s="358" t="e">
        <f>((V54/$C$21)-$C$14-(7*$C$17*'0_ENTREE'!$G39))*$L$10/$I$10/'0_ENTREE'!$F39</f>
        <v>#DIV/0!</v>
      </c>
      <c r="J54" s="358" t="e">
        <f>((W54/$C$21)-$C$14-(7*$C$17*'0_ENTREE'!$G39))*$L$11/$I$11/'0_ENTREE'!$F39</f>
        <v>#DIV/0!</v>
      </c>
      <c r="K54" s="358" t="e">
        <f>((X54/$C$21)-$C$14-(7*$C$17*'0_ENTREE'!$G39))*$L$12/$I$12/'0_ENTREE'!$F39</f>
        <v>#DIV/0!</v>
      </c>
      <c r="L54" s="358">
        <f>((Y54/$C$21)-$C$14-(7*$C$17*'0_ENTREE'!$G39))*$L$13/$I$13/'0_ENTREE'!$F39</f>
        <v>1.9374455309220535</v>
      </c>
      <c r="M54" s="358">
        <f>((Z54/$C$21)-$C$14-(7*$C$17*'0_ENTREE'!$G39))*$L$14/$I$14/'0_ENTREE'!$F39</f>
        <v>1.7169306682526833</v>
      </c>
      <c r="N54" s="362">
        <f>((AA54/$C$21)-$C$14-(7*$C$17*'0_ENTREE'!$G39))*$L$15/$I$15/'0_ENTREE'!$F39</f>
        <v>3.87649261036379</v>
      </c>
      <c r="P54" s="199">
        <v>1335</v>
      </c>
      <c r="Q54" s="200">
        <v>1709</v>
      </c>
      <c r="R54" s="200">
        <v>737</v>
      </c>
      <c r="S54" s="200">
        <v>454</v>
      </c>
      <c r="T54" s="200">
        <v>166</v>
      </c>
      <c r="U54" s="200">
        <v>126</v>
      </c>
      <c r="V54" s="200">
        <v>113</v>
      </c>
      <c r="W54" s="200">
        <v>90</v>
      </c>
      <c r="X54" s="200">
        <v>131</v>
      </c>
      <c r="Y54" s="200">
        <v>366</v>
      </c>
      <c r="Z54" s="200">
        <v>750</v>
      </c>
      <c r="AA54" s="201">
        <v>1296</v>
      </c>
      <c r="AB54" s="201">
        <f t="shared" si="4"/>
        <v>7273</v>
      </c>
    </row>
    <row r="55" spans="1:28" hidden="1" x14ac:dyDescent="0.25">
      <c r="A55" s="186">
        <v>8</v>
      </c>
      <c r="B55" s="117" t="str">
        <f>'0_ENTREE'!B40</f>
        <v>GC - 303 - T4 - 81m²</v>
      </c>
      <c r="C55" s="361">
        <f>((P55/$C$21)-$C$14-(7*$C$17*'0_ENTREE'!$G40))*$L$4/$I$4/'0_ENTREE'!$F40</f>
        <v>-0.20115840287824516</v>
      </c>
      <c r="D55" s="358">
        <f>((Q55/$C$21)-$C$14-(7*$C$17*'0_ENTREE'!$G40))*$L$5/$I$5/'0_ENTREE'!$F40</f>
        <v>-0.27274658323403217</v>
      </c>
      <c r="E55" s="358">
        <f>((R55/$C$21)-$C$14-(7*$C$17*'0_ENTREE'!$G40))*$L$6/$I$6/'0_ENTREE'!$F40</f>
        <v>1.7959079419223467</v>
      </c>
      <c r="F55" s="358">
        <f>((S55/$C$21)-$C$14-(7*$C$17*'0_ENTREE'!$G40))*$L$7/$I$7/'0_ENTREE'!$F40</f>
        <v>1.4404514293866444</v>
      </c>
      <c r="G55" s="358">
        <f>((T55/$C$21)-$C$14-(7*$C$17*'0_ENTREE'!$G40))*$L$8/$I$8/'0_ENTREE'!$F40</f>
        <v>0.17513015776611635</v>
      </c>
      <c r="H55" s="358" t="e">
        <f>((U55/$C$21)-$C$14-(7*$C$17*'0_ENTREE'!$G40))*$L$9/$I$9/'0_ENTREE'!$F40</f>
        <v>#DIV/0!</v>
      </c>
      <c r="I55" s="358" t="e">
        <f>((V55/$C$21)-$C$14-(7*$C$17*'0_ENTREE'!$G40))*$L$10/$I$10/'0_ENTREE'!$F40</f>
        <v>#DIV/0!</v>
      </c>
      <c r="J55" s="358" t="e">
        <f>((W55/$C$21)-$C$14-(7*$C$17*'0_ENTREE'!$G40))*$L$11/$I$11/'0_ENTREE'!$F40</f>
        <v>#DIV/0!</v>
      </c>
      <c r="K55" s="358" t="e">
        <f>((X55/$C$21)-$C$14-(7*$C$17*'0_ENTREE'!$G40))*$L$12/$I$12/'0_ENTREE'!$F40</f>
        <v>#DIV/0!</v>
      </c>
      <c r="L55" s="358">
        <f>((Y55/$C$21)-$C$14-(7*$C$17*'0_ENTREE'!$G40))*$L$13/$I$13/'0_ENTREE'!$F40</f>
        <v>2.1845066473119488</v>
      </c>
      <c r="M55" s="358">
        <f>((Z55/$C$21)-$C$14-(7*$C$17*'0_ENTREE'!$G40))*$L$14/$I$14/'0_ENTREE'!$F40</f>
        <v>1.8988054474249585</v>
      </c>
      <c r="N55" s="362">
        <f>((AA55/$C$21)-$C$14-(7*$C$17*'0_ENTREE'!$G40))*$L$15/$I$15/'0_ENTREE'!$F40</f>
        <v>4.2585595579964375</v>
      </c>
      <c r="P55" s="199">
        <v>0</v>
      </c>
      <c r="Q55" s="200">
        <v>0</v>
      </c>
      <c r="R55" s="200">
        <v>802</v>
      </c>
      <c r="S55" s="200">
        <v>527</v>
      </c>
      <c r="T55" s="200">
        <v>193</v>
      </c>
      <c r="U55" s="200">
        <v>146</v>
      </c>
      <c r="V55" s="200">
        <v>131</v>
      </c>
      <c r="W55" s="200">
        <v>105</v>
      </c>
      <c r="X55" s="200">
        <v>152</v>
      </c>
      <c r="Y55" s="200">
        <v>424</v>
      </c>
      <c r="Z55" s="200">
        <v>870</v>
      </c>
      <c r="AA55" s="201">
        <v>1504</v>
      </c>
      <c r="AB55" s="201">
        <f t="shared" si="4"/>
        <v>4854</v>
      </c>
    </row>
    <row r="56" spans="1:28" hidden="1" x14ac:dyDescent="0.25">
      <c r="A56" s="186">
        <v>9</v>
      </c>
      <c r="B56" s="117" t="str">
        <f>'0_ENTREE'!B41</f>
        <v>GC - 304 - T3 - 66m²</v>
      </c>
      <c r="C56" s="361">
        <f>((P56/$C$21)-$C$14-(7*$C$17*'0_ENTREE'!$G41))*$L$4/$I$4/'0_ENTREE'!$F41</f>
        <v>9.0690646584683599</v>
      </c>
      <c r="D56" s="358">
        <f>((Q56/$C$21)-$C$14-(7*$C$17*'0_ENTREE'!$G41))*$L$5/$I$5/'0_ENTREE'!$F41</f>
        <v>15.834176089533784</v>
      </c>
      <c r="E56" s="358">
        <f>((R56/$C$21)-$C$14-(7*$C$17*'0_ENTREE'!$G41))*$L$6/$I$6/'0_ENTREE'!$F41</f>
        <v>4.738465879834048</v>
      </c>
      <c r="F56" s="358">
        <f>((S56/$C$21)-$C$14-(7*$C$17*'0_ENTREE'!$G41))*$L$7/$I$7/'0_ENTREE'!$F41</f>
        <v>3.7659776584406588</v>
      </c>
      <c r="G56" s="358">
        <f>((T56/$C$21)-$C$14-(7*$C$17*'0_ENTREE'!$G41))*$L$8/$I$8/'0_ENTREE'!$F41</f>
        <v>0.56390120583901171</v>
      </c>
      <c r="H56" s="358" t="e">
        <f>((U56/$C$21)-$C$14-(7*$C$17*'0_ENTREE'!$G41))*$L$9/$I$9/'0_ENTREE'!$F41</f>
        <v>#DIV/0!</v>
      </c>
      <c r="I56" s="358" t="e">
        <f>((V56/$C$21)-$C$14-(7*$C$17*'0_ENTREE'!$G41))*$L$10/$I$10/'0_ENTREE'!$F41</f>
        <v>#DIV/0!</v>
      </c>
      <c r="J56" s="358" t="e">
        <f>((W56/$C$21)-$C$14-(7*$C$17*'0_ENTREE'!$G41))*$L$11/$I$11/'0_ENTREE'!$F41</f>
        <v>#DIV/0!</v>
      </c>
      <c r="K56" s="358" t="e">
        <f>((X56/$C$21)-$C$14-(7*$C$17*'0_ENTREE'!$G41))*$L$12/$I$12/'0_ENTREE'!$F41</f>
        <v>#DIV/0!</v>
      </c>
      <c r="L56" s="358">
        <f>((Y56/$C$21)-$C$14-(7*$C$17*'0_ENTREE'!$G41))*$L$13/$I$13/'0_ENTREE'!$F41</f>
        <v>5.8464150696462331</v>
      </c>
      <c r="M56" s="358">
        <f>((Z56/$C$21)-$C$14-(7*$C$17*'0_ENTREE'!$G41))*$L$14/$I$14/'0_ENTREE'!$F41</f>
        <v>4.8003713661691005</v>
      </c>
      <c r="N56" s="362">
        <f>((AA56/$C$21)-$C$14-(7*$C$17*'0_ENTREE'!$G41))*$L$15/$I$15/'0_ENTREE'!$F41</f>
        <v>10.531436203400762</v>
      </c>
      <c r="P56" s="199">
        <v>2960</v>
      </c>
      <c r="Q56" s="200">
        <v>3789</v>
      </c>
      <c r="R56" s="200">
        <v>1634</v>
      </c>
      <c r="S56" s="200">
        <v>1034</v>
      </c>
      <c r="T56" s="200">
        <v>379</v>
      </c>
      <c r="U56" s="200">
        <v>286</v>
      </c>
      <c r="V56" s="200">
        <v>256</v>
      </c>
      <c r="W56" s="200">
        <v>205</v>
      </c>
      <c r="X56" s="200">
        <v>298</v>
      </c>
      <c r="Y56" s="200">
        <v>832</v>
      </c>
      <c r="Z56" s="200">
        <v>1709</v>
      </c>
      <c r="AA56" s="201">
        <v>2951</v>
      </c>
      <c r="AB56" s="201">
        <f t="shared" si="4"/>
        <v>16333</v>
      </c>
    </row>
    <row r="57" spans="1:28" hidden="1" x14ac:dyDescent="0.25">
      <c r="A57" s="186">
        <v>10</v>
      </c>
      <c r="B57" s="117" t="str">
        <f>'0_ENTREE'!B42</f>
        <v>GC - 306 - T3 - 66m²</v>
      </c>
      <c r="C57" s="361">
        <f>((P57/$C$21)-$C$14-(7*$C$17*'0_ENTREE'!$G42))*$L$4/$I$4/'0_ENTREE'!$F42</f>
        <v>6.1923759591192775</v>
      </c>
      <c r="D57" s="358">
        <f>((Q57/$C$21)-$C$14-(7*$C$17*'0_ENTREE'!$G42))*$L$5/$I$5/'0_ENTREE'!$F42</f>
        <v>10.901038767592654</v>
      </c>
      <c r="E57" s="358">
        <f>((R57/$C$21)-$C$14-(7*$C$17*'0_ENTREE'!$G42))*$L$6/$I$6/'0_ENTREE'!$F42</f>
        <v>3.1361160833235391</v>
      </c>
      <c r="F57" s="358">
        <f>((S57/$C$21)-$C$14-(7*$C$17*'0_ENTREE'!$G42))*$L$7/$I$7/'0_ENTREE'!$F42</f>
        <v>2.6426600324093674</v>
      </c>
      <c r="G57" s="358">
        <f>((T57/$C$21)-$C$14-(7*$C$17*'0_ENTREE'!$G42))*$L$8/$I$8/'0_ENTREE'!$F42</f>
        <v>0.31057140750571399</v>
      </c>
      <c r="H57" s="358" t="e">
        <f>((U57/$C$21)-$C$14-(7*$C$17*'0_ENTREE'!$G42))*$L$9/$I$9/'0_ENTREE'!$F42</f>
        <v>#DIV/0!</v>
      </c>
      <c r="I57" s="358" t="e">
        <f>((V57/$C$21)-$C$14-(7*$C$17*'0_ENTREE'!$G42))*$L$10/$I$10/'0_ENTREE'!$F42</f>
        <v>#DIV/0!</v>
      </c>
      <c r="J57" s="358" t="e">
        <f>((W57/$C$21)-$C$14-(7*$C$17*'0_ENTREE'!$G42))*$L$11/$I$11/'0_ENTREE'!$F42</f>
        <v>#DIV/0!</v>
      </c>
      <c r="K57" s="358" t="e">
        <f>((X57/$C$21)-$C$14-(7*$C$17*'0_ENTREE'!$G42))*$L$12/$I$12/'0_ENTREE'!$F42</f>
        <v>#DIV/0!</v>
      </c>
      <c r="L57" s="358">
        <f>((Y57/$C$21)-$C$14-(7*$C$17*'0_ENTREE'!$G42))*$L$13/$I$13/'0_ENTREE'!$F42</f>
        <v>3.9919656727088224</v>
      </c>
      <c r="M57" s="358">
        <f>((Z57/$C$21)-$C$14-(7*$C$17*'0_ENTREE'!$G42))*$L$14/$I$14/'0_ENTREE'!$F42</f>
        <v>3.5019934332914984</v>
      </c>
      <c r="N57" s="362">
        <f>((AA57/$C$21)-$C$14-(7*$C$17*'0_ENTREE'!$G42))*$L$15/$I$15/'0_ENTREE'!$F42</f>
        <v>7.8733358130621767</v>
      </c>
      <c r="P57" s="199">
        <v>2094</v>
      </c>
      <c r="Q57" s="200">
        <v>2681</v>
      </c>
      <c r="R57" s="200">
        <v>1156</v>
      </c>
      <c r="S57" s="200">
        <v>797</v>
      </c>
      <c r="T57" s="200">
        <v>292</v>
      </c>
      <c r="U57" s="200">
        <v>220</v>
      </c>
      <c r="V57" s="200">
        <v>197</v>
      </c>
      <c r="W57" s="200">
        <v>158</v>
      </c>
      <c r="X57" s="200">
        <v>229</v>
      </c>
      <c r="Y57" s="200">
        <v>641</v>
      </c>
      <c r="Z57" s="200">
        <v>1316</v>
      </c>
      <c r="AA57" s="201">
        <v>2274</v>
      </c>
      <c r="AB57" s="201">
        <f t="shared" si="4"/>
        <v>12055</v>
      </c>
    </row>
    <row r="58" spans="1:28" hidden="1" x14ac:dyDescent="0.25">
      <c r="A58" s="186">
        <v>11</v>
      </c>
      <c r="B58" s="117" t="str">
        <f>'0_ENTREE'!B43</f>
        <v>GC - 307 - T3 - 66m²</v>
      </c>
      <c r="C58" s="361">
        <f>((P58/$C$21)-$C$14-(7*$C$17*'0_ENTREE'!$G43))*$L$4/$I$4/'0_ENTREE'!$F43</f>
        <v>5.5061922775428549</v>
      </c>
      <c r="D58" s="358">
        <f>((Q58/$C$21)-$C$14-(7*$C$17*'0_ENTREE'!$G43))*$L$5/$I$5/'0_ENTREE'!$F43</f>
        <v>9.770091808422972</v>
      </c>
      <c r="E58" s="358">
        <f>((R58/$C$21)-$C$14-(7*$C$17*'0_ENTREE'!$G43))*$L$6/$I$6/'0_ENTREE'!$F43</f>
        <v>2.706534148805579</v>
      </c>
      <c r="F58" s="358">
        <f>((S58/$C$21)-$C$14-(7*$C$17*'0_ENTREE'!$G43))*$L$7/$I$7/'0_ENTREE'!$F43</f>
        <v>1.8346324898799962</v>
      </c>
      <c r="G58" s="358">
        <f>((T58/$C$21)-$C$14-(7*$C$17*'0_ENTREE'!$G43))*$L$8/$I$8/'0_ENTREE'!$F43</f>
        <v>0.11352688973526881</v>
      </c>
      <c r="H58" s="358" t="e">
        <f>((U58/$C$21)-$C$14-(7*$C$17*'0_ENTREE'!$G43))*$L$9/$I$9/'0_ENTREE'!$F43</f>
        <v>#DIV/0!</v>
      </c>
      <c r="I58" s="358" t="e">
        <f>((V58/$C$21)-$C$14-(7*$C$17*'0_ENTREE'!$G43))*$L$10/$I$10/'0_ENTREE'!$F43</f>
        <v>#DIV/0!</v>
      </c>
      <c r="J58" s="358" t="e">
        <f>((W58/$C$21)-$C$14-(7*$C$17*'0_ENTREE'!$G43))*$L$11/$I$11/'0_ENTREE'!$F43</f>
        <v>#DIV/0!</v>
      </c>
      <c r="K58" s="358" t="e">
        <f>((X58/$C$21)-$C$14-(7*$C$17*'0_ENTREE'!$G43))*$L$12/$I$12/'0_ENTREE'!$F43</f>
        <v>#DIV/0!</v>
      </c>
      <c r="L58" s="358">
        <f>((Y58/$C$21)-$C$14-(7*$C$17*'0_ENTREE'!$G43))*$L$13/$I$13/'0_ENTREE'!$F43</f>
        <v>2.6418126643143762</v>
      </c>
      <c r="M58" s="358">
        <f>((Z58/$C$21)-$C$14-(7*$C$17*'0_ENTREE'!$G43))*$L$14/$I$14/'0_ENTREE'!$F43</f>
        <v>2.6010560195198797</v>
      </c>
      <c r="N58" s="362">
        <f>((AA58/$C$21)-$C$14-(7*$C$17*'0_ENTREE'!$G43))*$L$15/$I$15/'0_ENTREE'!$F43</f>
        <v>6.0584663184341467</v>
      </c>
      <c r="P58" s="199">
        <v>1924</v>
      </c>
      <c r="Q58" s="200">
        <v>2464</v>
      </c>
      <c r="R58" s="200">
        <v>1063</v>
      </c>
      <c r="S58" s="200">
        <v>640</v>
      </c>
      <c r="T58" s="200">
        <v>235</v>
      </c>
      <c r="U58" s="200">
        <v>177</v>
      </c>
      <c r="V58" s="200">
        <v>159</v>
      </c>
      <c r="W58" s="200">
        <v>127</v>
      </c>
      <c r="X58" s="200">
        <v>184</v>
      </c>
      <c r="Y58" s="200">
        <v>515</v>
      </c>
      <c r="Z58" s="200">
        <v>1058</v>
      </c>
      <c r="AA58" s="201">
        <v>1827</v>
      </c>
      <c r="AB58" s="201">
        <f t="shared" si="4"/>
        <v>10373</v>
      </c>
    </row>
    <row r="59" spans="1:28" hidden="1" x14ac:dyDescent="0.25">
      <c r="A59" s="186">
        <v>12</v>
      </c>
      <c r="B59" s="117" t="str">
        <f>'0_ENTREE'!B44</f>
        <v>GC - 308 - T3 - 66m²</v>
      </c>
      <c r="C59" s="361">
        <f>((P59/$C$21)-$C$14-(7*$C$17*'0_ENTREE'!$G44))*$L$4/$I$4/'0_ENTREE'!$F44</f>
        <v>3.1237805678429238</v>
      </c>
      <c r="D59" s="358">
        <f>((Q59/$C$21)-$C$14-(7*$C$17*'0_ENTREE'!$G44))*$L$5/$I$5/'0_ENTREE'!$F44</f>
        <v>5.57541186216194</v>
      </c>
      <c r="E59" s="358">
        <f>((R59/$C$21)-$C$14-(7*$C$17*'0_ENTREE'!$G44))*$L$6/$I$6/'0_ENTREE'!$F44</f>
        <v>1.4972872268248625</v>
      </c>
      <c r="F59" s="358">
        <f>((S59/$C$21)-$C$14-(7*$C$17*'0_ENTREE'!$G44))*$L$7/$I$7/'0_ENTREE'!$F44</f>
        <v>1.1016797492937374</v>
      </c>
      <c r="G59" s="358">
        <f>((T59/$C$21)-$C$14-(7*$C$17*'0_ENTREE'!$G44))*$L$8/$I$8/'0_ENTREE'!$F44</f>
        <v>4.2278236822782332E-2</v>
      </c>
      <c r="H59" s="358" t="e">
        <f>((U59/$C$21)-$C$14-(7*$C$17*'0_ENTREE'!$G44))*$L$9/$I$9/'0_ENTREE'!$F44</f>
        <v>#DIV/0!</v>
      </c>
      <c r="I59" s="358" t="e">
        <f>((V59/$C$21)-$C$14-(7*$C$17*'0_ENTREE'!$G44))*$L$10/$I$10/'0_ENTREE'!$F44</f>
        <v>#DIV/0!</v>
      </c>
      <c r="J59" s="358" t="e">
        <f>((W59/$C$21)-$C$14-(7*$C$17*'0_ENTREE'!$G44))*$L$11/$I$11/'0_ENTREE'!$F44</f>
        <v>#DIV/0!</v>
      </c>
      <c r="K59" s="358" t="e">
        <f>((X59/$C$21)-$C$14-(7*$C$17*'0_ENTREE'!$G44))*$L$12/$I$12/'0_ENTREE'!$F44</f>
        <v>#DIV/0!</v>
      </c>
      <c r="L59" s="358">
        <f>((Y59/$C$21)-$C$14-(7*$C$17*'0_ENTREE'!$G44))*$L$13/$I$13/'0_ENTREE'!$F44</f>
        <v>1.5558261957474284</v>
      </c>
      <c r="M59" s="358">
        <f>((Z59/$C$21)-$C$14-(7*$C$17*'0_ENTREE'!$G44))*$L$14/$I$14/'0_ENTREE'!$F44</f>
        <v>1.6031109531184631</v>
      </c>
      <c r="N59" s="362">
        <f>((AA59/$C$21)-$C$14-(7*$C$17*'0_ENTREE'!$G44))*$L$15/$I$15/'0_ENTREE'!$F44</f>
        <v>3.7854990795088046</v>
      </c>
      <c r="P59" s="199">
        <v>1119</v>
      </c>
      <c r="Q59" s="200">
        <v>1433</v>
      </c>
      <c r="R59" s="200">
        <v>618</v>
      </c>
      <c r="S59" s="200">
        <v>406</v>
      </c>
      <c r="T59" s="200">
        <v>149</v>
      </c>
      <c r="U59" s="200">
        <v>112</v>
      </c>
      <c r="V59" s="200">
        <v>101</v>
      </c>
      <c r="W59" s="200">
        <v>81</v>
      </c>
      <c r="X59" s="200">
        <v>117</v>
      </c>
      <c r="Y59" s="200">
        <v>327</v>
      </c>
      <c r="Z59" s="200">
        <v>671</v>
      </c>
      <c r="AA59" s="201">
        <v>1159</v>
      </c>
      <c r="AB59" s="201">
        <f t="shared" si="4"/>
        <v>6293</v>
      </c>
    </row>
    <row r="60" spans="1:28" hidden="1" x14ac:dyDescent="0.25">
      <c r="A60" s="186">
        <v>13</v>
      </c>
      <c r="B60" s="117" t="str">
        <f>'0_ENTREE'!B45</f>
        <v>GC - 314 - T4 - 75m²</v>
      </c>
      <c r="C60" s="361">
        <f>((P60/$C$21)-$C$14-(7*$C$17*'0_ENTREE'!$G45))*$L$4/$I$4/'0_ENTREE'!$F45</f>
        <v>15.96527353100425</v>
      </c>
      <c r="D60" s="358">
        <f>((Q60/$C$21)-$C$14-(7*$C$17*'0_ENTREE'!$G45))*$L$5/$I$5/'0_ENTREE'!$F45</f>
        <v>28.000871917800918</v>
      </c>
      <c r="E60" s="358">
        <f>((R60/$C$21)-$C$14-(7*$C$17*'0_ENTREE'!$G45))*$L$6/$I$6/'0_ENTREE'!$F45</f>
        <v>8.2092695468914645</v>
      </c>
      <c r="F60" s="358">
        <f>((S60/$C$21)-$C$14-(7*$C$17*'0_ENTREE'!$G45))*$L$7/$I$7/'0_ENTREE'!$F45</f>
        <v>4.9680470110462727</v>
      </c>
      <c r="G60" s="358">
        <f>((T60/$C$21)-$C$14-(7*$C$17*'0_ENTREE'!$G45))*$L$8/$I$8/'0_ENTREE'!$F45</f>
        <v>0.58357586463575839</v>
      </c>
      <c r="H60" s="358" t="e">
        <f>((U60/$C$21)-$C$14-(7*$C$17*'0_ENTREE'!$G45))*$L$9/$I$9/'0_ENTREE'!$F45</f>
        <v>#DIV/0!</v>
      </c>
      <c r="I60" s="358" t="e">
        <f>((V60/$C$21)-$C$14-(7*$C$17*'0_ENTREE'!$G45))*$L$10/$I$10/'0_ENTREE'!$F45</f>
        <v>#DIV/0!</v>
      </c>
      <c r="J60" s="358" t="e">
        <f>((W60/$C$21)-$C$14-(7*$C$17*'0_ENTREE'!$G45))*$L$11/$I$11/'0_ENTREE'!$F45</f>
        <v>#DIV/0!</v>
      </c>
      <c r="K60" s="358" t="e">
        <f>((X60/$C$21)-$C$14-(7*$C$17*'0_ENTREE'!$G45))*$L$12/$I$12/'0_ENTREE'!$F45</f>
        <v>#DIV/0!</v>
      </c>
      <c r="L60" s="358">
        <f>((Y60/$C$21)-$C$14-(7*$C$17*'0_ENTREE'!$G45))*$L$13/$I$13/'0_ENTREE'!$F45</f>
        <v>7.5132820142059851</v>
      </c>
      <c r="M60" s="358">
        <f>((Z60/$C$21)-$C$14-(7*$C$17*'0_ENTREE'!$G45))*$L$14/$I$14/'0_ENTREE'!$F45</f>
        <v>6.5894029769375235</v>
      </c>
      <c r="N60" s="362">
        <f>((AA60/$C$21)-$C$14-(7*$C$17*'0_ENTREE'!$G45))*$L$15/$I$15/'0_ENTREE'!$F45</f>
        <v>14.806860919940748</v>
      </c>
      <c r="P60" s="199">
        <v>6035</v>
      </c>
      <c r="Q60" s="200">
        <v>7727</v>
      </c>
      <c r="R60" s="200">
        <v>3333</v>
      </c>
      <c r="S60" s="200">
        <v>1703</v>
      </c>
      <c r="T60" s="200">
        <v>624</v>
      </c>
      <c r="U60" s="200">
        <v>471</v>
      </c>
      <c r="V60" s="200">
        <v>422</v>
      </c>
      <c r="W60" s="200">
        <v>338</v>
      </c>
      <c r="X60" s="200">
        <v>490</v>
      </c>
      <c r="Y60" s="200">
        <v>1371</v>
      </c>
      <c r="Z60" s="200">
        <v>2814</v>
      </c>
      <c r="AA60" s="201">
        <v>4860</v>
      </c>
      <c r="AB60" s="201">
        <f t="shared" si="4"/>
        <v>30188</v>
      </c>
    </row>
    <row r="61" spans="1:28" hidden="1" x14ac:dyDescent="0.25">
      <c r="A61" s="186">
        <v>14</v>
      </c>
      <c r="B61" s="347"/>
      <c r="C61" s="409"/>
      <c r="D61" s="410"/>
      <c r="E61" s="410"/>
      <c r="F61" s="410"/>
      <c r="G61" s="410"/>
      <c r="H61" s="410"/>
      <c r="I61" s="410"/>
      <c r="J61" s="410"/>
      <c r="K61" s="410"/>
      <c r="L61" s="410"/>
      <c r="M61" s="410"/>
      <c r="N61" s="410"/>
      <c r="P61" s="118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</row>
    <row r="62" spans="1:28" hidden="1" x14ac:dyDescent="0.25">
      <c r="A62" s="186">
        <v>15</v>
      </c>
      <c r="B62" s="117" t="str">
        <f>'0_ENTREE'!B47</f>
        <v>GE2.1 - 275 - T3 - 74m²</v>
      </c>
      <c r="C62" s="361">
        <f>((P62/$C$21)-$C$14-(7*$C$17*'0_ENTREE'!$G47))*$L$4/$I$4/'0_ENTREE'!$F47</f>
        <v>2.2190542728232274</v>
      </c>
      <c r="D62" s="358">
        <f>((Q62/$C$21)-$C$14-(7*$C$17*'0_ENTREE'!$G47))*$L$5/$I$5/'0_ENTREE'!$F47</f>
        <v>3.9869115768052881</v>
      </c>
      <c r="E62" s="358">
        <f>((R62/$C$21)-$C$14-(7*$C$17*'0_ENTREE'!$G47))*$L$6/$I$6/'0_ENTREE'!$F47</f>
        <v>1.0311326218943786</v>
      </c>
      <c r="F62" s="358">
        <f>((S62/$C$21)-$C$14-(7*$C$17*'0_ENTREE'!$G47))*$L$7/$I$7/'0_ENTREE'!$F47</f>
        <v>0.6451336329734414</v>
      </c>
      <c r="G62" s="358">
        <f>((T62/$C$21)-$C$14-(7*$C$17*'0_ENTREE'!$G47))*$L$8/$I$8/'0_ENTREE'!$F47</f>
        <v>-2.0859499635622041E-2</v>
      </c>
      <c r="H62" s="358" t="e">
        <f>((U62/$C$21)-$C$14-(7*$C$17*'0_ENTREE'!$G47))*$L$9/$I$9/'0_ENTREE'!$F47</f>
        <v>#DIV/0!</v>
      </c>
      <c r="I62" s="358" t="e">
        <f>((V62/$C$21)-$C$14-(7*$C$17*'0_ENTREE'!$G47))*$L$10/$I$10/'0_ENTREE'!$F47</f>
        <v>#DIV/0!</v>
      </c>
      <c r="J62" s="358" t="e">
        <f>((W62/$C$21)-$C$14-(7*$C$17*'0_ENTREE'!$G47))*$L$11/$I$11/'0_ENTREE'!$F47</f>
        <v>#DIV/0!</v>
      </c>
      <c r="K62" s="358" t="e">
        <f>((X62/$C$21)-$C$14-(7*$C$17*'0_ENTREE'!$G47))*$L$12/$I$12/'0_ENTREE'!$F47</f>
        <v>#DIV/0!</v>
      </c>
      <c r="L62" s="358">
        <f>((Y62/$C$21)-$C$14-(7*$C$17*'0_ENTREE'!$G47))*$L$13/$I$13/'0_ENTREE'!$F47</f>
        <v>0.85481499650335246</v>
      </c>
      <c r="M62" s="358">
        <f>((Z62/$C$21)-$C$14-(7*$C$17*'0_ENTREE'!$G47))*$L$14/$I$14/'0_ENTREE'!$F47</f>
        <v>1.0149358217265569</v>
      </c>
      <c r="N62" s="362">
        <f>((AA62/$C$21)-$C$14-(7*$C$17*'0_ENTREE'!$G47))*$L$15/$I$15/'0_ENTREE'!$F47</f>
        <v>2.4835805962415272</v>
      </c>
      <c r="P62" s="196">
        <v>917</v>
      </c>
      <c r="Q62" s="197">
        <v>1174</v>
      </c>
      <c r="R62" s="197">
        <v>506</v>
      </c>
      <c r="S62" s="197">
        <v>310</v>
      </c>
      <c r="T62" s="197">
        <v>114</v>
      </c>
      <c r="U62" s="197">
        <v>86</v>
      </c>
      <c r="V62" s="197">
        <v>77</v>
      </c>
      <c r="W62" s="197">
        <v>62</v>
      </c>
      <c r="X62" s="197">
        <v>89</v>
      </c>
      <c r="Y62" s="197">
        <v>250</v>
      </c>
      <c r="Z62" s="197">
        <v>513</v>
      </c>
      <c r="AA62" s="198">
        <v>886</v>
      </c>
      <c r="AB62" s="198">
        <f t="shared" ref="AB62:AB74" si="5">SUM(P62:AA62)</f>
        <v>4984</v>
      </c>
    </row>
    <row r="63" spans="1:28" hidden="1" x14ac:dyDescent="0.25">
      <c r="A63" s="186">
        <v>16</v>
      </c>
      <c r="B63" s="117" t="str">
        <f>'0_ENTREE'!B48</f>
        <v>GE2.1 - 278 - T2 - 57m²</v>
      </c>
      <c r="C63" s="361">
        <f>((P63/$C$21)-$C$14-(7*$C$17*'0_ENTREE'!$G48))*$L$4/$I$4/'0_ENTREE'!$F48</f>
        <v>8.4165307703279169</v>
      </c>
      <c r="D63" s="358">
        <f>((Q63/$C$21)-$C$14-(7*$C$17*'0_ENTREE'!$G48))*$L$5/$I$5/'0_ENTREE'!$F48</f>
        <v>14.717410721541132</v>
      </c>
      <c r="E63" s="358">
        <f>((R63/$C$21)-$C$14-(7*$C$17*'0_ENTREE'!$G48))*$L$6/$I$6/'0_ENTREE'!$F48</f>
        <v>4.3756014652885886</v>
      </c>
      <c r="F63" s="358">
        <f>((S63/$C$21)-$C$14-(7*$C$17*'0_ENTREE'!$G48))*$L$7/$I$7/'0_ENTREE'!$F48</f>
        <v>3.3110216160104269</v>
      </c>
      <c r="G63" s="358">
        <f>((T63/$C$21)-$C$14-(7*$C$17*'0_ENTREE'!$G48))*$L$8/$I$8/'0_ENTREE'!$F48</f>
        <v>0.46828301965125119</v>
      </c>
      <c r="H63" s="358" t="e">
        <f>((U63/$C$21)-$C$14-(7*$C$17*'0_ENTREE'!$G48))*$L$9/$I$9/'0_ENTREE'!$F48</f>
        <v>#DIV/0!</v>
      </c>
      <c r="I63" s="358" t="e">
        <f>((V63/$C$21)-$C$14-(7*$C$17*'0_ENTREE'!$G48))*$L$10/$I$10/'0_ENTREE'!$F48</f>
        <v>#DIV/0!</v>
      </c>
      <c r="J63" s="358" t="e">
        <f>((W63/$C$21)-$C$14-(7*$C$17*'0_ENTREE'!$G48))*$L$11/$I$11/'0_ENTREE'!$F48</f>
        <v>#DIV/0!</v>
      </c>
      <c r="K63" s="358" t="e">
        <f>((X63/$C$21)-$C$14-(7*$C$17*'0_ENTREE'!$G48))*$L$12/$I$12/'0_ENTREE'!$F48</f>
        <v>#DIV/0!</v>
      </c>
      <c r="L63" s="358">
        <f>((Y63/$C$21)-$C$14-(7*$C$17*'0_ENTREE'!$G48))*$L$13/$I$13/'0_ENTREE'!$F48</f>
        <v>-0.70467007797270942</v>
      </c>
      <c r="M63" s="358">
        <f>((Z63/$C$21)-$C$14-(7*$C$17*'0_ENTREE'!$G48))*$L$14/$I$14/'0_ENTREE'!$F48</f>
        <v>-0.26739402722205119</v>
      </c>
      <c r="N63" s="362">
        <f>((AA63/$C$21)-$C$14-(7*$C$17*'0_ENTREE'!$G48))*$L$15/$I$15/'0_ENTREE'!$F48</f>
        <v>3.975784182861251</v>
      </c>
      <c r="P63" s="199">
        <v>2388</v>
      </c>
      <c r="Q63" s="200">
        <v>3057</v>
      </c>
      <c r="R63" s="200">
        <v>1319</v>
      </c>
      <c r="S63" s="200">
        <v>804</v>
      </c>
      <c r="T63" s="200">
        <v>294</v>
      </c>
      <c r="U63" s="200">
        <v>222</v>
      </c>
      <c r="V63" s="200">
        <v>199</v>
      </c>
      <c r="W63" s="200">
        <v>160</v>
      </c>
      <c r="X63" s="200">
        <v>0</v>
      </c>
      <c r="Y63" s="200">
        <v>0</v>
      </c>
      <c r="Z63" s="200">
        <v>0</v>
      </c>
      <c r="AA63" s="201">
        <v>1015</v>
      </c>
      <c r="AB63" s="201">
        <f t="shared" si="5"/>
        <v>9458</v>
      </c>
    </row>
    <row r="64" spans="1:28" hidden="1" x14ac:dyDescent="0.25">
      <c r="A64" s="186">
        <v>17</v>
      </c>
      <c r="B64" s="117" t="str">
        <f>'0_ENTREE'!B49</f>
        <v>GE2.1 - 280 - T3 - 66m²</v>
      </c>
      <c r="C64" s="361">
        <f>((P64/$C$21)-$C$14-(7*$C$17*'0_ENTREE'!$G49))*$L$4/$I$4/'0_ENTREE'!$F49</f>
        <v>6.2363606168004075</v>
      </c>
      <c r="D64" s="358">
        <f>((Q64/$C$21)-$C$14-(7*$C$17*'0_ENTREE'!$G49))*$L$5/$I$5/'0_ENTREE'!$F49</f>
        <v>11.033221266762308</v>
      </c>
      <c r="E64" s="358">
        <f>((R64/$C$21)-$C$14-(7*$C$17*'0_ENTREE'!$G49))*$L$6/$I$6/'0_ENTREE'!$F49</f>
        <v>3.0964413860394648</v>
      </c>
      <c r="F64" s="358">
        <f>((S64/$C$21)-$C$14-(7*$C$17*'0_ENTREE'!$G49))*$L$7/$I$7/'0_ENTREE'!$F49</f>
        <v>3.3637893948643041</v>
      </c>
      <c r="G64" s="358">
        <f>((T64/$C$21)-$C$14-(7*$C$17*'0_ENTREE'!$G49))*$L$8/$I$8/'0_ENTREE'!$F49</f>
        <v>0.37994388439943871</v>
      </c>
      <c r="H64" s="358" t="e">
        <f>((U64/$C$21)-$C$14-(7*$C$17*'0_ENTREE'!$G49))*$L$9/$I$9/'0_ENTREE'!$F49</f>
        <v>#DIV/0!</v>
      </c>
      <c r="I64" s="358" t="e">
        <f>((V64/$C$21)-$C$14-(7*$C$17*'0_ENTREE'!$G49))*$L$10/$I$10/'0_ENTREE'!$F49</f>
        <v>#DIV/0!</v>
      </c>
      <c r="J64" s="358" t="e">
        <f>((W64/$C$21)-$C$14-(7*$C$17*'0_ENTREE'!$G49))*$L$11/$I$11/'0_ENTREE'!$F49</f>
        <v>#DIV/0!</v>
      </c>
      <c r="K64" s="358" t="e">
        <f>((X64/$C$21)-$C$14-(7*$C$17*'0_ENTREE'!$G49))*$L$12/$I$12/'0_ENTREE'!$F49</f>
        <v>#DIV/0!</v>
      </c>
      <c r="L64" s="358">
        <f>((Y64/$C$21)-$C$14-(7*$C$17*'0_ENTREE'!$G49))*$L$13/$I$13/'0_ENTREE'!$F49</f>
        <v>5.0701937352981874</v>
      </c>
      <c r="M64" s="358">
        <f>((Z64/$C$21)-$C$14-(7*$C$17*'0_ENTREE'!$G49))*$L$14/$I$14/'0_ENTREE'!$F49</f>
        <v>4.4881624843119976</v>
      </c>
      <c r="N64" s="362">
        <f>((AA64/$C$21)-$C$14-(7*$C$17*'0_ENTREE'!$G49))*$L$15/$I$15/'0_ENTREE'!$F49</f>
        <v>10.120639502987631</v>
      </c>
      <c r="P64" s="199">
        <v>2156</v>
      </c>
      <c r="Q64" s="200">
        <v>2760</v>
      </c>
      <c r="R64" s="200">
        <v>1191</v>
      </c>
      <c r="S64" s="200">
        <v>1028</v>
      </c>
      <c r="T64" s="200">
        <v>377</v>
      </c>
      <c r="U64" s="200">
        <v>284</v>
      </c>
      <c r="V64" s="200">
        <v>255</v>
      </c>
      <c r="W64" s="200">
        <v>204</v>
      </c>
      <c r="X64" s="200">
        <v>296</v>
      </c>
      <c r="Y64" s="200">
        <v>828</v>
      </c>
      <c r="Z64" s="200">
        <v>1699</v>
      </c>
      <c r="AA64" s="201">
        <v>2935</v>
      </c>
      <c r="AB64" s="201">
        <f t="shared" si="5"/>
        <v>14013</v>
      </c>
    </row>
    <row r="65" spans="1:28" hidden="1" x14ac:dyDescent="0.25">
      <c r="A65" s="186">
        <v>18</v>
      </c>
      <c r="B65" s="117" t="str">
        <f>'0_ENTREE'!B50</f>
        <v>GE2.1 - 282 - T4 - 78m²</v>
      </c>
      <c r="C65" s="361">
        <f>((P65/$C$21)-$C$14-(7*$C$17*'0_ENTREE'!$G50))*$L$4/$I$4/'0_ENTREE'!$F50</f>
        <v>-0.46468171079492027</v>
      </c>
      <c r="D65" s="358">
        <f>((Q65/$C$21)-$C$14-(7*$C$17*'0_ENTREE'!$G50))*$L$5/$I$5/'0_ENTREE'!$F50</f>
        <v>-0.63005247157073085</v>
      </c>
      <c r="E65" s="358">
        <f>((R65/$C$21)-$C$14-(7*$C$17*'0_ENTREE'!$G50))*$L$6/$I$6/'0_ENTREE'!$F50</f>
        <v>-0.44975074727017639</v>
      </c>
      <c r="F65" s="358">
        <f>((S65/$C$21)-$C$14-(7*$C$17*'0_ENTREE'!$G50))*$L$7/$I$7/'0_ENTREE'!$F50</f>
        <v>0.50191966515408282</v>
      </c>
      <c r="G65" s="358">
        <f>((T65/$C$21)-$C$14-(7*$C$17*'0_ENTREE'!$G50))*$L$8/$I$8/'0_ENTREE'!$F50</f>
        <v>0.55009581093172721</v>
      </c>
      <c r="H65" s="358" t="e">
        <f>((U65/$C$21)-$C$14-(7*$C$17*'0_ENTREE'!$G50))*$L$9/$I$9/'0_ENTREE'!$F50</f>
        <v>#DIV/0!</v>
      </c>
      <c r="I65" s="358" t="e">
        <f>((V65/$C$21)-$C$14-(7*$C$17*'0_ENTREE'!$G50))*$L$10/$I$10/'0_ENTREE'!$F50</f>
        <v>#DIV/0!</v>
      </c>
      <c r="J65" s="358" t="e">
        <f>((W65/$C$21)-$C$14-(7*$C$17*'0_ENTREE'!$G50))*$L$11/$I$11/'0_ENTREE'!$F50</f>
        <v>#DIV/0!</v>
      </c>
      <c r="K65" s="358" t="e">
        <f>((X65/$C$21)-$C$14-(7*$C$17*'0_ENTREE'!$G50))*$L$12/$I$12/'0_ENTREE'!$F50</f>
        <v>#DIV/0!</v>
      </c>
      <c r="L65" s="358">
        <f>((Y65/$C$21)-$C$14-(7*$C$17*'0_ENTREE'!$G50))*$L$13/$I$13/'0_ENTREE'!$F50</f>
        <v>0.96180776548413494</v>
      </c>
      <c r="M65" s="358">
        <f>((Z65/$C$21)-$C$14-(7*$C$17*'0_ENTREE'!$G50))*$L$14/$I$14/'0_ENTREE'!$F50</f>
        <v>0.48204823303282185</v>
      </c>
      <c r="N65" s="362">
        <f>((AA65/$C$21)-$C$14-(7*$C$17*'0_ENTREE'!$G50))*$L$15/$I$15/'0_ENTREE'!$F50</f>
        <v>0.95395273699018412</v>
      </c>
      <c r="P65" s="199">
        <v>0</v>
      </c>
      <c r="Q65" s="200">
        <v>0</v>
      </c>
      <c r="R65" s="200">
        <v>0</v>
      </c>
      <c r="S65" s="200">
        <v>325</v>
      </c>
      <c r="T65" s="200">
        <v>521</v>
      </c>
      <c r="U65" s="200">
        <v>179</v>
      </c>
      <c r="V65" s="200">
        <v>177</v>
      </c>
      <c r="W65" s="200">
        <v>140</v>
      </c>
      <c r="X65" s="200">
        <v>246</v>
      </c>
      <c r="Y65" s="200">
        <v>321</v>
      </c>
      <c r="Z65" s="200">
        <v>368</v>
      </c>
      <c r="AA65" s="201">
        <v>482</v>
      </c>
      <c r="AB65" s="201">
        <f t="shared" si="5"/>
        <v>2759</v>
      </c>
    </row>
    <row r="66" spans="1:28" hidden="1" x14ac:dyDescent="0.25">
      <c r="A66" s="186">
        <v>19</v>
      </c>
      <c r="B66" s="117" t="str">
        <f>'0_ENTREE'!B51</f>
        <v>GE2.1 - 292 - T3 - 63m²</v>
      </c>
      <c r="C66" s="361">
        <f>((P66/$C$21)-$C$14-(7*$C$17*'0_ENTREE'!$G51))*$L$4/$I$4/'0_ENTREE'!$F51</f>
        <v>7.2160015427959463</v>
      </c>
      <c r="D66" s="358">
        <f>((Q66/$C$21)-$C$14-(7*$C$17*'0_ENTREE'!$G51))*$L$5/$I$5/'0_ENTREE'!$F51</f>
        <v>12.622819569660583</v>
      </c>
      <c r="E66" s="358">
        <f>((R66/$C$21)-$C$14-(7*$C$17*'0_ENTREE'!$G51))*$L$6/$I$6/'0_ENTREE'!$F51</f>
        <v>3.7450667767481773</v>
      </c>
      <c r="F66" s="358">
        <f>((S66/$C$21)-$C$14-(7*$C$17*'0_ENTREE'!$G51))*$L$7/$I$7/'0_ENTREE'!$F51</f>
        <v>2.7603446973955008</v>
      </c>
      <c r="G66" s="358">
        <f>((T66/$C$21)-$C$14-(7*$C$17*'0_ENTREE'!$G51))*$L$8/$I$8/'0_ENTREE'!$F51</f>
        <v>0.38437428214850461</v>
      </c>
      <c r="H66" s="358" t="e">
        <f>((U66/$C$21)-$C$14-(7*$C$17*'0_ENTREE'!$G51))*$L$9/$I$9/'0_ENTREE'!$F51</f>
        <v>#DIV/0!</v>
      </c>
      <c r="I66" s="358" t="e">
        <f>((V66/$C$21)-$C$14-(7*$C$17*'0_ENTREE'!$G51))*$L$10/$I$10/'0_ENTREE'!$F51</f>
        <v>#DIV/0!</v>
      </c>
      <c r="J66" s="358" t="e">
        <f>((W66/$C$21)-$C$14-(7*$C$17*'0_ENTREE'!$G51))*$L$11/$I$11/'0_ENTREE'!$F51</f>
        <v>#DIV/0!</v>
      </c>
      <c r="K66" s="358" t="e">
        <f>((X66/$C$21)-$C$14-(7*$C$17*'0_ENTREE'!$G51))*$L$12/$I$12/'0_ENTREE'!$F51</f>
        <v>#DIV/0!</v>
      </c>
      <c r="L66" s="358">
        <f>((Y66/$C$21)-$C$14-(7*$C$17*'0_ENTREE'!$G51))*$L$13/$I$13/'0_ENTREE'!$F51</f>
        <v>4.2554093945543707</v>
      </c>
      <c r="M66" s="358">
        <f>((Z66/$C$21)-$C$14-(7*$C$17*'0_ENTREE'!$G51))*$L$14/$I$14/'0_ENTREE'!$F51</f>
        <v>3.5670522836984215</v>
      </c>
      <c r="N66" s="362">
        <f>((AA66/$C$21)-$C$14-(7*$C$17*'0_ENTREE'!$G51))*$L$15/$I$15/'0_ENTREE'!$F51</f>
        <v>7.8911561055901895</v>
      </c>
      <c r="P66" s="199">
        <v>2267</v>
      </c>
      <c r="Q66" s="200">
        <v>2902</v>
      </c>
      <c r="R66" s="200">
        <v>1252</v>
      </c>
      <c r="S66" s="200">
        <v>747</v>
      </c>
      <c r="T66" s="200">
        <v>274</v>
      </c>
      <c r="U66" s="200">
        <v>207</v>
      </c>
      <c r="V66" s="200">
        <v>185</v>
      </c>
      <c r="W66" s="200">
        <v>148</v>
      </c>
      <c r="X66" s="200">
        <v>215</v>
      </c>
      <c r="Y66" s="200">
        <v>602</v>
      </c>
      <c r="Z66" s="200">
        <v>1235</v>
      </c>
      <c r="AA66" s="201">
        <v>2133</v>
      </c>
      <c r="AB66" s="201">
        <f t="shared" si="5"/>
        <v>12167</v>
      </c>
    </row>
    <row r="67" spans="1:28" hidden="1" x14ac:dyDescent="0.25">
      <c r="A67" s="186">
        <v>20</v>
      </c>
      <c r="B67" s="117" t="str">
        <f>'0_ENTREE'!B52</f>
        <v>GE2.1 - 293 - T3 - 63m²</v>
      </c>
      <c r="C67" s="361">
        <f>((P67/$C$21)-$C$14-(7*$C$17*'0_ENTREE'!$G52))*$L$4/$I$4/'0_ENTREE'!$F52</f>
        <v>2.8933600410403688</v>
      </c>
      <c r="D67" s="358">
        <f>((Q67/$C$21)-$C$14-(7*$C$17*'0_ENTREE'!$G52))*$L$5/$I$5/'0_ENTREE'!$F52</f>
        <v>5.1792684250395222</v>
      </c>
      <c r="E67" s="358">
        <f>((R67/$C$21)-$C$14-(7*$C$17*'0_ENTREE'!$G52))*$L$6/$I$6/'0_ENTREE'!$F52</f>
        <v>1.3643494943130587</v>
      </c>
      <c r="F67" s="358">
        <f>((S67/$C$21)-$C$14-(7*$C$17*'0_ENTREE'!$G52))*$L$7/$I$7/'0_ENTREE'!$F52</f>
        <v>1.2449742614118495</v>
      </c>
      <c r="G67" s="358">
        <f>((T67/$C$21)-$C$14-(7*$C$17*'0_ENTREE'!$G52))*$L$8/$I$8/'0_ENTREE'!$F52</f>
        <v>6.0015628066822931E-2</v>
      </c>
      <c r="H67" s="358" t="e">
        <f>((U67/$C$21)-$C$14-(7*$C$17*'0_ENTREE'!$G52))*$L$9/$I$9/'0_ENTREE'!$F52</f>
        <v>#DIV/0!</v>
      </c>
      <c r="I67" s="358" t="e">
        <f>((V67/$C$21)-$C$14-(7*$C$17*'0_ENTREE'!$G52))*$L$10/$I$10/'0_ENTREE'!$F52</f>
        <v>#DIV/0!</v>
      </c>
      <c r="J67" s="358" t="e">
        <f>((W67/$C$21)-$C$14-(7*$C$17*'0_ENTREE'!$G52))*$L$11/$I$11/'0_ENTREE'!$F52</f>
        <v>#DIV/0!</v>
      </c>
      <c r="K67" s="358" t="e">
        <f>((X67/$C$21)-$C$14-(7*$C$17*'0_ENTREE'!$G52))*$L$12/$I$12/'0_ENTREE'!$F52</f>
        <v>#DIV/0!</v>
      </c>
      <c r="L67" s="358">
        <f>((Y67/$C$21)-$C$14-(7*$C$17*'0_ENTREE'!$G52))*$L$13/$I$13/'0_ENTREE'!$F52</f>
        <v>1.768086673431422</v>
      </c>
      <c r="M67" s="358">
        <f>((Z67/$C$21)-$C$14-(7*$C$17*'0_ENTREE'!$G52))*$L$14/$I$14/'0_ENTREE'!$F52</f>
        <v>1.7904805720965693</v>
      </c>
      <c r="N67" s="362">
        <f>((AA67/$C$21)-$C$14-(7*$C$17*'0_ENTREE'!$G52))*$L$15/$I$15/'0_ENTREE'!$F52</f>
        <v>4.2038907420421863</v>
      </c>
      <c r="P67" s="199">
        <v>1004</v>
      </c>
      <c r="Q67" s="200">
        <v>1285</v>
      </c>
      <c r="R67" s="200">
        <v>554</v>
      </c>
      <c r="S67" s="200">
        <v>428</v>
      </c>
      <c r="T67" s="200">
        <v>157</v>
      </c>
      <c r="U67" s="200">
        <v>118</v>
      </c>
      <c r="V67" s="200">
        <v>106</v>
      </c>
      <c r="W67" s="200">
        <v>85</v>
      </c>
      <c r="X67" s="200">
        <v>123</v>
      </c>
      <c r="Y67" s="200">
        <v>344</v>
      </c>
      <c r="Z67" s="200">
        <v>707</v>
      </c>
      <c r="AA67" s="201">
        <v>1221</v>
      </c>
      <c r="AB67" s="201">
        <f t="shared" si="5"/>
        <v>6132</v>
      </c>
    </row>
    <row r="68" spans="1:28" hidden="1" x14ac:dyDescent="0.25">
      <c r="A68" s="186">
        <v>21</v>
      </c>
      <c r="B68" s="117" t="str">
        <f>'0_ENTREE'!B53</f>
        <v>GE2.1 - 295 - T3 - 63m²</v>
      </c>
      <c r="C68" s="361">
        <f>((P68/$C$21)-$C$14-(7*$C$17*'0_ENTREE'!$G53))*$L$4/$I$4/'0_ENTREE'!$F53</f>
        <v>8.2380364192429223</v>
      </c>
      <c r="D68" s="358">
        <f>((Q68/$C$21)-$C$14-(7*$C$17*'0_ENTREE'!$G53))*$L$5/$I$5/'0_ENTREE'!$F53</f>
        <v>14.460099927818506</v>
      </c>
      <c r="E68" s="358">
        <f>((R68/$C$21)-$C$14-(7*$C$17*'0_ENTREE'!$G53))*$L$6/$I$6/'0_ENTREE'!$F53</f>
        <v>4.2204780289615753</v>
      </c>
      <c r="F68" s="358">
        <f>((S68/$C$21)-$C$14-(7*$C$17*'0_ENTREE'!$G53))*$L$7/$I$7/'0_ENTREE'!$F53</f>
        <v>3.5281999494382474</v>
      </c>
      <c r="G68" s="358">
        <f>((T68/$C$21)-$C$14-(7*$C$17*'0_ENTREE'!$G53))*$L$8/$I$8/'0_ENTREE'!$F53</f>
        <v>0.4570502103228829</v>
      </c>
      <c r="H68" s="358" t="e">
        <f>((U68/$C$21)-$C$14-(7*$C$17*'0_ENTREE'!$G53))*$L$9/$I$9/'0_ENTREE'!$F53</f>
        <v>#DIV/0!</v>
      </c>
      <c r="I68" s="358" t="e">
        <f>((V68/$C$21)-$C$14-(7*$C$17*'0_ENTREE'!$G53))*$L$10/$I$10/'0_ENTREE'!$F53</f>
        <v>#DIV/0!</v>
      </c>
      <c r="J68" s="358" t="e">
        <f>((W68/$C$21)-$C$14-(7*$C$17*'0_ENTREE'!$G53))*$L$11/$I$11/'0_ENTREE'!$F53</f>
        <v>#DIV/0!</v>
      </c>
      <c r="K68" s="358" t="e">
        <f>((X68/$C$21)-$C$14-(7*$C$17*'0_ENTREE'!$G53))*$L$12/$I$12/'0_ENTREE'!$F53</f>
        <v>#DIV/0!</v>
      </c>
      <c r="L68" s="358">
        <f>((Y68/$C$21)-$C$14-(7*$C$17*'0_ENTREE'!$G53))*$L$13/$I$13/'0_ENTREE'!$F53</f>
        <v>5.3849816506003707</v>
      </c>
      <c r="M68" s="358">
        <f>((Z68/$C$21)-$C$14-(7*$C$17*'0_ENTREE'!$G53))*$L$14/$I$14/'0_ENTREE'!$F53</f>
        <v>4.6063501547289496</v>
      </c>
      <c r="N68" s="362">
        <f>((AA68/$C$21)-$C$14-(7*$C$17*'0_ENTREE'!$G53))*$L$15/$I$15/'0_ENTREE'!$F53</f>
        <v>10.264678273199086</v>
      </c>
      <c r="P68" s="199">
        <v>2625</v>
      </c>
      <c r="Q68" s="200">
        <v>3361</v>
      </c>
      <c r="R68" s="200">
        <v>1449</v>
      </c>
      <c r="S68" s="200">
        <v>981</v>
      </c>
      <c r="T68" s="200">
        <v>359</v>
      </c>
      <c r="U68" s="200">
        <v>271</v>
      </c>
      <c r="V68" s="200">
        <v>243</v>
      </c>
      <c r="W68" s="200">
        <v>195</v>
      </c>
      <c r="X68" s="200">
        <v>282</v>
      </c>
      <c r="Y68" s="200">
        <v>789</v>
      </c>
      <c r="Z68" s="200">
        <v>1620</v>
      </c>
      <c r="AA68" s="201">
        <v>2799</v>
      </c>
      <c r="AB68" s="201">
        <f t="shared" si="5"/>
        <v>14974</v>
      </c>
    </row>
    <row r="69" spans="1:28" hidden="1" x14ac:dyDescent="0.25">
      <c r="A69" s="186">
        <v>22</v>
      </c>
      <c r="B69" s="117" t="str">
        <f>'0_ENTREE'!B54</f>
        <v>GE2.1 - 296 - T4 - 78m²</v>
      </c>
      <c r="C69" s="361">
        <f>((P69/$C$21)-$C$14-(7*$C$17*'0_ENTREE'!$G54))*$L$4/$I$4/'0_ENTREE'!$F54</f>
        <v>2.3234985562428161</v>
      </c>
      <c r="D69" s="358">
        <f>((Q69/$C$21)-$C$14-(7*$C$17*'0_ENTREE'!$G54))*$L$5/$I$5/'0_ENTREE'!$F54</f>
        <v>4.2589052271061787</v>
      </c>
      <c r="E69" s="358">
        <f>((R69/$C$21)-$C$14-(7*$C$17*'0_ENTREE'!$G54))*$L$6/$I$6/'0_ENTREE'!$F54</f>
        <v>0.98586007224934802</v>
      </c>
      <c r="F69" s="358">
        <f>((S69/$C$21)-$C$14-(7*$C$17*'0_ENTREE'!$G54))*$L$7/$I$7/'0_ENTREE'!$F54</f>
        <v>3.5465092896548094</v>
      </c>
      <c r="G69" s="358">
        <f>((T69/$C$21)-$C$14-(7*$C$17*'0_ENTREE'!$G54))*$L$8/$I$8/'0_ENTREE'!$F54</f>
        <v>0.39447856923709329</v>
      </c>
      <c r="H69" s="358" t="e">
        <f>((U69/$C$21)-$C$14-(7*$C$17*'0_ENTREE'!$G54))*$L$9/$I$9/'0_ENTREE'!$F54</f>
        <v>#DIV/0!</v>
      </c>
      <c r="I69" s="358" t="e">
        <f>((V69/$C$21)-$C$14-(7*$C$17*'0_ENTREE'!$G54))*$L$10/$I$10/'0_ENTREE'!$F54</f>
        <v>#DIV/0!</v>
      </c>
      <c r="J69" s="358" t="e">
        <f>((W69/$C$21)-$C$14-(7*$C$17*'0_ENTREE'!$G54))*$L$11/$I$11/'0_ENTREE'!$F54</f>
        <v>#DIV/0!</v>
      </c>
      <c r="K69" s="358" t="e">
        <f>((X69/$C$21)-$C$14-(7*$C$17*'0_ENTREE'!$G54))*$L$12/$I$12/'0_ENTREE'!$F54</f>
        <v>#DIV/0!</v>
      </c>
      <c r="L69" s="358">
        <f>((Y69/$C$21)-$C$14-(7*$C$17*'0_ENTREE'!$G54))*$L$13/$I$13/'0_ENTREE'!$F54</f>
        <v>5.3338068532178111</v>
      </c>
      <c r="M69" s="358">
        <f>((Z69/$C$21)-$C$14-(7*$C$17*'0_ENTREE'!$G54))*$L$14/$I$14/'0_ENTREE'!$F54</f>
        <v>4.7367520511656522</v>
      </c>
      <c r="N69" s="362">
        <f>((AA69/$C$21)-$C$14-(7*$C$17*'0_ENTREE'!$G54))*$L$15/$I$15/'0_ENTREE'!$F54</f>
        <v>10.694744557584784</v>
      </c>
      <c r="P69" s="199">
        <v>1095</v>
      </c>
      <c r="Q69" s="200">
        <v>1402</v>
      </c>
      <c r="R69" s="200">
        <v>605</v>
      </c>
      <c r="S69" s="200">
        <v>1286</v>
      </c>
      <c r="T69" s="200">
        <v>471</v>
      </c>
      <c r="U69" s="200">
        <v>356</v>
      </c>
      <c r="V69" s="200">
        <v>319</v>
      </c>
      <c r="W69" s="200">
        <v>255</v>
      </c>
      <c r="X69" s="200">
        <v>370</v>
      </c>
      <c r="Y69" s="200">
        <v>1035</v>
      </c>
      <c r="Z69" s="200">
        <v>2124</v>
      </c>
      <c r="AA69" s="201">
        <v>3670</v>
      </c>
      <c r="AB69" s="201">
        <f t="shared" si="5"/>
        <v>12988</v>
      </c>
    </row>
    <row r="70" spans="1:28" hidden="1" x14ac:dyDescent="0.25">
      <c r="A70" s="186">
        <v>23</v>
      </c>
      <c r="B70" s="117" t="str">
        <f>'0_ENTREE'!B55</f>
        <v>GE2.1 - 297 - T4 - 79m²</v>
      </c>
      <c r="C70" s="361">
        <f>((P70/$C$21)-$C$14-(7*$C$17*'0_ENTREE'!$G55))*$L$4/$I$4/'0_ENTREE'!$F55</f>
        <v>9.7143654953267795</v>
      </c>
      <c r="D70" s="358">
        <f>((Q70/$C$21)-$C$14-(7*$C$17*'0_ENTREE'!$G55))*$L$5/$I$5/'0_ENTREE'!$F55</f>
        <v>16.939832220740435</v>
      </c>
      <c r="E70" s="358">
        <f>((R70/$C$21)-$C$14-(7*$C$17*'0_ENTREE'!$G55))*$L$6/$I$6/'0_ENTREE'!$F55</f>
        <v>5.1013717188515644</v>
      </c>
      <c r="F70" s="358">
        <f>((S70/$C$21)-$C$14-(7*$C$17*'0_ENTREE'!$G55))*$L$7/$I$7/'0_ENTREE'!$F55</f>
        <v>4.828771422903861</v>
      </c>
      <c r="G70" s="358">
        <f>((T70/$C$21)-$C$14-(7*$C$17*'0_ENTREE'!$G55))*$L$8/$I$8/'0_ENTREE'!$F55</f>
        <v>0.7642182785940812</v>
      </c>
      <c r="H70" s="358" t="e">
        <f>((U70/$C$21)-$C$14-(7*$C$17*'0_ENTREE'!$G55))*$L$9/$I$9/'0_ENTREE'!$F55</f>
        <v>#DIV/0!</v>
      </c>
      <c r="I70" s="358" t="e">
        <f>((V70/$C$21)-$C$14-(7*$C$17*'0_ENTREE'!$G55))*$L$10/$I$10/'0_ENTREE'!$F55</f>
        <v>#DIV/0!</v>
      </c>
      <c r="J70" s="358" t="e">
        <f>((W70/$C$21)-$C$14-(7*$C$17*'0_ENTREE'!$G55))*$L$11/$I$11/'0_ENTREE'!$F55</f>
        <v>#DIV/0!</v>
      </c>
      <c r="K70" s="358" t="e">
        <f>((X70/$C$21)-$C$14-(7*$C$17*'0_ENTREE'!$G55))*$L$12/$I$12/'0_ENTREE'!$F55</f>
        <v>#DIV/0!</v>
      </c>
      <c r="L70" s="358">
        <f>((Y70/$C$21)-$C$14-(7*$C$17*'0_ENTREE'!$G55))*$L$13/$I$13/'0_ENTREE'!$F55</f>
        <v>7.5548097460647741</v>
      </c>
      <c r="M70" s="358">
        <f>((Z70/$C$21)-$C$14-(7*$C$17*'0_ENTREE'!$G55))*$L$14/$I$14/'0_ENTREE'!$F55</f>
        <v>6.0862949412889273</v>
      </c>
      <c r="N70" s="362">
        <f>((AA70/$C$21)-$C$14-(7*$C$17*'0_ENTREE'!$G55))*$L$15/$I$15/'0_ENTREE'!$F55</f>
        <v>13.267213948221041</v>
      </c>
      <c r="P70" s="199">
        <v>3773</v>
      </c>
      <c r="Q70" s="200">
        <v>4830</v>
      </c>
      <c r="R70" s="200">
        <v>2083</v>
      </c>
      <c r="S70" s="200">
        <v>1545</v>
      </c>
      <c r="T70" s="200">
        <v>566</v>
      </c>
      <c r="U70" s="200">
        <v>427</v>
      </c>
      <c r="V70" s="200">
        <v>383</v>
      </c>
      <c r="W70" s="200">
        <v>307</v>
      </c>
      <c r="X70" s="200">
        <v>445</v>
      </c>
      <c r="Y70" s="200">
        <v>1244</v>
      </c>
      <c r="Z70" s="200">
        <v>2553</v>
      </c>
      <c r="AA70" s="201">
        <v>4410</v>
      </c>
      <c r="AB70" s="201">
        <f t="shared" si="5"/>
        <v>22566</v>
      </c>
    </row>
    <row r="71" spans="1:28" hidden="1" x14ac:dyDescent="0.25">
      <c r="A71" s="186">
        <v>24</v>
      </c>
      <c r="B71" s="117" t="str">
        <f>'0_ENTREE'!B56</f>
        <v>GE2.1 - 299 - T4 - 79m²</v>
      </c>
      <c r="C71" s="361">
        <f>((P71/$C$21)-$C$14-(7*$C$17*'0_ENTREE'!$G56))*$L$4/$I$4/'0_ENTREE'!$F56</f>
        <v>0.70864102875700807</v>
      </c>
      <c r="D71" s="358">
        <f>((Q71/$C$21)-$C$14-(7*$C$17*'0_ENTREE'!$G56))*$L$5/$I$5/'0_ENTREE'!$F56</f>
        <v>1.8414142410793162</v>
      </c>
      <c r="E71" s="358">
        <f>((R71/$C$21)-$C$14-(7*$C$17*'0_ENTREE'!$G56))*$L$6/$I$6/'0_ENTREE'!$F56</f>
        <v>0.44665206876555824</v>
      </c>
      <c r="F71" s="358">
        <f>((S71/$C$21)-$C$14-(7*$C$17*'0_ENTREE'!$G56))*$L$7/$I$7/'0_ENTREE'!$F56</f>
        <v>0.28813331382286345</v>
      </c>
      <c r="G71" s="358">
        <f>((T71/$C$21)-$C$14-(7*$C$17*'0_ENTREE'!$G56))*$L$8/$I$8/'0_ENTREE'!$F56</f>
        <v>0.38482131533682057</v>
      </c>
      <c r="H71" s="358" t="e">
        <f>((U71/$C$21)-$C$14-(7*$C$17*'0_ENTREE'!$G56))*$L$9/$I$9/'0_ENTREE'!$F56</f>
        <v>#DIV/0!</v>
      </c>
      <c r="I71" s="358" t="e">
        <f>((V71/$C$21)-$C$14-(7*$C$17*'0_ENTREE'!$G56))*$L$10/$I$10/'0_ENTREE'!$F56</f>
        <v>#DIV/0!</v>
      </c>
      <c r="J71" s="358" t="e">
        <f>((W71/$C$21)-$C$14-(7*$C$17*'0_ENTREE'!$G56))*$L$11/$I$11/'0_ENTREE'!$F56</f>
        <v>#DIV/0!</v>
      </c>
      <c r="K71" s="358" t="e">
        <f>((X71/$C$21)-$C$14-(7*$C$17*'0_ENTREE'!$G56))*$L$12/$I$12/'0_ENTREE'!$F56</f>
        <v>#DIV/0!</v>
      </c>
      <c r="L71" s="358">
        <f>((Y71/$C$21)-$C$14-(7*$C$17*'0_ENTREE'!$G56))*$L$13/$I$13/'0_ENTREE'!$F56</f>
        <v>0.54776719553783004</v>
      </c>
      <c r="M71" s="358">
        <f>((Z71/$C$21)-$C$14-(7*$C$17*'0_ENTREE'!$G56))*$L$14/$I$14/'0_ENTREE'!$F56</f>
        <v>0.30131848301031156</v>
      </c>
      <c r="N71" s="362">
        <f>((AA71/$C$21)-$C$14-(7*$C$17*'0_ENTREE'!$G56))*$L$15/$I$15/'0_ENTREE'!$F56</f>
        <v>0.65702591434961388</v>
      </c>
      <c r="P71" s="199">
        <v>444</v>
      </c>
      <c r="Q71" s="200">
        <v>691</v>
      </c>
      <c r="R71" s="200">
        <v>350</v>
      </c>
      <c r="S71" s="200">
        <v>262</v>
      </c>
      <c r="T71" s="200">
        <v>420</v>
      </c>
      <c r="U71" s="200">
        <v>144</v>
      </c>
      <c r="V71" s="200">
        <v>143</v>
      </c>
      <c r="W71" s="200">
        <v>113</v>
      </c>
      <c r="X71" s="200">
        <v>199</v>
      </c>
      <c r="Y71" s="200">
        <v>259</v>
      </c>
      <c r="Z71" s="200">
        <v>297</v>
      </c>
      <c r="AA71" s="201">
        <v>389</v>
      </c>
      <c r="AB71" s="201">
        <f t="shared" si="5"/>
        <v>3711</v>
      </c>
    </row>
    <row r="72" spans="1:28" hidden="1" x14ac:dyDescent="0.25">
      <c r="A72" s="186">
        <v>25</v>
      </c>
      <c r="B72" s="117" t="str">
        <f>'0_ENTREE'!B57</f>
        <v>GE2.1 - 300 - T5 - 93m²</v>
      </c>
      <c r="C72" s="361">
        <f>((P72/$C$21)-$C$14-(7*$C$17*'0_ENTREE'!$G57))*$L$4/$I$4/'0_ENTREE'!$F57</f>
        <v>-0.49699833168211549</v>
      </c>
      <c r="D72" s="358">
        <f>((Q72/$C$21)-$C$14-(7*$C$17*'0_ENTREE'!$G57))*$L$5/$I$5/'0_ENTREE'!$F57</f>
        <v>-0.67386991992255063</v>
      </c>
      <c r="E72" s="358">
        <f>((R72/$C$21)-$C$14-(7*$C$17*'0_ENTREE'!$G57))*$L$6/$I$6/'0_ENTREE'!$F57</f>
        <v>-0.48102898365352637</v>
      </c>
      <c r="F72" s="358">
        <f>((S72/$C$21)-$C$14-(7*$C$17*'0_ENTREE'!$G57))*$L$7/$I$7/'0_ENTREE'!$F57</f>
        <v>0.9886726686217846</v>
      </c>
      <c r="G72" s="358">
        <f>((T72/$C$21)-$C$14-(7*$C$17*'0_ENTREE'!$G57))*$L$8/$I$8/'0_ENTREE'!$F57</f>
        <v>-1.5331742811381954E-2</v>
      </c>
      <c r="H72" s="358" t="e">
        <f>((U72/$C$21)-$C$14-(7*$C$17*'0_ENTREE'!$G57))*$L$9/$I$9/'0_ENTREE'!$F57</f>
        <v>#DIV/0!</v>
      </c>
      <c r="I72" s="358" t="e">
        <f>((V72/$C$21)-$C$14-(7*$C$17*'0_ENTREE'!$G57))*$L$10/$I$10/'0_ENTREE'!$F57</f>
        <v>#DIV/0!</v>
      </c>
      <c r="J72" s="358" t="e">
        <f>((W72/$C$21)-$C$14-(7*$C$17*'0_ENTREE'!$G57))*$L$11/$I$11/'0_ENTREE'!$F57</f>
        <v>#DIV/0!</v>
      </c>
      <c r="K72" s="358" t="e">
        <f>((X72/$C$21)-$C$14-(7*$C$17*'0_ENTREE'!$G57))*$L$12/$I$12/'0_ENTREE'!$F57</f>
        <v>#DIV/0!</v>
      </c>
      <c r="L72" s="358">
        <f>((Y72/$C$21)-$C$14-(7*$C$17*'0_ENTREE'!$G57))*$L$13/$I$13/'0_ENTREE'!$F57</f>
        <v>1.3241031407014612</v>
      </c>
      <c r="M72" s="358">
        <f>((Z72/$C$21)-$C$14-(7*$C$17*'0_ENTREE'!$G57))*$L$14/$I$14/'0_ENTREE'!$F57</f>
        <v>1.5220190354940064</v>
      </c>
      <c r="N72" s="362">
        <f>((AA72/$C$21)-$C$14-(7*$C$17*'0_ENTREE'!$G57))*$L$15/$I$15/'0_ENTREE'!$F57</f>
        <v>3.6958673058962512</v>
      </c>
      <c r="P72" s="199">
        <v>0</v>
      </c>
      <c r="Q72" s="200">
        <v>0</v>
      </c>
      <c r="R72" s="200">
        <v>0</v>
      </c>
      <c r="S72" s="200">
        <v>576</v>
      </c>
      <c r="T72" s="200">
        <v>211</v>
      </c>
      <c r="U72" s="200">
        <v>159</v>
      </c>
      <c r="V72" s="200">
        <v>143</v>
      </c>
      <c r="W72" s="200">
        <v>114</v>
      </c>
      <c r="X72" s="200">
        <v>166</v>
      </c>
      <c r="Y72" s="200">
        <v>463</v>
      </c>
      <c r="Z72" s="200">
        <v>951</v>
      </c>
      <c r="AA72" s="201">
        <v>1643</v>
      </c>
      <c r="AB72" s="201">
        <f t="shared" si="5"/>
        <v>4426</v>
      </c>
    </row>
    <row r="73" spans="1:28" hidden="1" x14ac:dyDescent="0.25">
      <c r="A73" s="186">
        <v>26</v>
      </c>
      <c r="B73" s="117" t="str">
        <f>'0_ENTREE'!B58</f>
        <v>GE2.1 - 302 - T5 - 93m²</v>
      </c>
      <c r="C73" s="361">
        <f>((P73/$C$21)-$C$14-(7*$C$17*'0_ENTREE'!$G58))*$L$4/$I$4/'0_ENTREE'!$F58</f>
        <v>5.6475570610087127</v>
      </c>
      <c r="D73" s="358">
        <f>((Q73/$C$21)-$C$14-(7*$C$17*'0_ENTREE'!$G58))*$L$5/$I$5/'0_ENTREE'!$F58</f>
        <v>9.9529554703209886</v>
      </c>
      <c r="E73" s="358">
        <f>((R73/$C$21)-$C$14-(7*$C$17*'0_ENTREE'!$G58))*$L$6/$I$6/'0_ENTREE'!$F58</f>
        <v>2.8503333234045032</v>
      </c>
      <c r="F73" s="358">
        <f>((S73/$C$21)-$C$14-(7*$C$17*'0_ENTREE'!$G58))*$L$7/$I$7/'0_ENTREE'!$F58</f>
        <v>2.1131064173109024</v>
      </c>
      <c r="G73" s="358">
        <f>((T73/$C$21)-$C$14-(7*$C$17*'0_ENTREE'!$G58))*$L$8/$I$8/'0_ENTREE'!$F58</f>
        <v>0.22170432419123665</v>
      </c>
      <c r="H73" s="358" t="e">
        <f>((U73/$C$21)-$C$14-(7*$C$17*'0_ENTREE'!$G58))*$L$9/$I$9/'0_ENTREE'!$F58</f>
        <v>#DIV/0!</v>
      </c>
      <c r="I73" s="358" t="e">
        <f>((V73/$C$21)-$C$14-(7*$C$17*'0_ENTREE'!$G58))*$L$10/$I$10/'0_ENTREE'!$F58</f>
        <v>#DIV/0!</v>
      </c>
      <c r="J73" s="358" t="e">
        <f>((W73/$C$21)-$C$14-(7*$C$17*'0_ENTREE'!$G58))*$L$11/$I$11/'0_ENTREE'!$F58</f>
        <v>#DIV/0!</v>
      </c>
      <c r="K73" s="358" t="e">
        <f>((X73/$C$21)-$C$14-(7*$C$17*'0_ENTREE'!$G58))*$L$12/$I$12/'0_ENTREE'!$F58</f>
        <v>#DIV/0!</v>
      </c>
      <c r="L73" s="358">
        <f>((Y73/$C$21)-$C$14-(7*$C$17*'0_ENTREE'!$G58))*$L$13/$I$13/'0_ENTREE'!$F58</f>
        <v>3.1632307286296455</v>
      </c>
      <c r="M73" s="358">
        <f>((Z73/$C$21)-$C$14-(7*$C$17*'0_ENTREE'!$G58))*$L$14/$I$14/'0_ENTREE'!$F58</f>
        <v>2.8466820951763214</v>
      </c>
      <c r="N73" s="362">
        <f>((AA73/$C$21)-$C$14-(7*$C$17*'0_ENTREE'!$G58))*$L$15/$I$15/'0_ENTREE'!$F58</f>
        <v>6.4538756756718589</v>
      </c>
      <c r="P73" s="199">
        <v>2703</v>
      </c>
      <c r="Q73" s="200">
        <v>3461</v>
      </c>
      <c r="R73" s="200">
        <v>1493</v>
      </c>
      <c r="S73" s="200">
        <v>930</v>
      </c>
      <c r="T73" s="200">
        <v>341</v>
      </c>
      <c r="U73" s="200">
        <v>257</v>
      </c>
      <c r="V73" s="200">
        <v>231</v>
      </c>
      <c r="W73" s="200">
        <v>185</v>
      </c>
      <c r="X73" s="200">
        <v>268</v>
      </c>
      <c r="Y73" s="200">
        <v>749</v>
      </c>
      <c r="Z73" s="200">
        <v>1537</v>
      </c>
      <c r="AA73" s="201">
        <v>2655</v>
      </c>
      <c r="AB73" s="201">
        <f t="shared" si="5"/>
        <v>14810</v>
      </c>
    </row>
    <row r="74" spans="1:28" hidden="1" x14ac:dyDescent="0.25">
      <c r="A74" s="186">
        <v>27</v>
      </c>
      <c r="B74" s="117" t="str">
        <f>'0_ENTREE'!B59</f>
        <v>GE2.1 - 312 - T4 - 75m²</v>
      </c>
      <c r="C74" s="361">
        <f>((P74/$C$21)-$C$14-(7*$C$17*'0_ENTREE'!$G59))*$L$4/$I$4/'0_ENTREE'!$F59</f>
        <v>2.8680198736565399</v>
      </c>
      <c r="D74" s="358">
        <f>((Q74/$C$21)-$C$14-(7*$C$17*'0_ENTREE'!$G59))*$L$5/$I$5/'0_ENTREE'!$F59</f>
        <v>5.1129011744579929</v>
      </c>
      <c r="E74" s="358">
        <f>((R74/$C$21)-$C$14-(7*$C$17*'0_ENTREE'!$G59))*$L$6/$I$6/'0_ENTREE'!$F59</f>
        <v>1.3819474537494703</v>
      </c>
      <c r="F74" s="358">
        <f>((S74/$C$21)-$C$14-(7*$C$17*'0_ENTREE'!$G59))*$L$7/$I$7/'0_ENTREE'!$F59</f>
        <v>-0.43860733354108239</v>
      </c>
      <c r="G74" s="358">
        <f>((T74/$C$21)-$C$14-(7*$C$17*'0_ENTREE'!$G59))*$L$8/$I$8/'0_ENTREE'!$F59</f>
        <v>-0.20879935117599346</v>
      </c>
      <c r="H74" s="358" t="e">
        <f>((U74/$C$21)-$C$14-(7*$C$17*'0_ENTREE'!$G59))*$L$9/$I$9/'0_ENTREE'!$F59</f>
        <v>#DIV/0!</v>
      </c>
      <c r="I74" s="358" t="e">
        <f>((V74/$C$21)-$C$14-(7*$C$17*'0_ENTREE'!$G59))*$L$10/$I$10/'0_ENTREE'!$F59</f>
        <v>#DIV/0!</v>
      </c>
      <c r="J74" s="358" t="e">
        <f>((W74/$C$21)-$C$14-(7*$C$17*'0_ENTREE'!$G59))*$L$11/$I$11/'0_ENTREE'!$F59</f>
        <v>#DIV/0!</v>
      </c>
      <c r="K74" s="358" t="e">
        <f>((X74/$C$21)-$C$14-(7*$C$17*'0_ENTREE'!$G59))*$L$12/$I$12/'0_ENTREE'!$F59</f>
        <v>#DIV/0!</v>
      </c>
      <c r="L74" s="358">
        <f>((Y74/$C$21)-$C$14-(7*$C$17*'0_ENTREE'!$G59))*$L$13/$I$13/'0_ENTREE'!$F59</f>
        <v>-0.86343185185185178</v>
      </c>
      <c r="M74" s="358">
        <f>((Z74/$C$21)-$C$14-(7*$C$17*'0_ENTREE'!$G59))*$L$14/$I$14/'0_ENTREE'!$F59</f>
        <v>-0.3276377517868746</v>
      </c>
      <c r="N74" s="362">
        <f>((AA74/$C$21)-$C$14-(7*$C$17*'0_ENTREE'!$G59))*$L$15/$I$15/'0_ENTREE'!$F59</f>
        <v>-0.40801322374144616</v>
      </c>
      <c r="P74" s="199">
        <v>1162</v>
      </c>
      <c r="Q74" s="200">
        <v>1488</v>
      </c>
      <c r="R74" s="200">
        <v>642</v>
      </c>
      <c r="S74" s="200">
        <v>0</v>
      </c>
      <c r="T74" s="200">
        <v>0</v>
      </c>
      <c r="U74" s="200">
        <v>0</v>
      </c>
      <c r="V74" s="200">
        <v>0</v>
      </c>
      <c r="W74" s="200">
        <v>0</v>
      </c>
      <c r="X74" s="200">
        <v>0</v>
      </c>
      <c r="Y74" s="200">
        <v>0</v>
      </c>
      <c r="Z74" s="200">
        <v>0</v>
      </c>
      <c r="AA74" s="201">
        <v>0</v>
      </c>
      <c r="AB74" s="201">
        <f t="shared" si="5"/>
        <v>3292</v>
      </c>
    </row>
    <row r="75" spans="1:28" hidden="1" x14ac:dyDescent="0.25">
      <c r="A75" s="186">
        <v>28</v>
      </c>
      <c r="B75" s="347"/>
      <c r="C75" s="409"/>
      <c r="D75" s="410"/>
      <c r="E75" s="410"/>
      <c r="F75" s="410"/>
      <c r="G75" s="410"/>
      <c r="H75" s="410"/>
      <c r="I75" s="410"/>
      <c r="J75" s="410"/>
      <c r="K75" s="410"/>
      <c r="L75" s="410"/>
      <c r="M75" s="410"/>
      <c r="N75" s="411"/>
      <c r="P75" s="118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</row>
    <row r="76" spans="1:28" x14ac:dyDescent="0.25">
      <c r="A76" s="186">
        <v>29</v>
      </c>
      <c r="B76" s="117" t="str">
        <f>'0_ENTREE'!B61</f>
        <v>GE2.2 - 271 - T3 - 74m²</v>
      </c>
      <c r="C76" s="361">
        <f>((P76/$C$21)-$C$14-(7*$C$17*'0_ENTREE'!$G61))*$L$4/$I$4/'0_ENTREE'!$F61</f>
        <v>3.235199540853368</v>
      </c>
      <c r="D76" s="358">
        <f>((Q76/$C$21)-$C$14-(7*$C$17*'0_ENTREE'!$G61))*$L$5/$I$5/'0_ENTREE'!$F61</f>
        <v>5.7490878910827456</v>
      </c>
      <c r="E76" s="358">
        <f>((R76/$C$21)-$C$14-(7*$C$17*'0_ENTREE'!$G61))*$L$6/$I$6/'0_ENTREE'!$F61</f>
        <v>1.5744999710801146</v>
      </c>
      <c r="F76" s="358">
        <f>((S76/$C$21)-$C$14-(7*$C$17*'0_ENTREE'!$G61))*$L$7/$I$7/'0_ENTREE'!$F61</f>
        <v>1.204027912748634</v>
      </c>
      <c r="G76" s="358">
        <f>((T76/$C$21)-$C$14-(7*$C$17*'0_ENTREE'!$G61))*$L$8/$I$8/'0_ENTREE'!$F61</f>
        <v>7.6194578740324106E-2</v>
      </c>
      <c r="H76" s="358" t="e">
        <f>((U76/$C$21)-$C$14-(7*$C$17*'0_ENTREE'!$G61))*$L$9/$I$9/'0_ENTREE'!$F61</f>
        <v>#DIV/0!</v>
      </c>
      <c r="I76" s="358" t="e">
        <f>((V76/$C$21)-$C$14-(7*$C$17*'0_ENTREE'!$G61))*$L$10/$I$10/'0_ENTREE'!$F61</f>
        <v>#DIV/0!</v>
      </c>
      <c r="J76" s="358" t="e">
        <f>((W76/$C$21)-$C$14-(7*$C$17*'0_ENTREE'!$G61))*$L$11/$I$11/'0_ENTREE'!$F61</f>
        <v>#DIV/0!</v>
      </c>
      <c r="K76" s="358" t="e">
        <f>((X76/$C$21)-$C$14-(7*$C$17*'0_ENTREE'!$G61))*$L$12/$I$12/'0_ENTREE'!$F61</f>
        <v>#DIV/0!</v>
      </c>
      <c r="L76" s="358">
        <f>((Y76/$C$21)-$C$14-(7*$C$17*'0_ENTREE'!$G61))*$L$13/$I$13/'0_ENTREE'!$F61</f>
        <v>1.7405313978361925</v>
      </c>
      <c r="M76" s="358">
        <f>((Z76/$C$21)-$C$14-(7*$C$17*'0_ENTREE'!$G61))*$L$14/$I$14/'0_ENTREE'!$F61</f>
        <v>1.7055036426116088</v>
      </c>
      <c r="N76" s="362">
        <f>((AA76/$C$21)-$C$14-(7*$C$17*'0_ENTREE'!$G61))*$L$15/$I$15/'0_ENTREE'!$F61</f>
        <v>3.9681029557639262</v>
      </c>
      <c r="P76" s="196">
        <v>1279</v>
      </c>
      <c r="Q76" s="197">
        <v>1637</v>
      </c>
      <c r="R76" s="197">
        <v>706</v>
      </c>
      <c r="S76" s="197">
        <v>469</v>
      </c>
      <c r="T76" s="197">
        <v>172</v>
      </c>
      <c r="U76" s="197">
        <v>130</v>
      </c>
      <c r="V76" s="197">
        <v>116</v>
      </c>
      <c r="W76" s="197">
        <v>93</v>
      </c>
      <c r="X76" s="197">
        <v>135</v>
      </c>
      <c r="Y76" s="197">
        <v>378</v>
      </c>
      <c r="Z76" s="197">
        <v>776</v>
      </c>
      <c r="AA76" s="198">
        <v>1340</v>
      </c>
      <c r="AB76" s="198">
        <f>SUM(P76:AA76)</f>
        <v>7231</v>
      </c>
    </row>
    <row r="77" spans="1:28" x14ac:dyDescent="0.25">
      <c r="A77" s="186">
        <v>30</v>
      </c>
      <c r="B77" s="117" t="str">
        <f>'0_ENTREE'!B62</f>
        <v>GE2.2 - 272 - T3 - 74m²</v>
      </c>
      <c r="C77" s="361">
        <f>((P77/$C$21)-$C$14-(7*$C$17*'0_ENTREE'!$G62))*$L$4/$I$4/'0_ENTREE'!$F62</f>
        <v>3.448602782743885</v>
      </c>
      <c r="D77" s="358">
        <f>((Q77/$C$21)-$C$14-(7*$C$17*'0_ENTREE'!$G62))*$L$5/$I$5/'0_ENTREE'!$F62</f>
        <v>6.0726909694824718</v>
      </c>
      <c r="E77" s="358">
        <f>((R77/$C$21)-$C$14-(7*$C$17*'0_ENTREE'!$G62))*$L$6/$I$6/'0_ENTREE'!$F62</f>
        <v>1.7484441859434092</v>
      </c>
      <c r="F77" s="358">
        <f>((S77/$C$21)-$C$14-(7*$C$17*'0_ENTREE'!$G62))*$L$7/$I$7/'0_ENTREE'!$F62</f>
        <v>1.4220477803945746</v>
      </c>
      <c r="G77" s="358">
        <f>((T77/$C$21)-$C$14-(7*$C$17*'0_ENTREE'!$G62))*$L$8/$I$8/'0_ENTREE'!$F62</f>
        <v>0.16492298517895956</v>
      </c>
      <c r="H77" s="358" t="e">
        <f>((U77/$C$21)-$C$14-(7*$C$17*'0_ENTREE'!$G62))*$L$9/$I$9/'0_ENTREE'!$F62</f>
        <v>#DIV/0!</v>
      </c>
      <c r="I77" s="358" t="e">
        <f>((V77/$C$21)-$C$14-(7*$C$17*'0_ENTREE'!$G62))*$L$10/$I$10/'0_ENTREE'!$F62</f>
        <v>#DIV/0!</v>
      </c>
      <c r="J77" s="358" t="e">
        <f>((W77/$C$21)-$C$14-(7*$C$17*'0_ENTREE'!$G62))*$L$11/$I$11/'0_ENTREE'!$F62</f>
        <v>#DIV/0!</v>
      </c>
      <c r="K77" s="358" t="e">
        <f>((X77/$C$21)-$C$14-(7*$C$17*'0_ENTREE'!$G62))*$L$12/$I$12/'0_ENTREE'!$F62</f>
        <v>#DIV/0!</v>
      </c>
      <c r="L77" s="358">
        <f>((Y77/$C$21)-$C$14-(7*$C$17*'0_ENTREE'!$G62))*$L$13/$I$13/'0_ENTREE'!$F62</f>
        <v>2.1489610895141711</v>
      </c>
      <c r="M77" s="358">
        <f>((Z77/$C$21)-$C$14-(7*$C$17*'0_ENTREE'!$G62))*$L$14/$I$14/'0_ENTREE'!$F62</f>
        <v>1.8919951246307587</v>
      </c>
      <c r="N77" s="362">
        <f>((AA77/$C$21)-$C$14-(7*$C$17*'0_ENTREE'!$G62))*$L$15/$I$15/'0_ENTREE'!$F62</f>
        <v>4.2526621431175977</v>
      </c>
      <c r="P77" s="199">
        <v>1307</v>
      </c>
      <c r="Q77" s="200">
        <v>1674</v>
      </c>
      <c r="R77" s="200">
        <v>722</v>
      </c>
      <c r="S77" s="200">
        <v>483</v>
      </c>
      <c r="T77" s="200">
        <v>177</v>
      </c>
      <c r="U77" s="200">
        <v>134</v>
      </c>
      <c r="V77" s="200">
        <v>120</v>
      </c>
      <c r="W77" s="200">
        <v>96</v>
      </c>
      <c r="X77" s="200">
        <v>139</v>
      </c>
      <c r="Y77" s="200">
        <v>389</v>
      </c>
      <c r="Z77" s="200">
        <v>799</v>
      </c>
      <c r="AA77" s="201">
        <v>1379</v>
      </c>
      <c r="AB77" s="201">
        <f t="shared" ref="AB77:AB88" si="6">SUM(P77:AA77)</f>
        <v>7419</v>
      </c>
    </row>
    <row r="78" spans="1:28" x14ac:dyDescent="0.25">
      <c r="A78" s="186">
        <v>31</v>
      </c>
      <c r="B78" s="117" t="str">
        <f>'0_ENTREE'!B63</f>
        <v>GE2.2 - 273 - T3 - 74m²</v>
      </c>
      <c r="C78" s="361">
        <f>((P78/$C$21)-$C$14-(7*$C$17*'0_ENTREE'!$G63))*$L$4/$I$4/'0_ENTREE'!$F63</f>
        <v>10.985412482928552</v>
      </c>
      <c r="D78" s="358">
        <f>((Q78/$C$21)-$C$14-(7*$C$17*'0_ENTREE'!$G63))*$L$5/$I$5/'0_ENTREE'!$F63</f>
        <v>19.207091016968469</v>
      </c>
      <c r="E78" s="358">
        <f>((R78/$C$21)-$C$14-(7*$C$17*'0_ENTREE'!$G63))*$L$6/$I$6/'0_ENTREE'!$F63</f>
        <v>5.7176760086213543</v>
      </c>
      <c r="F78" s="358">
        <f>((S78/$C$21)-$C$14-(7*$C$17*'0_ENTREE'!$G63))*$L$7/$I$7/'0_ENTREE'!$F63</f>
        <v>4.3957009066849544</v>
      </c>
      <c r="G78" s="358">
        <f>((T78/$C$21)-$C$14-(7*$C$17*'0_ENTREE'!$G63))*$L$8/$I$8/'0_ENTREE'!$F63</f>
        <v>0.6317455101336712</v>
      </c>
      <c r="H78" s="358" t="e">
        <f>((U78/$C$21)-$C$14-(7*$C$17*'0_ENTREE'!$G63))*$L$9/$I$9/'0_ENTREE'!$F63</f>
        <v>#DIV/0!</v>
      </c>
      <c r="I78" s="358" t="e">
        <f>((V78/$C$21)-$C$14-(7*$C$17*'0_ENTREE'!$G63))*$L$10/$I$10/'0_ENTREE'!$F63</f>
        <v>#DIV/0!</v>
      </c>
      <c r="J78" s="358" t="e">
        <f>((W78/$C$21)-$C$14-(7*$C$17*'0_ENTREE'!$G63))*$L$11/$I$11/'0_ENTREE'!$F63</f>
        <v>#DIV/0!</v>
      </c>
      <c r="K78" s="358" t="e">
        <f>((X78/$C$21)-$C$14-(7*$C$17*'0_ENTREE'!$G63))*$L$12/$I$12/'0_ENTREE'!$F63</f>
        <v>#DIV/0!</v>
      </c>
      <c r="L78" s="358">
        <f>((Y78/$C$21)-$C$14-(7*$C$17*'0_ENTREE'!$G63))*$L$13/$I$13/'0_ENTREE'!$F63</f>
        <v>6.7918827491875433</v>
      </c>
      <c r="M78" s="358">
        <f>((Z78/$C$21)-$C$14-(7*$C$17*'0_ENTREE'!$G63))*$L$14/$I$14/'0_ENTREE'!$F63</f>
        <v>5.6414776483404809</v>
      </c>
      <c r="N78" s="362">
        <f>((AA78/$C$21)-$C$14-(7*$C$17*'0_ENTREE'!$G63))*$L$15/$I$15/'0_ENTREE'!$F63</f>
        <v>12.433804252687917</v>
      </c>
      <c r="P78" s="199">
        <v>4040</v>
      </c>
      <c r="Q78" s="200">
        <v>5173</v>
      </c>
      <c r="R78" s="200">
        <v>2231</v>
      </c>
      <c r="S78" s="200">
        <v>1377</v>
      </c>
      <c r="T78" s="200">
        <v>504</v>
      </c>
      <c r="U78" s="200">
        <v>381</v>
      </c>
      <c r="V78" s="200">
        <v>341</v>
      </c>
      <c r="W78" s="200">
        <v>274</v>
      </c>
      <c r="X78" s="200">
        <v>397</v>
      </c>
      <c r="Y78" s="200">
        <v>1108</v>
      </c>
      <c r="Z78" s="200">
        <v>2275</v>
      </c>
      <c r="AA78" s="201">
        <v>3929</v>
      </c>
      <c r="AB78" s="201">
        <f t="shared" si="6"/>
        <v>22030</v>
      </c>
    </row>
    <row r="79" spans="1:28" x14ac:dyDescent="0.25">
      <c r="A79" s="186">
        <v>32</v>
      </c>
      <c r="B79" s="117" t="str">
        <f>'0_ENTREE'!B64</f>
        <v>GE2.2 - 276 - T4 - 83m²</v>
      </c>
      <c r="C79" s="361">
        <f>((P79/$C$21)-$C$14-(7*$C$17*'0_ENTREE'!$G64))*$L$4/$I$4/'0_ENTREE'!$F64</f>
        <v>3.8529219691881509</v>
      </c>
      <c r="D79" s="358">
        <f>((Q79/$C$21)-$C$14-(7*$C$17*'0_ENTREE'!$G64))*$L$5/$I$5/'0_ENTREE'!$F64</f>
        <v>6.8087686060921921</v>
      </c>
      <c r="E79" s="358">
        <f>((R79/$C$21)-$C$14-(7*$C$17*'0_ENTREE'!$G64))*$L$6/$I$6/'0_ENTREE'!$F64</f>
        <v>1.9221304164874109</v>
      </c>
      <c r="F79" s="358">
        <f>((S79/$C$21)-$C$14-(7*$C$17*'0_ENTREE'!$G64))*$L$7/$I$7/'0_ENTREE'!$F64</f>
        <v>1.7817337543654426</v>
      </c>
      <c r="G79" s="358">
        <f>((T79/$C$21)-$C$14-(7*$C$17*'0_ENTREE'!$G64))*$L$8/$I$8/'0_ENTREE'!$F64</f>
        <v>0.1917601332236254</v>
      </c>
      <c r="H79" s="358" t="e">
        <f>((U79/$C$21)-$C$14-(7*$C$17*'0_ENTREE'!$G64))*$L$9/$I$9/'0_ENTREE'!$F64</f>
        <v>#DIV/0!</v>
      </c>
      <c r="I79" s="358" t="e">
        <f>((V79/$C$21)-$C$14-(7*$C$17*'0_ENTREE'!$G64))*$L$10/$I$10/'0_ENTREE'!$F64</f>
        <v>#DIV/0!</v>
      </c>
      <c r="J79" s="358" t="e">
        <f>((W79/$C$21)-$C$14-(7*$C$17*'0_ENTREE'!$G64))*$L$11/$I$11/'0_ENTREE'!$F64</f>
        <v>#DIV/0!</v>
      </c>
      <c r="K79" s="358" t="e">
        <f>((X79/$C$21)-$C$14-(7*$C$17*'0_ENTREE'!$G64))*$L$12/$I$12/'0_ENTREE'!$F64</f>
        <v>#DIV/0!</v>
      </c>
      <c r="L79" s="358">
        <f>((Y79/$C$21)-$C$14-(7*$C$17*'0_ENTREE'!$G64))*$L$13/$I$13/'0_ENTREE'!$F64</f>
        <v>2.6746180246098548</v>
      </c>
      <c r="M79" s="358">
        <f>((Z79/$C$21)-$C$14-(7*$C$17*'0_ENTREE'!$G64))*$L$14/$I$14/'0_ENTREE'!$F64</f>
        <v>2.3937681471701104</v>
      </c>
      <c r="N79" s="362">
        <f>((AA79/$C$21)-$C$14-(7*$C$17*'0_ENTREE'!$G64))*$L$15/$I$15/'0_ENTREE'!$F64</f>
        <v>5.4182007091409412</v>
      </c>
      <c r="P79" s="199">
        <v>1666</v>
      </c>
      <c r="Q79" s="200">
        <v>2133</v>
      </c>
      <c r="R79" s="200">
        <v>920</v>
      </c>
      <c r="S79" s="200">
        <v>695</v>
      </c>
      <c r="T79" s="200">
        <v>255</v>
      </c>
      <c r="U79" s="200">
        <v>192</v>
      </c>
      <c r="V79" s="200">
        <v>172</v>
      </c>
      <c r="W79" s="200">
        <v>138</v>
      </c>
      <c r="X79" s="200">
        <v>200</v>
      </c>
      <c r="Y79" s="200">
        <v>560</v>
      </c>
      <c r="Z79" s="200">
        <v>1149</v>
      </c>
      <c r="AA79" s="201">
        <v>1985</v>
      </c>
      <c r="AB79" s="201">
        <f t="shared" si="6"/>
        <v>10065</v>
      </c>
    </row>
    <row r="80" spans="1:28" x14ac:dyDescent="0.25">
      <c r="A80" s="186">
        <v>33</v>
      </c>
      <c r="B80" s="117" t="str">
        <f>'0_ENTREE'!B65</f>
        <v>GE2.2 - 279 - T3 - 70m²</v>
      </c>
      <c r="C80" s="361">
        <f>((P80/$C$21)-$C$14-(7*$C$17*'0_ENTREE'!$G65))*$L$4/$I$4/'0_ENTREE'!$F65</f>
        <v>4.1826983428483517</v>
      </c>
      <c r="D80" s="358">
        <f>((Q80/$C$21)-$C$14-(7*$C$17*'0_ENTREE'!$G65))*$L$5/$I$5/'0_ENTREE'!$F65</f>
        <v>7.401332732850233</v>
      </c>
      <c r="E80" s="358">
        <f>((R80/$C$21)-$C$14-(7*$C$17*'0_ENTREE'!$G65))*$L$6/$I$6/'0_ENTREE'!$F65</f>
        <v>2.0723074055163866</v>
      </c>
      <c r="F80" s="358">
        <f>((S80/$C$21)-$C$14-(7*$C$17*'0_ENTREE'!$G65))*$L$7/$I$7/'0_ENTREE'!$F65</f>
        <v>1.339716046905749</v>
      </c>
      <c r="G80" s="358">
        <f>((T80/$C$21)-$C$14-(7*$C$17*'0_ENTREE'!$G65))*$L$8/$I$8/'0_ENTREE'!$F65</f>
        <v>9.1162350431623448E-2</v>
      </c>
      <c r="H80" s="358" t="e">
        <f>((U80/$C$21)-$C$14-(7*$C$17*'0_ENTREE'!$G65))*$L$9/$I$9/'0_ENTREE'!$F65</f>
        <v>#DIV/0!</v>
      </c>
      <c r="I80" s="358" t="e">
        <f>((V80/$C$21)-$C$14-(7*$C$17*'0_ENTREE'!$G65))*$L$10/$I$10/'0_ENTREE'!$F65</f>
        <v>#DIV/0!</v>
      </c>
      <c r="J80" s="358" t="e">
        <f>((W80/$C$21)-$C$14-(7*$C$17*'0_ENTREE'!$G65))*$L$11/$I$11/'0_ENTREE'!$F65</f>
        <v>#DIV/0!</v>
      </c>
      <c r="K80" s="358" t="e">
        <f>((X80/$C$21)-$C$14-(7*$C$17*'0_ENTREE'!$G65))*$L$12/$I$12/'0_ENTREE'!$F65</f>
        <v>#DIV/0!</v>
      </c>
      <c r="L80" s="358">
        <f>((Y80/$C$21)-$C$14-(7*$C$17*'0_ENTREE'!$G65))*$L$13/$I$13/'0_ENTREE'!$F65</f>
        <v>1.942401293759513</v>
      </c>
      <c r="M80" s="358">
        <f>((Z80/$C$21)-$C$14-(7*$C$17*'0_ENTREE'!$G65))*$L$14/$I$14/'0_ENTREE'!$F65</f>
        <v>1.883458470186119</v>
      </c>
      <c r="N80" s="362">
        <f>((AA80/$C$21)-$C$14-(7*$C$17*'0_ENTREE'!$G65))*$L$15/$I$15/'0_ENTREE'!$F65</f>
        <v>4.3676878424190608</v>
      </c>
      <c r="P80" s="199">
        <v>1536</v>
      </c>
      <c r="Q80" s="200">
        <v>1966</v>
      </c>
      <c r="R80" s="200">
        <v>848</v>
      </c>
      <c r="S80" s="200">
        <v>487</v>
      </c>
      <c r="T80" s="200">
        <v>178</v>
      </c>
      <c r="U80" s="200">
        <v>135</v>
      </c>
      <c r="V80" s="200">
        <v>121</v>
      </c>
      <c r="W80" s="200">
        <v>97</v>
      </c>
      <c r="X80" s="200">
        <v>140</v>
      </c>
      <c r="Y80" s="200">
        <v>392</v>
      </c>
      <c r="Z80" s="200">
        <v>805</v>
      </c>
      <c r="AA80" s="201">
        <v>1390</v>
      </c>
      <c r="AB80" s="201">
        <f t="shared" si="6"/>
        <v>8095</v>
      </c>
    </row>
    <row r="81" spans="1:28" x14ac:dyDescent="0.25">
      <c r="A81" s="186">
        <v>34</v>
      </c>
      <c r="B81" s="117" t="str">
        <f>'0_ENTREE'!B66</f>
        <v>GE2.2 - 288 - T3 - 68m²</v>
      </c>
      <c r="C81" s="361">
        <f>((P81/$C$21)-$C$14-(7*$C$17*'0_ENTREE'!$G66))*$L$4/$I$4/'0_ENTREE'!$F66</f>
        <v>2.6896272031502275</v>
      </c>
      <c r="D81" s="358">
        <f>((Q81/$C$21)-$C$14-(7*$C$17*'0_ENTREE'!$G66))*$L$5/$I$5/'0_ENTREE'!$F66</f>
        <v>4.930774834567857</v>
      </c>
      <c r="E81" s="358">
        <f>((R81/$C$21)-$C$14-(7*$C$17*'0_ENTREE'!$G66))*$L$6/$I$6/'0_ENTREE'!$F66</f>
        <v>1.1426657251800592</v>
      </c>
      <c r="F81" s="358">
        <f>((S81/$C$21)-$C$14-(7*$C$17*'0_ENTREE'!$G66))*$L$7/$I$7/'0_ENTREE'!$F66</f>
        <v>0.30022236010776493</v>
      </c>
      <c r="G81" s="358">
        <f>((T81/$C$21)-$C$14-(7*$C$17*'0_ENTREE'!$G66))*$L$8/$I$8/'0_ENTREE'!$F66</f>
        <v>-0.20488884444888841</v>
      </c>
      <c r="H81" s="358" t="e">
        <f>((U81/$C$21)-$C$14-(7*$C$17*'0_ENTREE'!$G66))*$L$9/$I$9/'0_ENTREE'!$F66</f>
        <v>#DIV/0!</v>
      </c>
      <c r="I81" s="358" t="e">
        <f>((V81/$C$21)-$C$14-(7*$C$17*'0_ENTREE'!$G66))*$L$10/$I$10/'0_ENTREE'!$F66</f>
        <v>#DIV/0!</v>
      </c>
      <c r="J81" s="358" t="e">
        <f>((W81/$C$21)-$C$14-(7*$C$17*'0_ENTREE'!$G66))*$L$11/$I$11/'0_ENTREE'!$F66</f>
        <v>#DIV/0!</v>
      </c>
      <c r="K81" s="358" t="e">
        <f>((X81/$C$21)-$C$14-(7*$C$17*'0_ENTREE'!$G66))*$L$12/$I$12/'0_ENTREE'!$F66</f>
        <v>#DIV/0!</v>
      </c>
      <c r="L81" s="358">
        <f>((Y81/$C$21)-$C$14-(7*$C$17*'0_ENTREE'!$G66))*$L$13/$I$13/'0_ENTREE'!$F66</f>
        <v>0.14672768376757092</v>
      </c>
      <c r="M81" s="358">
        <f>((Z81/$C$21)-$C$14-(7*$C$17*'0_ENTREE'!$G66))*$L$14/$I$14/'0_ENTREE'!$F66</f>
        <v>0.78431822180125743</v>
      </c>
      <c r="N81" s="362">
        <f>((AA81/$C$21)-$C$14-(7*$C$17*'0_ENTREE'!$G66))*$L$15/$I$15/'0_ENTREE'!$F66</f>
        <v>2.2648633123704331</v>
      </c>
      <c r="P81" s="199">
        <v>1103</v>
      </c>
      <c r="Q81" s="200">
        <v>1413</v>
      </c>
      <c r="R81" s="200">
        <v>609</v>
      </c>
      <c r="S81" s="200">
        <v>301</v>
      </c>
      <c r="T81" s="200">
        <v>110</v>
      </c>
      <c r="U81" s="200">
        <v>83</v>
      </c>
      <c r="V81" s="200">
        <v>75</v>
      </c>
      <c r="W81" s="200">
        <v>60</v>
      </c>
      <c r="X81" s="200">
        <v>87</v>
      </c>
      <c r="Y81" s="200">
        <v>242</v>
      </c>
      <c r="Z81" s="200">
        <v>497</v>
      </c>
      <c r="AA81" s="201">
        <v>859</v>
      </c>
      <c r="AB81" s="201">
        <f t="shared" si="6"/>
        <v>5439</v>
      </c>
    </row>
    <row r="82" spans="1:28" x14ac:dyDescent="0.25">
      <c r="A82" s="186">
        <v>35</v>
      </c>
      <c r="B82" s="117" t="str">
        <f>'0_ENTREE'!B67</f>
        <v>GE2.2 - 291 - T3 - 62m²</v>
      </c>
      <c r="C82" s="361">
        <f>((P82/$C$21)-$C$14-(7*$C$17*'0_ENTREE'!$G67))*$L$4/$I$4/'0_ENTREE'!$F67</f>
        <v>7.2820515452294261</v>
      </c>
      <c r="D82" s="358">
        <f>((Q82/$C$21)-$C$14-(7*$C$17*'0_ENTREE'!$G67))*$L$5/$I$5/'0_ENTREE'!$F67</f>
        <v>12.799046125847005</v>
      </c>
      <c r="E82" s="358">
        <f>((R82/$C$21)-$C$14-(7*$C$17*'0_ENTREE'!$G67))*$L$6/$I$6/'0_ENTREE'!$F67</f>
        <v>3.7081112304517414</v>
      </c>
      <c r="F82" s="358">
        <f>((S82/$C$21)-$C$14-(7*$C$17*'0_ENTREE'!$G67))*$L$7/$I$7/'0_ENTREE'!$F67</f>
        <v>2.2551670601091969</v>
      </c>
      <c r="G82" s="358">
        <f>((T82/$C$21)-$C$14-(7*$C$17*'0_ENTREE'!$G67))*$L$8/$I$8/'0_ENTREE'!$F67</f>
        <v>0.23274451049518696</v>
      </c>
      <c r="H82" s="358" t="e">
        <f>((U82/$C$21)-$C$14-(7*$C$17*'0_ENTREE'!$G67))*$L$9/$I$9/'0_ENTREE'!$F67</f>
        <v>#DIV/0!</v>
      </c>
      <c r="I82" s="358" t="e">
        <f>((V82/$C$21)-$C$14-(7*$C$17*'0_ENTREE'!$G67))*$L$10/$I$10/'0_ENTREE'!$F67</f>
        <v>#DIV/0!</v>
      </c>
      <c r="J82" s="358" t="e">
        <f>((W82/$C$21)-$C$14-(7*$C$17*'0_ENTREE'!$G67))*$L$11/$I$11/'0_ENTREE'!$F67</f>
        <v>#DIV/0!</v>
      </c>
      <c r="K82" s="358" t="e">
        <f>((X82/$C$21)-$C$14-(7*$C$17*'0_ENTREE'!$G67))*$L$12/$I$12/'0_ENTREE'!$F67</f>
        <v>#DIV/0!</v>
      </c>
      <c r="L82" s="358">
        <f>((Y82/$C$21)-$C$14-(7*$C$17*'0_ENTREE'!$G67))*$L$13/$I$13/'0_ENTREE'!$F67</f>
        <v>3.3740633254774881</v>
      </c>
      <c r="M82" s="358">
        <f>((Z82/$C$21)-$C$14-(7*$C$17*'0_ENTREE'!$G67))*$L$14/$I$14/'0_ENTREE'!$F67</f>
        <v>3.044729665678656</v>
      </c>
      <c r="N82" s="362">
        <f>((AA82/$C$21)-$C$14-(7*$C$17*'0_ENTREE'!$G67))*$L$15/$I$15/'0_ENTREE'!$F67</f>
        <v>6.9060528230081877</v>
      </c>
      <c r="P82" s="199">
        <v>2300</v>
      </c>
      <c r="Q82" s="200">
        <v>2944</v>
      </c>
      <c r="R82" s="200">
        <v>1270</v>
      </c>
      <c r="S82" s="200">
        <v>664</v>
      </c>
      <c r="T82" s="200">
        <v>243</v>
      </c>
      <c r="U82" s="200">
        <v>184</v>
      </c>
      <c r="V82" s="200">
        <v>165</v>
      </c>
      <c r="W82" s="200">
        <v>132</v>
      </c>
      <c r="X82" s="200">
        <v>191</v>
      </c>
      <c r="Y82" s="200">
        <v>535</v>
      </c>
      <c r="Z82" s="200">
        <v>1098</v>
      </c>
      <c r="AA82" s="201">
        <v>1896</v>
      </c>
      <c r="AB82" s="201">
        <f t="shared" si="6"/>
        <v>11622</v>
      </c>
    </row>
    <row r="83" spans="1:28" x14ac:dyDescent="0.25">
      <c r="A83" s="186">
        <v>36</v>
      </c>
      <c r="B83" s="117" t="str">
        <f>'0_ENTREE'!B68</f>
        <v>GE2.2 - 294 - T3 - 63m²</v>
      </c>
      <c r="C83" s="361">
        <f>((P83/$C$21)-$C$14-(7*$C$17*'0_ENTREE'!$G68))*$L$4/$I$4/'0_ENTREE'!$F68</f>
        <v>3.3913102419230521</v>
      </c>
      <c r="D83" s="358">
        <f>((Q83/$C$21)-$C$14-(7*$C$17*'0_ENTREE'!$G68))*$L$5/$I$5/'0_ENTREE'!$F68</f>
        <v>5.9840744918056759</v>
      </c>
      <c r="E83" s="358">
        <f>((R83/$C$21)-$C$14-(7*$C$17*'0_ENTREE'!$G68))*$L$6/$I$6/'0_ENTREE'!$F68</f>
        <v>1.6995043290278427</v>
      </c>
      <c r="F83" s="358">
        <f>((S83/$C$21)-$C$14-(7*$C$17*'0_ENTREE'!$G68))*$L$7/$I$7/'0_ENTREE'!$F68</f>
        <v>1.3359091415743298</v>
      </c>
      <c r="G83" s="358">
        <f>((T83/$C$21)-$C$14-(7*$C$17*'0_ENTREE'!$G68))*$L$8/$I$8/'0_ENTREE'!$F68</f>
        <v>0.13475352993801146</v>
      </c>
      <c r="H83" s="358" t="e">
        <f>((U83/$C$21)-$C$14-(7*$C$17*'0_ENTREE'!$G68))*$L$9/$I$9/'0_ENTREE'!$F68</f>
        <v>#DIV/0!</v>
      </c>
      <c r="I83" s="358" t="e">
        <f>((V83/$C$21)-$C$14-(7*$C$17*'0_ENTREE'!$G68))*$L$10/$I$10/'0_ENTREE'!$F68</f>
        <v>#DIV/0!</v>
      </c>
      <c r="J83" s="358" t="e">
        <f>((W83/$C$21)-$C$14-(7*$C$17*'0_ENTREE'!$G68))*$L$11/$I$11/'0_ENTREE'!$F68</f>
        <v>#DIV/0!</v>
      </c>
      <c r="K83" s="358" t="e">
        <f>((X83/$C$21)-$C$14-(7*$C$17*'0_ENTREE'!$G68))*$L$12/$I$12/'0_ENTREE'!$F68</f>
        <v>#DIV/0!</v>
      </c>
      <c r="L83" s="358">
        <f>((Y83/$C$21)-$C$14-(7*$C$17*'0_ENTREE'!$G68))*$L$13/$I$13/'0_ENTREE'!$F68</f>
        <v>1.9877381616776593</v>
      </c>
      <c r="M83" s="358">
        <f>((Z83/$C$21)-$C$14-(7*$C$17*'0_ENTREE'!$G68))*$L$14/$I$14/'0_ENTREE'!$F68</f>
        <v>5.6797255192988372</v>
      </c>
      <c r="N83" s="362">
        <f>((AA83/$C$21)-$C$14-(7*$C$17*'0_ENTREE'!$G68))*$L$15/$I$15/'0_ENTREE'!$F68</f>
        <v>12.434826352332021</v>
      </c>
      <c r="P83" s="199">
        <v>1107</v>
      </c>
      <c r="Q83" s="200">
        <v>1417</v>
      </c>
      <c r="R83" s="200">
        <v>611</v>
      </c>
      <c r="S83" s="200">
        <v>402</v>
      </c>
      <c r="T83" s="200">
        <v>147</v>
      </c>
      <c r="U83" s="200">
        <v>111</v>
      </c>
      <c r="V83" s="200">
        <v>100</v>
      </c>
      <c r="W83" s="200">
        <v>80</v>
      </c>
      <c r="X83" s="200">
        <v>116</v>
      </c>
      <c r="Y83" s="200">
        <v>323</v>
      </c>
      <c r="Z83" s="200">
        <v>1920</v>
      </c>
      <c r="AA83" s="201">
        <v>3316</v>
      </c>
      <c r="AB83" s="201">
        <f t="shared" si="6"/>
        <v>9650</v>
      </c>
    </row>
    <row r="84" spans="1:28" x14ac:dyDescent="0.25">
      <c r="A84" s="186">
        <v>37</v>
      </c>
      <c r="B84" s="117" t="str">
        <f>'0_ENTREE'!B69</f>
        <v>GE2.2 - 298 - T5 - 93m²</v>
      </c>
      <c r="C84" s="361">
        <f>((P84/$C$21)-$C$14-(7*$C$17*'0_ENTREE'!$G69))*$L$4/$I$4/'0_ENTREE'!$F69</f>
        <v>4.0372759311519806</v>
      </c>
      <c r="D84" s="358">
        <f>((Q84/$C$21)-$C$14-(7*$C$17*'0_ENTREE'!$G69))*$L$5/$I$5/'0_ENTREE'!$F69</f>
        <v>7.0760982376157955</v>
      </c>
      <c r="E84" s="358">
        <f>((R84/$C$21)-$C$14-(7*$C$17*'0_ENTREE'!$G69))*$L$6/$I$6/'0_ENTREE'!$F69</f>
        <v>2.0830060634774563</v>
      </c>
      <c r="F84" s="358">
        <f>((S84/$C$21)-$C$14-(7*$C$17*'0_ENTREE'!$G69))*$L$7/$I$7/'0_ENTREE'!$F69</f>
        <v>1.2769621541014071</v>
      </c>
      <c r="G84" s="358">
        <f>((T84/$C$21)-$C$14-(7*$C$17*'0_ENTREE'!$G69))*$L$8/$I$8/'0_ENTREE'!$F69</f>
        <v>0.15652715732011024</v>
      </c>
      <c r="H84" s="358" t="e">
        <f>((U84/$C$21)-$C$14-(7*$C$17*'0_ENTREE'!$G69))*$L$9/$I$9/'0_ENTREE'!$F69</f>
        <v>#DIV/0!</v>
      </c>
      <c r="I84" s="358" t="e">
        <f>((V84/$C$21)-$C$14-(7*$C$17*'0_ENTREE'!$G69))*$L$10/$I$10/'0_ENTREE'!$F69</f>
        <v>#DIV/0!</v>
      </c>
      <c r="J84" s="358" t="e">
        <f>((W84/$C$21)-$C$14-(7*$C$17*'0_ENTREE'!$G69))*$L$11/$I$11/'0_ENTREE'!$F69</f>
        <v>#DIV/0!</v>
      </c>
      <c r="K84" s="358" t="e">
        <f>((X84/$C$21)-$C$14-(7*$C$17*'0_ENTREE'!$G69))*$L$12/$I$12/'0_ENTREE'!$F69</f>
        <v>#DIV/0!</v>
      </c>
      <c r="L84" s="358">
        <f>((Y84/$C$21)-$C$14-(7*$C$17*'0_ENTREE'!$G69))*$L$13/$I$13/'0_ENTREE'!$F69</f>
        <v>1.9411765805796954</v>
      </c>
      <c r="M84" s="358">
        <f>((Z84/$C$21)-$C$14-(7*$C$17*'0_ENTREE'!$G69))*$L$14/$I$14/'0_ENTREE'!$F69</f>
        <v>1.6830483956388571</v>
      </c>
      <c r="N84" s="362">
        <f>((AA84/$C$21)-$C$14-(7*$C$17*'0_ENTREE'!$G69))*$L$15/$I$15/'0_ENTREE'!$F69</f>
        <v>3.7689101947247434</v>
      </c>
      <c r="P84" s="199">
        <v>1886</v>
      </c>
      <c r="Q84" s="200">
        <v>2415</v>
      </c>
      <c r="R84" s="200">
        <v>1042</v>
      </c>
      <c r="S84" s="200">
        <v>535</v>
      </c>
      <c r="T84" s="200">
        <v>196</v>
      </c>
      <c r="U84" s="200">
        <v>148</v>
      </c>
      <c r="V84" s="200">
        <v>133</v>
      </c>
      <c r="W84" s="200">
        <v>106</v>
      </c>
      <c r="X84" s="200">
        <v>154</v>
      </c>
      <c r="Y84" s="200">
        <v>431</v>
      </c>
      <c r="Z84" s="200">
        <v>884</v>
      </c>
      <c r="AA84" s="201">
        <v>1527</v>
      </c>
      <c r="AB84" s="201">
        <f t="shared" si="6"/>
        <v>9457</v>
      </c>
    </row>
    <row r="85" spans="1:28" x14ac:dyDescent="0.25">
      <c r="A85" s="186">
        <v>38</v>
      </c>
      <c r="B85" s="117" t="str">
        <f>'0_ENTREE'!B70</f>
        <v>GE2.2 - 301 - T4 - 79m²</v>
      </c>
      <c r="C85" s="361">
        <f>((P85/$C$21)-$C$14-(7*$C$17*'0_ENTREE'!$G70))*$L$4/$I$4/'0_ENTREE'!$F70</f>
        <v>-0.45879966382283272</v>
      </c>
      <c r="D85" s="358">
        <f>((Q85/$C$21)-$C$14-(7*$C$17*'0_ENTREE'!$G70))*$L$5/$I$5/'0_ENTREE'!$F70</f>
        <v>-0.62207712382932923</v>
      </c>
      <c r="E85" s="358">
        <f>((R85/$C$21)-$C$14-(7*$C$17*'0_ENTREE'!$G70))*$L$6/$I$6/'0_ENTREE'!$F70</f>
        <v>-0.44405769983637666</v>
      </c>
      <c r="F85" s="358">
        <f>((S85/$C$21)-$C$14-(7*$C$17*'0_ENTREE'!$G70))*$L$7/$I$7/'0_ENTREE'!$F70</f>
        <v>-0.57452430072067884</v>
      </c>
      <c r="G85" s="358">
        <f>((T85/$C$21)-$C$14-(7*$C$17*'0_ENTREE'!$G70))*$L$8/$I$8/'0_ENTREE'!$F70</f>
        <v>-0.27350272567679934</v>
      </c>
      <c r="H85" s="358" t="e">
        <f>((U85/$C$21)-$C$14-(7*$C$17*'0_ENTREE'!$G70))*$L$9/$I$9/'0_ENTREE'!$F70</f>
        <v>#DIV/0!</v>
      </c>
      <c r="I85" s="358" t="e">
        <f>((V85/$C$21)-$C$14-(7*$C$17*'0_ENTREE'!$G70))*$L$10/$I$10/'0_ENTREE'!$F70</f>
        <v>#DIV/0!</v>
      </c>
      <c r="J85" s="358" t="e">
        <f>((W85/$C$21)-$C$14-(7*$C$17*'0_ENTREE'!$G70))*$L$11/$I$11/'0_ENTREE'!$F70</f>
        <v>#DIV/0!</v>
      </c>
      <c r="K85" s="358" t="e">
        <f>((X85/$C$21)-$C$14-(7*$C$17*'0_ENTREE'!$G70))*$L$12/$I$12/'0_ENTREE'!$F70</f>
        <v>#DIV/0!</v>
      </c>
      <c r="L85" s="358">
        <f>((Y85/$C$21)-$C$14-(7*$C$17*'0_ENTREE'!$G70))*$L$13/$I$13/'0_ENTREE'!$F70</f>
        <v>-1.1309947257383965</v>
      </c>
      <c r="M85" s="358">
        <f>((Z85/$C$21)-$C$14-(7*$C$17*'0_ENTREE'!$G70))*$L$14/$I$14/'0_ENTREE'!$F70</f>
        <v>-0.42916712932119327</v>
      </c>
      <c r="N85" s="362">
        <f>((AA85/$C$21)-$C$14-(7*$C$17*'0_ENTREE'!$G70))*$L$15/$I$15/'0_ENTREE'!$F70</f>
        <v>-0.53444959563788907</v>
      </c>
      <c r="P85" s="199">
        <v>0</v>
      </c>
      <c r="Q85" s="200">
        <v>0</v>
      </c>
      <c r="R85" s="200">
        <v>0</v>
      </c>
      <c r="S85" s="200">
        <v>0</v>
      </c>
      <c r="T85" s="200">
        <v>0</v>
      </c>
      <c r="U85" s="200">
        <v>0</v>
      </c>
      <c r="V85" s="200">
        <v>0</v>
      </c>
      <c r="W85" s="200">
        <v>0</v>
      </c>
      <c r="X85" s="200">
        <v>0</v>
      </c>
      <c r="Y85" s="200">
        <v>0</v>
      </c>
      <c r="Z85" s="200">
        <v>0</v>
      </c>
      <c r="AA85" s="201">
        <v>0</v>
      </c>
      <c r="AB85" s="201">
        <f t="shared" si="6"/>
        <v>0</v>
      </c>
    </row>
    <row r="86" spans="1:28" x14ac:dyDescent="0.25">
      <c r="A86" s="186">
        <v>39</v>
      </c>
      <c r="B86" s="117" t="str">
        <f>'0_ENTREE'!B71</f>
        <v>GE2.2 - 311 - T4 - 74m²</v>
      </c>
      <c r="C86" s="361">
        <f>((P86/$C$21)-$C$14-(7*$C$17*'0_ENTREE'!$G71))*$L$4/$I$4/'0_ENTREE'!$F71</f>
        <v>3.5327448403318074</v>
      </c>
      <c r="D86" s="358">
        <f>((Q86/$C$21)-$C$14-(7*$C$17*'0_ENTREE'!$G71))*$L$5/$I$5/'0_ENTREE'!$F71</f>
        <v>6.2705093922836346</v>
      </c>
      <c r="E86" s="358">
        <f>((R86/$C$21)-$C$14-(7*$C$17*'0_ENTREE'!$G71))*$L$6/$I$6/'0_ENTREE'!$F71</f>
        <v>1.7347933390899071</v>
      </c>
      <c r="F86" s="358">
        <f>((S86/$C$21)-$C$14-(7*$C$17*'0_ENTREE'!$G71))*$L$7/$I$7/'0_ENTREE'!$F71</f>
        <v>1.3622055391001036</v>
      </c>
      <c r="G86" s="358">
        <f>((T86/$C$21)-$C$14-(7*$C$17*'0_ENTREE'!$G71))*$L$8/$I$8/'0_ENTREE'!$F71</f>
        <v>0.10296811760265409</v>
      </c>
      <c r="H86" s="358" t="e">
        <f>((U86/$C$21)-$C$14-(7*$C$17*'0_ENTREE'!$G71))*$L$9/$I$9/'0_ENTREE'!$F71</f>
        <v>#DIV/0!</v>
      </c>
      <c r="I86" s="358" t="e">
        <f>((V86/$C$21)-$C$14-(7*$C$17*'0_ENTREE'!$G71))*$L$10/$I$10/'0_ENTREE'!$F71</f>
        <v>#DIV/0!</v>
      </c>
      <c r="J86" s="358" t="e">
        <f>((W86/$C$21)-$C$14-(7*$C$17*'0_ENTREE'!$G71))*$L$11/$I$11/'0_ENTREE'!$F71</f>
        <v>#DIV/0!</v>
      </c>
      <c r="K86" s="358" t="e">
        <f>((X86/$C$21)-$C$14-(7*$C$17*'0_ENTREE'!$G71))*$L$12/$I$12/'0_ENTREE'!$F71</f>
        <v>#DIV/0!</v>
      </c>
      <c r="L86" s="358">
        <f>((Y86/$C$21)-$C$14-(7*$C$17*'0_ENTREE'!$G71))*$L$13/$I$13/'0_ENTREE'!$F71</f>
        <v>1.9896391357110534</v>
      </c>
      <c r="M86" s="358">
        <f>((Z86/$C$21)-$C$14-(7*$C$17*'0_ENTREE'!$G71))*$L$14/$I$14/'0_ENTREE'!$F71</f>
        <v>1.8971821632374983</v>
      </c>
      <c r="N86" s="362">
        <f>((AA86/$C$21)-$C$14-(7*$C$17*'0_ENTREE'!$G71))*$L$15/$I$15/'0_ENTREE'!$F71</f>
        <v>4.3833768316655668</v>
      </c>
      <c r="P86" s="199">
        <v>1385</v>
      </c>
      <c r="Q86" s="200">
        <v>1774</v>
      </c>
      <c r="R86" s="200">
        <v>765</v>
      </c>
      <c r="S86" s="200">
        <v>514</v>
      </c>
      <c r="T86" s="200">
        <v>188</v>
      </c>
      <c r="U86" s="200">
        <v>142</v>
      </c>
      <c r="V86" s="200">
        <v>127</v>
      </c>
      <c r="W86" s="200">
        <v>102</v>
      </c>
      <c r="X86" s="200">
        <v>148</v>
      </c>
      <c r="Y86" s="200">
        <v>414</v>
      </c>
      <c r="Z86" s="200">
        <v>849</v>
      </c>
      <c r="AA86" s="201">
        <v>1467</v>
      </c>
      <c r="AB86" s="201">
        <f t="shared" si="6"/>
        <v>7875</v>
      </c>
    </row>
    <row r="87" spans="1:28" x14ac:dyDescent="0.25">
      <c r="A87" s="186">
        <v>40</v>
      </c>
      <c r="B87" s="117" t="str">
        <f>'0_ENTREE'!B72</f>
        <v>GE2.2 - 313 - T4 - 75m²</v>
      </c>
      <c r="C87" s="361">
        <f>((P87/$C$21)-$C$14-(7*$C$17*'0_ENTREE'!$G72))*$L$4/$I$4/'0_ENTREE'!$F72</f>
        <v>3.8983125785675421</v>
      </c>
      <c r="D87" s="358">
        <f>((Q87/$C$21)-$C$14-(7*$C$17*'0_ENTREE'!$G72))*$L$5/$I$5/'0_ENTREE'!$F72</f>
        <v>6.9004000511781989</v>
      </c>
      <c r="E87" s="358">
        <f>((R87/$C$21)-$C$14-(7*$C$17*'0_ENTREE'!$G72))*$L$6/$I$6/'0_ENTREE'!$F72</f>
        <v>1.931472966225978</v>
      </c>
      <c r="F87" s="358">
        <f>((S87/$C$21)-$C$14-(7*$C$17*'0_ENTREE'!$G72))*$L$7/$I$7/'0_ENTREE'!$F72</f>
        <v>1.4966431989936981</v>
      </c>
      <c r="G87" s="358">
        <f>((T87/$C$21)-$C$14-(7*$C$17*'0_ENTREE'!$G72))*$L$8/$I$8/'0_ENTREE'!$F72</f>
        <v>0.12801176771211764</v>
      </c>
      <c r="H87" s="358" t="e">
        <f>((U87/$C$21)-$C$14-(7*$C$17*'0_ENTREE'!$G72))*$L$9/$I$9/'0_ENTREE'!$F72</f>
        <v>#DIV/0!</v>
      </c>
      <c r="I87" s="358" t="e">
        <f>((V87/$C$21)-$C$14-(7*$C$17*'0_ENTREE'!$G72))*$L$10/$I$10/'0_ENTREE'!$F72</f>
        <v>#DIV/0!</v>
      </c>
      <c r="J87" s="358" t="e">
        <f>((W87/$C$21)-$C$14-(7*$C$17*'0_ENTREE'!$G72))*$L$11/$I$11/'0_ENTREE'!$F72</f>
        <v>#DIV/0!</v>
      </c>
      <c r="K87" s="358" t="e">
        <f>((X87/$C$21)-$C$14-(7*$C$17*'0_ENTREE'!$G72))*$L$12/$I$12/'0_ENTREE'!$F72</f>
        <v>#DIV/0!</v>
      </c>
      <c r="L87" s="358">
        <f>((Y87/$C$21)-$C$14-(7*$C$17*'0_ENTREE'!$G72))*$L$13/$I$13/'0_ENTREE'!$F72</f>
        <v>2.2020695180111618</v>
      </c>
      <c r="M87" s="358">
        <f>((Z87/$C$21)-$C$14-(7*$C$17*'0_ENTREE'!$G72))*$L$14/$I$14/'0_ENTREE'!$F72</f>
        <v>2.0610092080785418</v>
      </c>
      <c r="N87" s="362">
        <f>((AA87/$C$21)-$C$14-(7*$C$17*'0_ENTREE'!$G72))*$L$15/$I$15/'0_ENTREE'!$F72</f>
        <v>4.7282161486701488</v>
      </c>
      <c r="P87" s="199">
        <v>1534</v>
      </c>
      <c r="Q87" s="200">
        <v>1964</v>
      </c>
      <c r="R87" s="200">
        <v>847</v>
      </c>
      <c r="S87" s="200">
        <v>558</v>
      </c>
      <c r="T87" s="200">
        <v>204</v>
      </c>
      <c r="U87" s="200">
        <v>154</v>
      </c>
      <c r="V87" s="200">
        <v>138</v>
      </c>
      <c r="W87" s="200">
        <v>111</v>
      </c>
      <c r="X87" s="200">
        <v>161</v>
      </c>
      <c r="Y87" s="200">
        <v>449</v>
      </c>
      <c r="Z87" s="200">
        <v>922</v>
      </c>
      <c r="AA87" s="201">
        <v>1592</v>
      </c>
      <c r="AB87" s="201">
        <f t="shared" si="6"/>
        <v>8634</v>
      </c>
    </row>
    <row r="88" spans="1:28" x14ac:dyDescent="0.25">
      <c r="A88" s="186">
        <v>41</v>
      </c>
      <c r="B88" s="117" t="str">
        <f>'0_ENTREE'!B73</f>
        <v>GE2.2 - 315 - T4 - 75m²</v>
      </c>
      <c r="C88" s="361">
        <f>((P88/$C$21)-$C$14-(7*$C$17*'0_ENTREE'!$G73))*$L$4/$I$4/'0_ENTREE'!$F73</f>
        <v>0.77980638125698065</v>
      </c>
      <c r="D88" s="358">
        <f>((Q88/$C$21)-$C$14-(7*$C$17*'0_ENTREE'!$G73))*$L$5/$I$5/'0_ENTREE'!$F73</f>
        <v>1.8083735450721936</v>
      </c>
      <c r="E88" s="358">
        <f>((R88/$C$21)-$C$14-(7*$C$17*'0_ENTREE'!$G73))*$L$6/$I$6/'0_ENTREE'!$F73</f>
        <v>0.54834281642097471</v>
      </c>
      <c r="F88" s="358">
        <f>((S88/$C$21)-$C$14-(7*$C$17*'0_ENTREE'!$G73))*$L$7/$I$7/'0_ENTREE'!$F73</f>
        <v>0.74413086880363599</v>
      </c>
      <c r="G88" s="358">
        <f>((T88/$C$21)-$C$14-(7*$C$17*'0_ENTREE'!$G73))*$L$8/$I$8/'0_ENTREE'!$F73</f>
        <v>0.64647723672077206</v>
      </c>
      <c r="H88" s="358" t="e">
        <f>((U88/$C$21)-$C$14-(7*$C$17*'0_ENTREE'!$G73))*$L$9/$I$9/'0_ENTREE'!$F73</f>
        <v>#DIV/0!</v>
      </c>
      <c r="I88" s="358" t="e">
        <f>((V88/$C$21)-$C$14-(7*$C$17*'0_ENTREE'!$G73))*$L$10/$I$10/'0_ENTREE'!$F73</f>
        <v>#DIV/0!</v>
      </c>
      <c r="J88" s="358" t="e">
        <f>((W88/$C$21)-$C$14-(7*$C$17*'0_ENTREE'!$G73))*$L$11/$I$11/'0_ENTREE'!$F73</f>
        <v>#DIV/0!</v>
      </c>
      <c r="K88" s="358" t="e">
        <f>((X88/$C$21)-$C$14-(7*$C$17*'0_ENTREE'!$G73))*$L$12/$I$12/'0_ENTREE'!$F73</f>
        <v>#DIV/0!</v>
      </c>
      <c r="L88" s="358">
        <f>((Y88/$C$21)-$C$14-(7*$C$17*'0_ENTREE'!$G73))*$L$13/$I$13/'0_ENTREE'!$F73</f>
        <v>1.4375685489599184</v>
      </c>
      <c r="M88" s="358">
        <f>((Z88/$C$21)-$C$14-(7*$C$17*'0_ENTREE'!$G73))*$L$14/$I$14/'0_ENTREE'!$F73</f>
        <v>0.65690070273349532</v>
      </c>
      <c r="N88" s="362">
        <f>((AA88/$C$21)-$C$14-(7*$C$17*'0_ENTREE'!$G73))*$L$15/$I$15/'0_ENTREE'!$F73</f>
        <v>1.1503566347542458</v>
      </c>
      <c r="P88" s="199">
        <v>360</v>
      </c>
      <c r="Q88" s="200">
        <v>560</v>
      </c>
      <c r="R88" s="200">
        <v>283</v>
      </c>
      <c r="S88" s="200">
        <v>293</v>
      </c>
      <c r="T88" s="200">
        <v>470</v>
      </c>
      <c r="U88" s="200">
        <v>161</v>
      </c>
      <c r="V88" s="200">
        <v>159</v>
      </c>
      <c r="W88" s="200">
        <v>126</v>
      </c>
      <c r="X88" s="200">
        <v>222</v>
      </c>
      <c r="Y88" s="200">
        <v>289</v>
      </c>
      <c r="Z88" s="200">
        <v>332</v>
      </c>
      <c r="AA88" s="201">
        <v>435</v>
      </c>
      <c r="AB88" s="201">
        <f t="shared" si="6"/>
        <v>3690</v>
      </c>
    </row>
    <row r="89" spans="1:28" x14ac:dyDescent="0.25">
      <c r="A89" s="186">
        <v>42</v>
      </c>
      <c r="B89" s="347"/>
      <c r="C89" s="409"/>
      <c r="D89" s="410"/>
      <c r="E89" s="410"/>
      <c r="F89" s="410"/>
      <c r="G89" s="410"/>
      <c r="H89" s="410"/>
      <c r="I89" s="410"/>
      <c r="J89" s="410"/>
      <c r="K89" s="410"/>
      <c r="L89" s="410"/>
      <c r="M89" s="410"/>
      <c r="N89" s="411"/>
      <c r="P89" s="118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</row>
    <row r="90" spans="1:28" x14ac:dyDescent="0.25">
      <c r="A90" s="186">
        <v>43</v>
      </c>
      <c r="B90" s="117" t="str">
        <f>'0_ENTREE'!B75</f>
        <v>SO - 284 - T - 64m²</v>
      </c>
      <c r="C90" s="412">
        <f>((P90/$C$21)-$C$14-(7*$C$17*'0_ENTREE'!$G75))*$L$4/$I$4/'0_ENTREE'!$F75</f>
        <v>2.6340193656452491</v>
      </c>
      <c r="D90" s="413">
        <f>((Q90/$C$21)-$C$14-(7*$C$17*'0_ENTREE'!$G75))*$L$5/$I$5/'0_ENTREE'!$F75</f>
        <v>4.6671833731831773</v>
      </c>
      <c r="E90" s="413">
        <f>((R90/$C$21)-$C$14-(7*$C$17*'0_ENTREE'!$G75))*$L$6/$I$6/'0_ENTREE'!$F75</f>
        <v>1.2959884753891777</v>
      </c>
      <c r="F90" s="413">
        <f>((S90/$C$21)-$C$14-(7*$C$17*'0_ENTREE'!$G75))*$L$7/$I$7/'0_ENTREE'!$F75</f>
        <v>-0.31880750428482391</v>
      </c>
      <c r="G90" s="413">
        <f>((T90/$C$21)-$C$14-(7*$C$17*'0_ENTREE'!$G75))*$L$8/$I$8/'0_ENTREE'!$F75</f>
        <v>-0.15176855231143549</v>
      </c>
      <c r="H90" s="413" t="e">
        <f>((U90/$C$21)-$C$14-(7*$C$17*'0_ENTREE'!$G75))*$L$9/$I$9/'0_ENTREE'!$F75</f>
        <v>#DIV/0!</v>
      </c>
      <c r="I90" s="413" t="e">
        <f>((V90/$C$21)-$C$14-(7*$C$17*'0_ENTREE'!$G75))*$L$10/$I$10/'0_ENTREE'!$F75</f>
        <v>#DIV/0!</v>
      </c>
      <c r="J90" s="413" t="e">
        <f>((W90/$C$21)-$C$14-(7*$C$17*'0_ENTREE'!$G75))*$L$11/$I$11/'0_ENTREE'!$F75</f>
        <v>#DIV/0!</v>
      </c>
      <c r="K90" s="413" t="e">
        <f>((X90/$C$21)-$C$14-(7*$C$17*'0_ENTREE'!$G75))*$L$12/$I$12/'0_ENTREE'!$F75</f>
        <v>#DIV/0!</v>
      </c>
      <c r="L90" s="413">
        <f>((Y90/$C$21)-$C$14-(7*$C$17*'0_ENTREE'!$G75))*$L$13/$I$13/'0_ENTREE'!$F75</f>
        <v>-0.62759678819444431</v>
      </c>
      <c r="M90" s="413">
        <f>((Z90/$C$21)-$C$14-(7*$C$17*'0_ENTREE'!$G75))*$L$14/$I$14/'0_ENTREE'!$F75</f>
        <v>-0.23814780549463935</v>
      </c>
      <c r="N90" s="414">
        <f>((AA90/$C$21)-$C$14-(7*$C$17*'0_ENTREE'!$G75))*$L$15/$I$15/'0_ENTREE'!$F75</f>
        <v>-0.29656977352849506</v>
      </c>
      <c r="P90" s="196">
        <v>890</v>
      </c>
      <c r="Q90" s="197">
        <v>1139</v>
      </c>
      <c r="R90" s="197">
        <v>491</v>
      </c>
      <c r="S90" s="197">
        <v>0</v>
      </c>
      <c r="T90" s="197">
        <v>0</v>
      </c>
      <c r="U90" s="197">
        <v>0</v>
      </c>
      <c r="V90" s="197">
        <v>0</v>
      </c>
      <c r="W90" s="197">
        <v>0</v>
      </c>
      <c r="X90" s="197">
        <v>0</v>
      </c>
      <c r="Y90" s="197">
        <v>0</v>
      </c>
      <c r="Z90" s="197">
        <v>0</v>
      </c>
      <c r="AA90" s="198">
        <v>0</v>
      </c>
      <c r="AB90" s="198">
        <f t="shared" ref="AB90:AB95" si="7">SUM(P90:AA90)</f>
        <v>2520</v>
      </c>
    </row>
    <row r="91" spans="1:28" x14ac:dyDescent="0.25">
      <c r="A91" s="186">
        <v>44</v>
      </c>
      <c r="B91" s="117" t="str">
        <f>'0_ENTREE'!B76</f>
        <v>SO - 287 - T - 81m²</v>
      </c>
      <c r="C91" s="412">
        <f>((P91/$C$21)-$C$14-(7*$C$17*'0_ENTREE'!$G76))*$L$4/$I$4/'0_ENTREE'!$F76</f>
        <v>5.6047522998261252</v>
      </c>
      <c r="D91" s="413">
        <f>((Q91/$C$21)-$C$14-(7*$C$17*'0_ENTREE'!$G76))*$L$5/$I$5/'0_ENTREE'!$F76</f>
        <v>9.8038402218063485</v>
      </c>
      <c r="E91" s="413">
        <f>((R91/$C$21)-$C$14-(7*$C$17*'0_ENTREE'!$G76))*$L$6/$I$6/'0_ENTREE'!$F76</f>
        <v>2.9078656184782434</v>
      </c>
      <c r="F91" s="413">
        <f>((S91/$C$21)-$C$14-(7*$C$17*'0_ENTREE'!$G76))*$L$7/$I$7/'0_ENTREE'!$F76</f>
        <v>2.5611909021309667</v>
      </c>
      <c r="G91" s="413">
        <f>((T91/$C$21)-$C$14-(7*$C$17*'0_ENTREE'!$G76))*$L$8/$I$8/'0_ENTREE'!$F76</f>
        <v>0.37080836772289844</v>
      </c>
      <c r="H91" s="413" t="e">
        <f>((U91/$C$21)-$C$14-(7*$C$17*'0_ENTREE'!$G76))*$L$9/$I$9/'0_ENTREE'!$F76</f>
        <v>#DIV/0!</v>
      </c>
      <c r="I91" s="413" t="e">
        <f>((V91/$C$21)-$C$14-(7*$C$17*'0_ENTREE'!$G76))*$L$10/$I$10/'0_ENTREE'!$F76</f>
        <v>#DIV/0!</v>
      </c>
      <c r="J91" s="413" t="e">
        <f>((W91/$C$21)-$C$14-(7*$C$17*'0_ENTREE'!$G76))*$L$11/$I$11/'0_ENTREE'!$F76</f>
        <v>#DIV/0!</v>
      </c>
      <c r="K91" s="413" t="e">
        <f>((X91/$C$21)-$C$14-(7*$C$17*'0_ENTREE'!$G76))*$L$12/$I$12/'0_ENTREE'!$F76</f>
        <v>#DIV/0!</v>
      </c>
      <c r="L91" s="413">
        <f>((Y91/$C$21)-$C$14-(7*$C$17*'0_ENTREE'!$G76))*$L$13/$I$13/'0_ENTREE'!$F76</f>
        <v>3.960894267809159</v>
      </c>
      <c r="M91" s="413">
        <f>((Z91/$C$21)-$C$14-(7*$C$17*'0_ENTREE'!$G76))*$L$14/$I$14/'0_ENTREE'!$F76</f>
        <v>3.285322221348606</v>
      </c>
      <c r="N91" s="414">
        <f>((AA91/$C$21)-$C$14-(7*$C$17*'0_ENTREE'!$G76))*$L$15/$I$15/'0_ENTREE'!$F76</f>
        <v>7.2368891017187309</v>
      </c>
      <c r="P91" s="199">
        <v>2264</v>
      </c>
      <c r="Q91" s="200">
        <v>2898</v>
      </c>
      <c r="R91" s="200">
        <v>1250</v>
      </c>
      <c r="S91" s="200">
        <v>876</v>
      </c>
      <c r="T91" s="200">
        <v>321</v>
      </c>
      <c r="U91" s="200">
        <v>242</v>
      </c>
      <c r="V91" s="200">
        <v>217</v>
      </c>
      <c r="W91" s="200">
        <v>174</v>
      </c>
      <c r="X91" s="200">
        <v>252</v>
      </c>
      <c r="Y91" s="200">
        <v>705</v>
      </c>
      <c r="Z91" s="200">
        <v>1448</v>
      </c>
      <c r="AA91" s="201">
        <v>2501</v>
      </c>
      <c r="AB91" s="201">
        <f t="shared" si="7"/>
        <v>13148</v>
      </c>
    </row>
    <row r="92" spans="1:28" x14ac:dyDescent="0.25">
      <c r="A92" s="186">
        <v>45</v>
      </c>
      <c r="B92" s="117" t="str">
        <f>'0_ENTREE'!B77</f>
        <v>SO - 290 - T - 40m²</v>
      </c>
      <c r="C92" s="412">
        <f>((P92/$C$21)-$C$14-(7*$C$17*'0_ENTREE'!$G77))*$L$4/$I$4/'0_ENTREE'!$F77</f>
        <v>4.1469218864243187</v>
      </c>
      <c r="D92" s="413">
        <f>((Q92/$C$21)-$C$14-(7*$C$17*'0_ENTREE'!$G77))*$L$5/$I$5/'0_ENTREE'!$F77</f>
        <v>7.3548359048628189</v>
      </c>
      <c r="E92" s="413">
        <f>((R92/$C$21)-$C$14-(7*$C$17*'0_ENTREE'!$G77))*$L$6/$I$6/'0_ENTREE'!$F77</f>
        <v>2.0383985247629082</v>
      </c>
      <c r="F92" s="413">
        <f>((S92/$C$21)-$C$14-(7*$C$17*'0_ENTREE'!$G77))*$L$7/$I$7/'0_ENTREE'!$F77</f>
        <v>1.5578168283124942</v>
      </c>
      <c r="G92" s="413">
        <f>((T92/$C$21)-$C$14-(7*$C$17*'0_ENTREE'!$G77))*$L$8/$I$8/'0_ENTREE'!$F77</f>
        <v>0.11936609672366091</v>
      </c>
      <c r="H92" s="413" t="e">
        <f>((U92/$C$21)-$C$14-(7*$C$17*'0_ENTREE'!$G77))*$L$9/$I$9/'0_ENTREE'!$F77</f>
        <v>#DIV/0!</v>
      </c>
      <c r="I92" s="413" t="e">
        <f>((V92/$C$21)-$C$14-(7*$C$17*'0_ENTREE'!$G77))*$L$10/$I$10/'0_ENTREE'!$F77</f>
        <v>#DIV/0!</v>
      </c>
      <c r="J92" s="413" t="e">
        <f>((W92/$C$21)-$C$14-(7*$C$17*'0_ENTREE'!$G77))*$L$11/$I$11/'0_ENTREE'!$F77</f>
        <v>#DIV/0!</v>
      </c>
      <c r="K92" s="413" t="e">
        <f>((X92/$C$21)-$C$14-(7*$C$17*'0_ENTREE'!$G77))*$L$12/$I$12/'0_ENTREE'!$F77</f>
        <v>#DIV/0!</v>
      </c>
      <c r="L92" s="413">
        <f>((Y92/$C$21)-$C$14-(7*$C$17*'0_ENTREE'!$G77))*$L$13/$I$13/'0_ENTREE'!$F77</f>
        <v>2.2729958238203958</v>
      </c>
      <c r="M92" s="413">
        <f>((Z92/$C$21)-$C$14-(7*$C$17*'0_ENTREE'!$G77))*$L$14/$I$14/'0_ENTREE'!$F77</f>
        <v>2.1740644484832701</v>
      </c>
      <c r="N92" s="414">
        <f>((AA92/$C$21)-$C$14-(7*$C$17*'0_ENTREE'!$G77))*$L$15/$I$15/'0_ENTREE'!$F77</f>
        <v>5.0182210925872841</v>
      </c>
      <c r="P92" s="199">
        <v>877</v>
      </c>
      <c r="Q92" s="200">
        <v>1123</v>
      </c>
      <c r="R92" s="200">
        <v>484</v>
      </c>
      <c r="S92" s="200">
        <v>318</v>
      </c>
      <c r="T92" s="200">
        <v>117</v>
      </c>
      <c r="U92" s="200">
        <v>88</v>
      </c>
      <c r="V92" s="200">
        <v>79</v>
      </c>
      <c r="W92" s="200">
        <v>63</v>
      </c>
      <c r="X92" s="200">
        <v>92</v>
      </c>
      <c r="Y92" s="200">
        <v>256</v>
      </c>
      <c r="Z92" s="200">
        <v>526</v>
      </c>
      <c r="AA92" s="201">
        <v>908</v>
      </c>
      <c r="AB92" s="201">
        <f t="shared" si="7"/>
        <v>4931</v>
      </c>
    </row>
    <row r="93" spans="1:28" x14ac:dyDescent="0.25">
      <c r="A93" s="186">
        <v>46</v>
      </c>
      <c r="B93" s="117" t="str">
        <f>'0_ENTREE'!B78</f>
        <v>SO - 305 - T - 66m²</v>
      </c>
      <c r="C93" s="412">
        <f>((P93/$C$21)-$C$14-(7*$C$17*'0_ENTREE'!$G78))*$L$4/$I$4/'0_ENTREE'!$F78</f>
        <v>5.0529843428312695</v>
      </c>
      <c r="D93" s="413">
        <f>((Q93/$C$21)-$C$14-(7*$C$17*'0_ENTREE'!$G78))*$L$5/$I$5/'0_ENTREE'!$F78</f>
        <v>8.9806358969608855</v>
      </c>
      <c r="E93" s="413">
        <f>((R93/$C$21)-$C$14-(7*$C$17*'0_ENTREE'!$G78))*$L$6/$I$6/'0_ENTREE'!$F78</f>
        <v>2.4628421255344004</v>
      </c>
      <c r="F93" s="413">
        <f>((S93/$C$21)-$C$14-(7*$C$17*'0_ENTREE'!$G78))*$L$7/$I$7/'0_ENTREE'!$F78</f>
        <v>1.5469302886844944</v>
      </c>
      <c r="G93" s="413">
        <f>((T93/$C$21)-$C$14-(7*$C$17*'0_ENTREE'!$G78))*$L$8/$I$8/'0_ENTREE'!$F78</f>
        <v>6.2870137228701328E-2</v>
      </c>
      <c r="H93" s="413" t="e">
        <f>((U93/$C$21)-$C$14-(7*$C$17*'0_ENTREE'!$G78))*$L$9/$I$9/'0_ENTREE'!$F78</f>
        <v>#DIV/0!</v>
      </c>
      <c r="I93" s="413" t="e">
        <f>((V93/$C$21)-$C$14-(7*$C$17*'0_ENTREE'!$G78))*$L$10/$I$10/'0_ENTREE'!$F78</f>
        <v>#DIV/0!</v>
      </c>
      <c r="J93" s="413" t="e">
        <f>((W93/$C$21)-$C$14-(7*$C$17*'0_ENTREE'!$G78))*$L$11/$I$11/'0_ENTREE'!$F78</f>
        <v>#DIV/0!</v>
      </c>
      <c r="K93" s="413" t="e">
        <f>((X93/$C$21)-$C$14-(7*$C$17*'0_ENTREE'!$G78))*$L$12/$I$12/'0_ENTREE'!$F78</f>
        <v>#DIV/0!</v>
      </c>
      <c r="L93" s="413">
        <f>((Y93/$C$21)-$C$14-(7*$C$17*'0_ENTREE'!$G78))*$L$13/$I$13/'0_ENTREE'!$F78</f>
        <v>2.1840667116369166</v>
      </c>
      <c r="M93" s="413">
        <f>((Z93/$C$21)-$C$14-(7*$C$17*'0_ENTREE'!$G78))*$L$14/$I$14/'0_ENTREE'!$F78</f>
        <v>2.2418875504018794</v>
      </c>
      <c r="N93" s="414">
        <f>((AA93/$C$21)-$C$14-(7*$C$17*'0_ENTREE'!$G78))*$L$15/$I$15/'0_ENTREE'!$F78</f>
        <v>5.288559848437548</v>
      </c>
      <c r="P93" s="199">
        <v>1780</v>
      </c>
      <c r="Q93" s="200">
        <v>2279</v>
      </c>
      <c r="R93" s="200">
        <v>983</v>
      </c>
      <c r="S93" s="200">
        <v>567</v>
      </c>
      <c r="T93" s="200">
        <v>208</v>
      </c>
      <c r="U93" s="200">
        <v>157</v>
      </c>
      <c r="V93" s="200">
        <v>140</v>
      </c>
      <c r="W93" s="200">
        <v>113</v>
      </c>
      <c r="X93" s="200">
        <v>163</v>
      </c>
      <c r="Y93" s="200">
        <v>456</v>
      </c>
      <c r="Z93" s="200">
        <v>936</v>
      </c>
      <c r="AA93" s="201">
        <v>1617</v>
      </c>
      <c r="AB93" s="201">
        <f t="shared" si="7"/>
        <v>9399</v>
      </c>
    </row>
    <row r="94" spans="1:28" x14ac:dyDescent="0.25">
      <c r="A94" s="186">
        <v>47</v>
      </c>
      <c r="B94" s="117" t="str">
        <f>'0_ENTREE'!B79</f>
        <v>SO - 309 - T - 66m²</v>
      </c>
      <c r="C94" s="412">
        <f>((P94/$C$21)-$C$14-(7*$C$17*'0_ENTREE'!$G79))*$L$4/$I$4/'0_ENTREE'!$F79</f>
        <v>7.9675175949332555</v>
      </c>
      <c r="D94" s="413">
        <f>((Q94/$C$21)-$C$14-(7*$C$17*'0_ENTREE'!$G79))*$L$5/$I$5/'0_ENTREE'!$F79</f>
        <v>13.922412585020194</v>
      </c>
      <c r="E94" s="413">
        <f>((R94/$C$21)-$C$14-(7*$C$17*'0_ENTREE'!$G79))*$L$6/$I$6/'0_ENTREE'!$F79</f>
        <v>4.1505588736923293</v>
      </c>
      <c r="F94" s="413">
        <f>((S94/$C$21)-$C$14-(7*$C$17*'0_ENTREE'!$G79))*$L$7/$I$7/'0_ENTREE'!$F79</f>
        <v>3.0211048361673747</v>
      </c>
      <c r="G94" s="413">
        <f>((T94/$C$21)-$C$14-(7*$C$17*'0_ENTREE'!$G79))*$L$8/$I$8/'0_ENTREE'!$F79</f>
        <v>0.43444506054445053</v>
      </c>
      <c r="H94" s="413" t="e">
        <f>((U94/$C$21)-$C$14-(7*$C$17*'0_ENTREE'!$G79))*$L$9/$I$9/'0_ENTREE'!$F79</f>
        <v>#DIV/0!</v>
      </c>
      <c r="I94" s="413" t="e">
        <f>((V94/$C$21)-$C$14-(7*$C$17*'0_ENTREE'!$G79))*$L$10/$I$10/'0_ENTREE'!$F79</f>
        <v>#DIV/0!</v>
      </c>
      <c r="J94" s="413" t="e">
        <f>((W94/$C$21)-$C$14-(7*$C$17*'0_ENTREE'!$G79))*$L$11/$I$11/'0_ENTREE'!$F79</f>
        <v>#DIV/0!</v>
      </c>
      <c r="K94" s="413" t="e">
        <f>((X94/$C$21)-$C$14-(7*$C$17*'0_ENTREE'!$G79))*$L$12/$I$12/'0_ENTREE'!$F79</f>
        <v>#DIV/0!</v>
      </c>
      <c r="L94" s="413">
        <f>((Y94/$C$21)-$C$14-(7*$C$17*'0_ENTREE'!$G79))*$L$13/$I$13/'0_ENTREE'!$F79</f>
        <v>4.6748957670310407</v>
      </c>
      <c r="M94" s="413">
        <f>((Z94/$C$21)-$C$14-(7*$C$17*'0_ENTREE'!$G79))*$L$14/$I$14/'0_ENTREE'!$F79</f>
        <v>3.8818421664574938</v>
      </c>
      <c r="N94" s="414">
        <f>((AA94/$C$21)-$C$14-(7*$C$17*'0_ENTREE'!$G79))*$L$15/$I$15/'0_ENTREE'!$F79</f>
        <v>8.5590091516951894</v>
      </c>
      <c r="P94" s="199">
        <v>2610</v>
      </c>
      <c r="Q94" s="200">
        <v>3341</v>
      </c>
      <c r="R94" s="200">
        <v>1441</v>
      </c>
      <c r="S94" s="200">
        <v>845</v>
      </c>
      <c r="T94" s="200">
        <v>310</v>
      </c>
      <c r="U94" s="200">
        <v>234</v>
      </c>
      <c r="V94" s="200">
        <v>210</v>
      </c>
      <c r="W94" s="200">
        <v>168</v>
      </c>
      <c r="X94" s="200">
        <v>244</v>
      </c>
      <c r="Y94" s="200">
        <v>681</v>
      </c>
      <c r="Z94" s="200">
        <v>1397</v>
      </c>
      <c r="AA94" s="201">
        <v>2413</v>
      </c>
      <c r="AB94" s="201">
        <f t="shared" si="7"/>
        <v>13894</v>
      </c>
    </row>
    <row r="95" spans="1:28" x14ac:dyDescent="0.25">
      <c r="A95" s="186">
        <v>48</v>
      </c>
      <c r="B95" s="117" t="str">
        <f>'0_ENTREE'!B80</f>
        <v>SO - 310 - T - 54m²</v>
      </c>
      <c r="C95" s="412">
        <f>((P95/$C$21)-$C$14-(7*$C$17*'0_ENTREE'!$G80))*$L$4/$I$4/'0_ENTREE'!$F80</f>
        <v>11.107492394062378</v>
      </c>
      <c r="D95" s="413">
        <f>((Q95/$C$21)-$C$14-(7*$C$17*'0_ENTREE'!$G80))*$L$5/$I$5/'0_ENTREE'!$F80</f>
        <v>19.399822508970569</v>
      </c>
      <c r="E95" s="413">
        <f>((R95/$C$21)-$C$14-(7*$C$17*'0_ENTREE'!$G80))*$L$6/$I$6/'0_ENTREE'!$F80</f>
        <v>5.8063505878859631</v>
      </c>
      <c r="F95" s="413">
        <f>((S95/$C$21)-$C$14-(7*$C$17*'0_ENTREE'!$G80))*$L$7/$I$7/'0_ENTREE'!$F80</f>
        <v>4.1886054450485615</v>
      </c>
      <c r="G95" s="413">
        <f>((T95/$C$21)-$C$14-(7*$C$17*'0_ENTREE'!$G80))*$L$8/$I$8/'0_ENTREE'!$F80</f>
        <v>0.61583325618055462</v>
      </c>
      <c r="H95" s="413" t="e">
        <f>((U95/$C$21)-$C$14-(7*$C$17*'0_ENTREE'!$G80))*$L$9/$I$9/'0_ENTREE'!$F80</f>
        <v>#DIV/0!</v>
      </c>
      <c r="I95" s="413" t="e">
        <f>((V95/$C$21)-$C$14-(7*$C$17*'0_ENTREE'!$G80))*$L$10/$I$10/'0_ENTREE'!$F80</f>
        <v>#DIV/0!</v>
      </c>
      <c r="J95" s="413" t="e">
        <f>((W95/$C$21)-$C$14-(7*$C$17*'0_ENTREE'!$G80))*$L$11/$I$11/'0_ENTREE'!$F80</f>
        <v>#DIV/0!</v>
      </c>
      <c r="K95" s="413" t="e">
        <f>((X95/$C$21)-$C$14-(7*$C$17*'0_ENTREE'!$G80))*$L$12/$I$12/'0_ENTREE'!$F80</f>
        <v>#DIV/0!</v>
      </c>
      <c r="L95" s="413">
        <f>((Y95/$C$21)-$C$14-(7*$C$17*'0_ENTREE'!$G80))*$L$13/$I$13/'0_ENTREE'!$F80</f>
        <v>6.4913261810135854</v>
      </c>
      <c r="M95" s="413">
        <f>((Z95/$C$21)-$C$14-(7*$C$17*'0_ENTREE'!$G80))*$L$14/$I$14/'0_ENTREE'!$F80</f>
        <v>5.3525741088126759</v>
      </c>
      <c r="N95" s="414">
        <f>((AA95/$C$21)-$C$14-(7*$C$17*'0_ENTREE'!$G80))*$L$15/$I$15/'0_ENTREE'!$F80</f>
        <v>11.769444826478818</v>
      </c>
      <c r="P95" s="199">
        <v>2966</v>
      </c>
      <c r="Q95" s="200">
        <v>3798</v>
      </c>
      <c r="R95" s="200">
        <v>1638</v>
      </c>
      <c r="S95" s="200">
        <v>948</v>
      </c>
      <c r="T95" s="200">
        <v>347</v>
      </c>
      <c r="U95" s="200">
        <v>262</v>
      </c>
      <c r="V95" s="200">
        <v>235</v>
      </c>
      <c r="W95" s="200">
        <v>188</v>
      </c>
      <c r="X95" s="200">
        <v>273</v>
      </c>
      <c r="Y95" s="200">
        <v>763</v>
      </c>
      <c r="Z95" s="200">
        <v>1566</v>
      </c>
      <c r="AA95" s="201">
        <v>2705</v>
      </c>
      <c r="AB95" s="201">
        <f t="shared" si="7"/>
        <v>15689</v>
      </c>
    </row>
    <row r="96" spans="1:28" x14ac:dyDescent="0.25">
      <c r="A96" s="187"/>
    </row>
    <row r="97" spans="1:7" x14ac:dyDescent="0.25">
      <c r="A97" s="187"/>
    </row>
    <row r="98" spans="1:7" x14ac:dyDescent="0.25">
      <c r="A98" s="187"/>
    </row>
    <row r="99" spans="1:7" x14ac:dyDescent="0.25">
      <c r="A99" s="187"/>
    </row>
    <row r="100" spans="1:7" x14ac:dyDescent="0.25">
      <c r="A100" s="187"/>
      <c r="B100" s="348" t="s">
        <v>256</v>
      </c>
      <c r="C100" s="154" t="s">
        <v>257</v>
      </c>
    </row>
    <row r="101" spans="1:7" x14ac:dyDescent="0.25">
      <c r="A101" s="187"/>
      <c r="B101" s="169"/>
      <c r="C101" s="186"/>
    </row>
    <row r="102" spans="1:7" s="19" customFormat="1" x14ac:dyDescent="0.25">
      <c r="A102" s="191"/>
      <c r="B102" s="70" t="s">
        <v>242</v>
      </c>
      <c r="C102" s="74" t="s">
        <v>253</v>
      </c>
      <c r="E102" s="75" t="s">
        <v>254</v>
      </c>
      <c r="G102" s="427" t="s">
        <v>255</v>
      </c>
    </row>
    <row r="103" spans="1:7" hidden="1" x14ac:dyDescent="0.25">
      <c r="A103" s="186">
        <v>1</v>
      </c>
      <c r="B103" s="72" t="str">
        <f t="shared" ref="B103:B115" si="8">B48</f>
        <v>GC - 274 - T4 - 83m²</v>
      </c>
      <c r="C103" s="444">
        <v>54.399999999999864</v>
      </c>
      <c r="E103" s="194">
        <v>1899.9999999999986</v>
      </c>
      <c r="G103" s="300">
        <v>0.32610441767068249</v>
      </c>
    </row>
    <row r="104" spans="1:7" hidden="1" x14ac:dyDescent="0.25">
      <c r="A104" s="186">
        <v>2</v>
      </c>
      <c r="B104" s="72" t="str">
        <f t="shared" si="8"/>
        <v>GC - 277 - T2 - 53m²</v>
      </c>
      <c r="C104" s="444">
        <v>40</v>
      </c>
      <c r="E104" s="194">
        <v>1100.0000000000014</v>
      </c>
      <c r="G104" s="300">
        <v>0.34046121593291429</v>
      </c>
    </row>
    <row r="105" spans="1:7" hidden="1" x14ac:dyDescent="0.25">
      <c r="A105" s="186">
        <v>3</v>
      </c>
      <c r="B105" s="72" t="str">
        <f t="shared" si="8"/>
        <v>GC - 281 - T3 - 71m²</v>
      </c>
      <c r="C105" s="444">
        <v>36.200000000000045</v>
      </c>
      <c r="E105" s="194">
        <v>2800.0000000000041</v>
      </c>
      <c r="G105" s="300">
        <v>1.0801251956181528</v>
      </c>
    </row>
    <row r="106" spans="1:7" hidden="1" x14ac:dyDescent="0.25">
      <c r="A106" s="186">
        <v>4</v>
      </c>
      <c r="B106" s="72" t="str">
        <f t="shared" si="8"/>
        <v>GC - 283 - T3 - 70m²</v>
      </c>
      <c r="C106" s="444">
        <v>27.200000000000045</v>
      </c>
      <c r="E106" s="194">
        <v>1000</v>
      </c>
      <c r="G106" s="300">
        <v>0.19333333333333322</v>
      </c>
    </row>
    <row r="107" spans="1:7" hidden="1" x14ac:dyDescent="0.25">
      <c r="A107" s="186">
        <v>5</v>
      </c>
      <c r="B107" s="72" t="str">
        <f t="shared" si="8"/>
        <v>GC - 285 - T3 - 64m²</v>
      </c>
      <c r="C107" s="444">
        <v>39</v>
      </c>
      <c r="E107" s="194">
        <v>1299.9999999999973</v>
      </c>
      <c r="G107" s="300">
        <v>-0.21145833336615596</v>
      </c>
    </row>
    <row r="108" spans="1:7" hidden="1" x14ac:dyDescent="0.25">
      <c r="A108" s="186">
        <v>6</v>
      </c>
      <c r="B108" s="72" t="str">
        <f t="shared" si="8"/>
        <v>GC - 286 - T3 - 68m²</v>
      </c>
      <c r="C108" s="444">
        <v>23.799999999999955</v>
      </c>
      <c r="E108" s="194">
        <v>3100.0000000000014</v>
      </c>
      <c r="G108" s="300">
        <v>0.86241830065359526</v>
      </c>
    </row>
    <row r="109" spans="1:7" hidden="1" x14ac:dyDescent="0.25">
      <c r="A109" s="186">
        <v>7</v>
      </c>
      <c r="B109" s="72" t="str">
        <f t="shared" si="8"/>
        <v>GC - 289 - T3 - 76m²</v>
      </c>
      <c r="C109" s="444">
        <v>23.799999999999955</v>
      </c>
      <c r="E109" s="194">
        <v>500</v>
      </c>
      <c r="G109" s="300">
        <v>0.11871345029239724</v>
      </c>
    </row>
    <row r="110" spans="1:7" hidden="1" x14ac:dyDescent="0.25">
      <c r="A110" s="186">
        <v>8</v>
      </c>
      <c r="B110" s="72" t="str">
        <f t="shared" si="8"/>
        <v>GC - 303 - T4 - 81m²</v>
      </c>
      <c r="C110" s="444">
        <v>93</v>
      </c>
      <c r="E110" s="194">
        <v>2799.9999999999973</v>
      </c>
      <c r="G110" s="300">
        <v>0.33415637860082281</v>
      </c>
    </row>
    <row r="111" spans="1:7" hidden="1" x14ac:dyDescent="0.25">
      <c r="A111" s="186">
        <v>9</v>
      </c>
      <c r="B111" s="72" t="str">
        <f t="shared" si="8"/>
        <v>GC - 304 - T3 - 66m²</v>
      </c>
      <c r="C111" s="444">
        <v>21.400000000000091</v>
      </c>
      <c r="E111" s="194">
        <v>1899.9999999999986</v>
      </c>
      <c r="G111" s="300">
        <v>0.61515151515151412</v>
      </c>
    </row>
    <row r="112" spans="1:7" hidden="1" x14ac:dyDescent="0.25">
      <c r="A112" s="186">
        <v>10</v>
      </c>
      <c r="B112" s="72" t="str">
        <f t="shared" si="8"/>
        <v>GC - 306 - T3 - 66m²</v>
      </c>
      <c r="C112" s="444">
        <v>19.5</v>
      </c>
      <c r="E112" s="194">
        <v>1100.0000000000014</v>
      </c>
      <c r="G112" s="300">
        <v>0.27340067340067359</v>
      </c>
    </row>
    <row r="113" spans="1:7" hidden="1" x14ac:dyDescent="0.25">
      <c r="A113" s="186">
        <v>11</v>
      </c>
      <c r="B113" s="72" t="str">
        <f t="shared" si="8"/>
        <v>GC - 307 - T3 - 66m²</v>
      </c>
      <c r="C113" s="444">
        <v>56.900000000000091</v>
      </c>
      <c r="E113" s="194">
        <v>3099.9999999999945</v>
      </c>
      <c r="G113" s="300">
        <v>0</v>
      </c>
    </row>
    <row r="114" spans="1:7" hidden="1" x14ac:dyDescent="0.25">
      <c r="A114" s="186">
        <v>12</v>
      </c>
      <c r="B114" s="72" t="str">
        <f t="shared" si="8"/>
        <v>GC - 308 - T3 - 66m²</v>
      </c>
      <c r="C114" s="444">
        <v>25.100000000000136</v>
      </c>
      <c r="E114" s="194">
        <v>2699.9999999999991</v>
      </c>
      <c r="G114" s="300">
        <v>0.68350168350168339</v>
      </c>
    </row>
    <row r="115" spans="1:7" hidden="1" x14ac:dyDescent="0.25">
      <c r="A115" s="186">
        <v>13</v>
      </c>
      <c r="B115" s="72" t="str">
        <f t="shared" si="8"/>
        <v>GC - 314 - T4 - 75m²</v>
      </c>
      <c r="C115" s="444">
        <v>120.29999999999973</v>
      </c>
      <c r="E115" s="194">
        <v>4899.9999999999918</v>
      </c>
      <c r="G115" s="300">
        <v>1.5638518518518527</v>
      </c>
    </row>
    <row r="116" spans="1:7" hidden="1" x14ac:dyDescent="0.25">
      <c r="A116" s="186">
        <v>14</v>
      </c>
      <c r="B116" s="72"/>
      <c r="C116" s="445">
        <v>44.661538461538456</v>
      </c>
      <c r="E116" s="195">
        <v>2169.2307692307681</v>
      </c>
      <c r="G116" s="301">
        <v>0.47536612943395889</v>
      </c>
    </row>
    <row r="117" spans="1:7" hidden="1" x14ac:dyDescent="0.25">
      <c r="A117" s="186">
        <v>15</v>
      </c>
      <c r="B117" s="72" t="str">
        <f t="shared" ref="B117:B129" si="9">B62</f>
        <v>GE2.1 - 275 - T3 - 74m²</v>
      </c>
      <c r="C117" s="444">
        <v>59.100000000000136</v>
      </c>
      <c r="E117" s="194">
        <v>2699.9999999999959</v>
      </c>
      <c r="G117" s="300">
        <v>0.91441441441441429</v>
      </c>
    </row>
    <row r="118" spans="1:7" hidden="1" x14ac:dyDescent="0.25">
      <c r="A118" s="186">
        <v>16</v>
      </c>
      <c r="B118" s="72" t="str">
        <f t="shared" si="9"/>
        <v>GE2.1 - 278 - T2 - 57m²</v>
      </c>
      <c r="C118" s="444">
        <v>3.8999999999999773</v>
      </c>
      <c r="E118" s="194">
        <v>300.00000000000068</v>
      </c>
      <c r="G118" s="300">
        <v>7.9142300194931833E-2</v>
      </c>
    </row>
    <row r="119" spans="1:7" hidden="1" x14ac:dyDescent="0.25">
      <c r="A119" s="186">
        <v>17</v>
      </c>
      <c r="B119" s="72" t="str">
        <f t="shared" si="9"/>
        <v>GE2.1 - 280 - T3 - 66m²</v>
      </c>
      <c r="C119" s="444">
        <v>0.10000000000000009</v>
      </c>
      <c r="E119" s="194">
        <v>0</v>
      </c>
      <c r="G119" s="300">
        <v>0</v>
      </c>
    </row>
    <row r="120" spans="1:7" hidden="1" x14ac:dyDescent="0.25">
      <c r="A120" s="186">
        <v>18</v>
      </c>
      <c r="B120" s="72" t="str">
        <f t="shared" si="9"/>
        <v>GE2.1 - 282 - T4 - 78m²</v>
      </c>
      <c r="C120" s="444">
        <v>25.899999999999977</v>
      </c>
      <c r="E120" s="194">
        <v>599.99999999999966</v>
      </c>
      <c r="G120" s="300">
        <v>0.17350427350427389</v>
      </c>
    </row>
    <row r="121" spans="1:7" hidden="1" x14ac:dyDescent="0.25">
      <c r="A121" s="186">
        <v>19</v>
      </c>
      <c r="B121" s="72" t="str">
        <f t="shared" si="9"/>
        <v>GE2.1 - 292 - T3 - 63m²</v>
      </c>
      <c r="C121" s="444">
        <v>34.199999999999932</v>
      </c>
      <c r="E121" s="194">
        <v>899.99999999999864</v>
      </c>
      <c r="G121" s="300">
        <v>0.28641975308641998</v>
      </c>
    </row>
    <row r="122" spans="1:7" hidden="1" x14ac:dyDescent="0.25">
      <c r="A122" s="186">
        <v>20</v>
      </c>
      <c r="B122" s="72" t="str">
        <f t="shared" si="9"/>
        <v>GE2.1 - 293 - T3 - 63m²</v>
      </c>
      <c r="C122" s="444">
        <v>33.899999999999977</v>
      </c>
      <c r="E122" s="194">
        <v>3100.0000000000014</v>
      </c>
      <c r="G122" s="300">
        <v>0.93086419753086469</v>
      </c>
    </row>
    <row r="123" spans="1:7" hidden="1" x14ac:dyDescent="0.25">
      <c r="A123" s="186">
        <v>21</v>
      </c>
      <c r="B123" s="72" t="str">
        <f t="shared" si="9"/>
        <v>GE2.1 - 295 - T3 - 63m²</v>
      </c>
      <c r="C123" s="444">
        <v>49.299999999999955</v>
      </c>
      <c r="E123" s="194">
        <v>3700.0000000000027</v>
      </c>
      <c r="G123" s="300">
        <v>1.145679012345675</v>
      </c>
    </row>
    <row r="124" spans="1:7" hidden="1" x14ac:dyDescent="0.25">
      <c r="A124" s="186">
        <v>22</v>
      </c>
      <c r="B124" s="72" t="str">
        <f t="shared" si="9"/>
        <v>GE2.1 - 296 - T4 - 78m²</v>
      </c>
      <c r="C124" s="444">
        <v>31.100000000000023</v>
      </c>
      <c r="E124" s="194">
        <v>1199.9999999999957</v>
      </c>
      <c r="G124" s="300">
        <v>0.34700854700854677</v>
      </c>
    </row>
    <row r="125" spans="1:7" hidden="1" x14ac:dyDescent="0.25">
      <c r="A125" s="186">
        <v>23</v>
      </c>
      <c r="B125" s="72" t="str">
        <f t="shared" si="9"/>
        <v>GE2.1 - 297 - T4 - 79m²</v>
      </c>
      <c r="C125" s="444">
        <v>60</v>
      </c>
      <c r="E125" s="194">
        <v>5000</v>
      </c>
      <c r="G125" s="300">
        <v>1.256258790436003</v>
      </c>
    </row>
    <row r="126" spans="1:7" hidden="1" x14ac:dyDescent="0.25">
      <c r="A126" s="186">
        <v>24</v>
      </c>
      <c r="B126" s="72" t="str">
        <f t="shared" si="9"/>
        <v>GE2.1 - 299 - T4 - 79m²</v>
      </c>
      <c r="C126" s="444">
        <v>5.2000000000000455</v>
      </c>
      <c r="E126" s="194">
        <v>0</v>
      </c>
      <c r="G126" s="300">
        <v>0</v>
      </c>
    </row>
    <row r="127" spans="1:7" hidden="1" x14ac:dyDescent="0.25">
      <c r="A127" s="186">
        <v>25</v>
      </c>
      <c r="B127" s="72" t="str">
        <f t="shared" si="9"/>
        <v>GE2.1 - 300 - T5 - 93m²</v>
      </c>
      <c r="C127" s="444">
        <v>58.199999999999818</v>
      </c>
      <c r="E127" s="194">
        <v>2399.9999999999986</v>
      </c>
      <c r="G127" s="300">
        <v>0.53357228195937945</v>
      </c>
    </row>
    <row r="128" spans="1:7" hidden="1" x14ac:dyDescent="0.25">
      <c r="A128" s="186">
        <v>26</v>
      </c>
      <c r="B128" s="72" t="str">
        <f t="shared" si="9"/>
        <v>GE2.1 - 302 - T5 - 93m²</v>
      </c>
      <c r="C128" s="444">
        <v>48.799999999999955</v>
      </c>
      <c r="E128" s="194">
        <v>1899.9999999999986</v>
      </c>
      <c r="G128" s="300">
        <v>0.29103942652329812</v>
      </c>
    </row>
    <row r="129" spans="1:7" hidden="1" x14ac:dyDescent="0.25">
      <c r="A129" s="186">
        <v>27</v>
      </c>
      <c r="B129" s="72" t="str">
        <f t="shared" si="9"/>
        <v>GE2.1 - 312 - T4 - 75m²</v>
      </c>
      <c r="C129" s="444">
        <v>30.299999999999272</v>
      </c>
      <c r="E129" s="194">
        <v>799.99999999999716</v>
      </c>
      <c r="G129" s="300">
        <v>0.24059259259259386</v>
      </c>
    </row>
    <row r="130" spans="1:7" hidden="1" x14ac:dyDescent="0.25">
      <c r="A130" s="186">
        <v>28</v>
      </c>
      <c r="B130" s="72"/>
      <c r="C130" s="445">
        <v>33.846153846153776</v>
      </c>
      <c r="E130" s="195">
        <v>1738.4615384615379</v>
      </c>
      <c r="G130" s="301">
        <v>0.47680735304587701</v>
      </c>
    </row>
    <row r="131" spans="1:7" x14ac:dyDescent="0.25">
      <c r="A131" s="186">
        <v>29</v>
      </c>
      <c r="B131" s="72" t="str">
        <f t="shared" ref="B131:B143" si="10">B76</f>
        <v>GE2.2 - 271 - T3 - 74m²</v>
      </c>
      <c r="C131" s="444">
        <v>26.199999999999932</v>
      </c>
      <c r="E131" s="194">
        <v>1399.9999999999986</v>
      </c>
      <c r="G131" s="300">
        <v>0.54864864864864771</v>
      </c>
    </row>
    <row r="132" spans="1:7" x14ac:dyDescent="0.25">
      <c r="A132" s="186">
        <v>30</v>
      </c>
      <c r="B132" s="72" t="str">
        <f t="shared" si="10"/>
        <v>GE2.2 - 272 - T3 - 74m²</v>
      </c>
      <c r="C132" s="444">
        <v>78.5</v>
      </c>
      <c r="E132" s="194">
        <v>1899.9999999999986</v>
      </c>
      <c r="G132" s="300">
        <v>0.12192192192192175</v>
      </c>
    </row>
    <row r="133" spans="1:7" x14ac:dyDescent="0.25">
      <c r="A133" s="186">
        <v>31</v>
      </c>
      <c r="B133" s="72" t="str">
        <f t="shared" si="10"/>
        <v>GE2.2 - 273 - T3 - 74m²</v>
      </c>
      <c r="C133" s="444">
        <v>55.299999999999955</v>
      </c>
      <c r="E133" s="194">
        <v>2500</v>
      </c>
      <c r="G133" s="300">
        <v>0.54864864864864993</v>
      </c>
    </row>
    <row r="134" spans="1:7" x14ac:dyDescent="0.25">
      <c r="A134" s="186">
        <v>32</v>
      </c>
      <c r="B134" s="72" t="str">
        <f t="shared" si="10"/>
        <v>GE2.2 - 276 - T4 - 83m²</v>
      </c>
      <c r="C134" s="444">
        <v>89.299999999999955</v>
      </c>
      <c r="E134" s="194">
        <v>2299.9999999999973</v>
      </c>
      <c r="G134" s="300">
        <v>0.43480589022757732</v>
      </c>
    </row>
    <row r="135" spans="1:7" x14ac:dyDescent="0.25">
      <c r="A135" s="186">
        <v>33</v>
      </c>
      <c r="B135" s="72" t="str">
        <f t="shared" si="10"/>
        <v>GE2.2 - 279 - T3 - 70m²</v>
      </c>
      <c r="C135" s="444">
        <v>39.299999999999955</v>
      </c>
      <c r="E135" s="194">
        <v>1300.0000000000007</v>
      </c>
      <c r="G135" s="300">
        <v>0.38666666666666755</v>
      </c>
    </row>
    <row r="136" spans="1:7" x14ac:dyDescent="0.25">
      <c r="A136" s="186">
        <v>34</v>
      </c>
      <c r="B136" s="72" t="str">
        <f t="shared" si="10"/>
        <v>GE2.2 - 288 - T3 - 68m²</v>
      </c>
      <c r="C136" s="444">
        <v>36.300000000000068</v>
      </c>
      <c r="E136" s="194">
        <v>1000</v>
      </c>
      <c r="G136" s="300">
        <v>6.6339869281045807E-2</v>
      </c>
    </row>
    <row r="137" spans="1:7" x14ac:dyDescent="0.25">
      <c r="A137" s="186">
        <v>35</v>
      </c>
      <c r="B137" s="72" t="str">
        <f t="shared" si="10"/>
        <v>GE2.2 - 291 - T3 - 62m²</v>
      </c>
      <c r="C137" s="444">
        <v>12.599999999999909</v>
      </c>
      <c r="E137" s="194">
        <v>100.00000000000142</v>
      </c>
      <c r="G137" s="300">
        <v>0</v>
      </c>
    </row>
    <row r="138" spans="1:7" x14ac:dyDescent="0.25">
      <c r="A138" s="186">
        <v>36</v>
      </c>
      <c r="B138" s="72" t="str">
        <f t="shared" si="10"/>
        <v>GE2.2 - 294 - T3 - 63m²</v>
      </c>
      <c r="C138" s="444">
        <v>56.700000000000273</v>
      </c>
      <c r="E138" s="194">
        <v>1199.9999999999993</v>
      </c>
      <c r="G138" s="300">
        <v>7.160493827160469E-2</v>
      </c>
    </row>
    <row r="139" spans="1:7" x14ac:dyDescent="0.25">
      <c r="A139" s="186">
        <v>37</v>
      </c>
      <c r="B139" s="72" t="str">
        <f t="shared" si="10"/>
        <v>GE2.2 - 298 - T5 - 93m²</v>
      </c>
      <c r="C139" s="444">
        <v>74.599999999999909</v>
      </c>
      <c r="E139" s="194">
        <v>5299.9999999999973</v>
      </c>
      <c r="G139" s="300">
        <v>0.87311827956989452</v>
      </c>
    </row>
    <row r="140" spans="1:7" x14ac:dyDescent="0.25">
      <c r="A140" s="186">
        <v>38</v>
      </c>
      <c r="B140" s="72" t="str">
        <f t="shared" si="10"/>
        <v>GE2.2 - 301 - T4 - 79m²</v>
      </c>
      <c r="C140" s="444">
        <v>76.400000000000091</v>
      </c>
      <c r="E140" s="194">
        <v>2699.9999999999959</v>
      </c>
      <c r="G140" s="300">
        <v>0.45682137834036601</v>
      </c>
    </row>
    <row r="141" spans="1:7" x14ac:dyDescent="0.25">
      <c r="A141" s="186">
        <v>39</v>
      </c>
      <c r="B141" s="72" t="str">
        <f t="shared" si="10"/>
        <v>GE2.2 - 311 - T4 - 74m²</v>
      </c>
      <c r="C141" s="444">
        <v>32.799999999999955</v>
      </c>
      <c r="E141" s="194">
        <v>1900.0000000000057</v>
      </c>
      <c r="G141" s="300">
        <v>0.48768768768768805</v>
      </c>
    </row>
    <row r="142" spans="1:7" x14ac:dyDescent="0.25">
      <c r="A142" s="186">
        <v>40</v>
      </c>
      <c r="B142" s="72" t="str">
        <f t="shared" si="10"/>
        <v>GE2.2 - 313 - T4 - 75m²</v>
      </c>
      <c r="C142" s="444">
        <v>28.200000000000045</v>
      </c>
      <c r="E142" s="194">
        <v>1000</v>
      </c>
      <c r="G142" s="300">
        <v>0.24059259259259277</v>
      </c>
    </row>
    <row r="143" spans="1:7" x14ac:dyDescent="0.25">
      <c r="A143" s="186">
        <v>41</v>
      </c>
      <c r="B143" s="72" t="str">
        <f t="shared" si="10"/>
        <v>GE2.2 - 315 - T4 - 75m²</v>
      </c>
      <c r="C143" s="444">
        <v>53.100000000000136</v>
      </c>
      <c r="E143" s="194">
        <v>2899.9999999999986</v>
      </c>
      <c r="G143" s="300">
        <v>0.8420740740740732</v>
      </c>
    </row>
    <row r="144" spans="1:7" x14ac:dyDescent="0.25">
      <c r="A144" s="186">
        <v>42</v>
      </c>
      <c r="B144" s="72"/>
      <c r="C144" s="445">
        <v>50.715384615384629</v>
      </c>
      <c r="E144" s="195">
        <v>1961.5384615384612</v>
      </c>
      <c r="G144" s="301">
        <v>0.3906869689177484</v>
      </c>
    </row>
    <row r="145" spans="1:7" x14ac:dyDescent="0.25">
      <c r="A145" s="186">
        <v>43</v>
      </c>
      <c r="B145" s="72" t="str">
        <f t="shared" ref="B145:B150" si="11">B90</f>
        <v>SO - 284 - T - 64m²</v>
      </c>
      <c r="C145" s="444">
        <v>64</v>
      </c>
      <c r="E145" s="194">
        <v>300.00000000000068</v>
      </c>
      <c r="G145" s="300">
        <v>0</v>
      </c>
    </row>
    <row r="146" spans="1:7" x14ac:dyDescent="0.25">
      <c r="A146" s="186">
        <v>44</v>
      </c>
      <c r="B146" s="72" t="str">
        <f t="shared" si="11"/>
        <v>SO - 287 - T - 81m²</v>
      </c>
      <c r="C146" s="444">
        <v>34.399999999999864</v>
      </c>
      <c r="E146" s="194">
        <v>1200.0000000000027</v>
      </c>
      <c r="G146" s="300">
        <v>0.16707818930041091</v>
      </c>
    </row>
    <row r="147" spans="1:7" x14ac:dyDescent="0.25">
      <c r="A147" s="186">
        <v>45</v>
      </c>
      <c r="B147" s="72" t="str">
        <f t="shared" si="11"/>
        <v>SO - 290 - T - 40m²</v>
      </c>
      <c r="C147" s="444">
        <v>23</v>
      </c>
      <c r="E147" s="194">
        <v>700.00000000000284</v>
      </c>
      <c r="G147" s="300">
        <v>0</v>
      </c>
    </row>
    <row r="148" spans="1:7" x14ac:dyDescent="0.25">
      <c r="A148" s="186">
        <v>46</v>
      </c>
      <c r="B148" s="72" t="str">
        <f t="shared" si="11"/>
        <v>SO - 305 - T - 66m²</v>
      </c>
      <c r="C148" s="444">
        <v>40.700000000000045</v>
      </c>
      <c r="E148" s="194">
        <v>2000</v>
      </c>
      <c r="G148" s="300">
        <v>0</v>
      </c>
    </row>
    <row r="149" spans="1:7" x14ac:dyDescent="0.25">
      <c r="A149" s="186">
        <v>47</v>
      </c>
      <c r="B149" s="72" t="str">
        <f t="shared" si="11"/>
        <v>SO - 309 - T - 66m²</v>
      </c>
      <c r="C149" s="444">
        <v>19.5</v>
      </c>
      <c r="E149" s="194">
        <v>1100.0000000000014</v>
      </c>
      <c r="G149" s="300">
        <v>0.34175084175084169</v>
      </c>
    </row>
    <row r="150" spans="1:7" x14ac:dyDescent="0.25">
      <c r="A150" s="186">
        <v>48</v>
      </c>
      <c r="B150" s="72" t="str">
        <f t="shared" si="11"/>
        <v>SO - 310 - T - 54m²</v>
      </c>
      <c r="C150" s="444">
        <v>35.200000000000045</v>
      </c>
      <c r="E150" s="194">
        <v>1700.0000000000027</v>
      </c>
      <c r="G150" s="300">
        <v>0.33415637860082331</v>
      </c>
    </row>
    <row r="151" spans="1:7" x14ac:dyDescent="0.25">
      <c r="A151" s="186"/>
      <c r="B151" s="72"/>
      <c r="C151" s="445">
        <v>45.331952662721925</v>
      </c>
      <c r="E151" s="195">
        <v>1843.1952662721899</v>
      </c>
      <c r="G151" s="301">
        <v>0.14049756827534599</v>
      </c>
    </row>
    <row r="152" spans="1:7" x14ac:dyDescent="0.25">
      <c r="A152" s="187"/>
    </row>
    <row r="153" spans="1:7" x14ac:dyDescent="0.25">
      <c r="A153" s="187"/>
    </row>
  </sheetData>
  <sortState ref="A26:F70">
    <sortCondition ref="B26:B70"/>
  </sortState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56" orientation="portrait" r:id="rId2"/>
  <headerFooter>
    <oddFooter>&amp;L&amp;F&amp;CSOLAIR&amp;R&amp;A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T126"/>
  <sheetViews>
    <sheetView topLeftCell="A28" zoomScaleNormal="100" workbookViewId="0">
      <selection activeCell="A34" sqref="A34:XFD61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6" width="12.7109375" style="1" customWidth="1"/>
    <col min="17" max="20" width="13.28515625" style="1" customWidth="1"/>
    <col min="21" max="21" width="18.5703125" style="1" customWidth="1"/>
    <col min="22" max="16384" width="11.42578125" style="1"/>
  </cols>
  <sheetData>
    <row r="1" spans="1:18" s="18" customFormat="1" ht="60" customHeight="1" thickBot="1" x14ac:dyDescent="0.3">
      <c r="A1" s="465" t="str">
        <f>CONCATENATE("ENCERTICUS - ",B4," - ",B5," - ",B7)</f>
        <v>ENCERTICUS - TRAITEMENT CHAUFFAGE - 2014 - S23</v>
      </c>
      <c r="B1" s="466"/>
      <c r="C1" s="466"/>
      <c r="D1" s="467"/>
      <c r="E1" s="25"/>
      <c r="F1" s="185" t="s">
        <v>73</v>
      </c>
      <c r="G1" s="111" t="s">
        <v>74</v>
      </c>
      <c r="H1" s="25"/>
      <c r="I1" s="25"/>
    </row>
    <row r="2" spans="1:18" s="18" customFormat="1" ht="13.5" thickBot="1" x14ac:dyDescent="0.3">
      <c r="D2" s="25"/>
    </row>
    <row r="3" spans="1:18" s="18" customFormat="1" ht="25.5" x14ac:dyDescent="0.25">
      <c r="A3" s="305" t="s">
        <v>9</v>
      </c>
      <c r="B3" s="306" t="s">
        <v>10</v>
      </c>
      <c r="C3" s="186"/>
      <c r="I3" s="333" t="str">
        <f>'0_ENTREE'!I3</f>
        <v>DJU moyen</v>
      </c>
      <c r="J3" s="168" t="s">
        <v>183</v>
      </c>
      <c r="K3" s="339" t="str">
        <f>'0_ENTREE'!K3</f>
        <v>DJU REEL - 2011</v>
      </c>
      <c r="L3" s="339" t="str">
        <f>'0_ENTREE'!L3</f>
        <v>DJU REEL - 2012</v>
      </c>
      <c r="M3" s="339" t="str">
        <f>'0_ENTREE'!M3</f>
        <v>DJU REEL - 2013</v>
      </c>
      <c r="N3" s="339" t="str">
        <f>'0_ENTREE'!N3</f>
        <v>DJU REEL - 2014</v>
      </c>
      <c r="O3" s="339" t="str">
        <f>'0_ENTREE'!O3</f>
        <v>DJU REEL - 2015</v>
      </c>
      <c r="P3" s="339" t="str">
        <f>'0_ENTREE'!P3</f>
        <v>DJU REEL - 2016</v>
      </c>
      <c r="Q3" s="339" t="str">
        <f>'0_ENTREE'!Q3</f>
        <v>DJU REEL - 2017</v>
      </c>
    </row>
    <row r="4" spans="1:18" s="18" customFormat="1" ht="25.5" x14ac:dyDescent="0.25">
      <c r="A4" s="96" t="s">
        <v>11</v>
      </c>
      <c r="B4" s="97" t="s">
        <v>245</v>
      </c>
      <c r="C4" s="186" t="s">
        <v>134</v>
      </c>
      <c r="E4" s="470" t="str">
        <f>'0_ENTREE'!E4:F4</f>
        <v>DJU Annuel Moyen</v>
      </c>
      <c r="F4" s="470"/>
      <c r="G4" s="335">
        <f>'0_ENTREE'!G4</f>
        <v>1519.8666666666668</v>
      </c>
      <c r="I4" s="359">
        <f>'0_ENTREE'!I4</f>
        <v>335.36666666666662</v>
      </c>
      <c r="J4" s="317" t="str">
        <f>'0_ENTREE'!J4</f>
        <v>Janvier</v>
      </c>
      <c r="K4" s="317">
        <f>'0_ENTREE'!K4</f>
        <v>339.1</v>
      </c>
      <c r="L4" s="317">
        <f>'0_ENTREE'!L4</f>
        <v>302.7</v>
      </c>
      <c r="M4" s="317">
        <f>'0_ENTREE'!M4</f>
        <v>364.3</v>
      </c>
      <c r="N4" s="317">
        <f>'0_ENTREE'!N4</f>
        <v>302.7</v>
      </c>
      <c r="O4" s="317">
        <f>'0_ENTREE'!O4</f>
        <v>0</v>
      </c>
      <c r="P4" s="317">
        <f>'0_ENTREE'!P4</f>
        <v>0</v>
      </c>
      <c r="Q4" s="155">
        <f>'1_REFERENCE'!O4</f>
        <v>0</v>
      </c>
    </row>
    <row r="5" spans="1:18" s="18" customFormat="1" x14ac:dyDescent="0.25">
      <c r="A5" s="96" t="s">
        <v>35</v>
      </c>
      <c r="B5" s="101">
        <f>'0_ENTREE'!B5</f>
        <v>2014</v>
      </c>
      <c r="C5" s="186"/>
      <c r="E5" s="470" t="str">
        <f>'0_ENTREE'!E5:F5</f>
        <v>DJU Annuel Réel - 2014</v>
      </c>
      <c r="F5" s="470"/>
      <c r="G5" s="335">
        <f>'0_ENTREE'!G5</f>
        <v>1548.4</v>
      </c>
      <c r="I5" s="359">
        <f>'0_ENTREE'!I5</f>
        <v>347.76666666666671</v>
      </c>
      <c r="J5" s="317" t="str">
        <f>'0_ENTREE'!J5</f>
        <v>Février</v>
      </c>
      <c r="K5" s="317">
        <f>'0_ENTREE'!K5</f>
        <v>266.60000000000002</v>
      </c>
      <c r="L5" s="317">
        <f>'0_ENTREE'!L5</f>
        <v>425.6</v>
      </c>
      <c r="M5" s="317">
        <f>'0_ENTREE'!M5</f>
        <v>351.1</v>
      </c>
      <c r="N5" s="317">
        <f>'0_ENTREE'!N5</f>
        <v>425.6</v>
      </c>
      <c r="O5" s="317">
        <f>'0_ENTREE'!O5</f>
        <v>0</v>
      </c>
      <c r="P5" s="317">
        <f>'0_ENTREE'!P5</f>
        <v>0</v>
      </c>
      <c r="Q5" s="155">
        <f>'1_REFERENCE'!O5</f>
        <v>0</v>
      </c>
    </row>
    <row r="6" spans="1:18" s="18" customFormat="1" x14ac:dyDescent="0.25">
      <c r="A6" s="96" t="s">
        <v>36</v>
      </c>
      <c r="B6" s="101" t="str">
        <f>'0_ENTREE'!B6</f>
        <v>Juin</v>
      </c>
      <c r="C6" s="188">
        <f>'0_ENTREE'!C6</f>
        <v>8</v>
      </c>
      <c r="E6" s="470" t="str">
        <f>'0_ENTREE'!E6:F6</f>
        <v>DJU Mensuel Moyen - Juin</v>
      </c>
      <c r="F6" s="470"/>
      <c r="G6" s="335">
        <f>'0_ENTREE'!G6</f>
        <v>0</v>
      </c>
      <c r="I6" s="359">
        <f>'0_ENTREE'!I6</f>
        <v>210.16666666666666</v>
      </c>
      <c r="J6" s="317" t="str">
        <f>'0_ENTREE'!J6</f>
        <v>Mars</v>
      </c>
      <c r="K6" s="317">
        <f>'0_ENTREE'!K6</f>
        <v>217.4</v>
      </c>
      <c r="L6" s="317">
        <f>'0_ENTREE'!L6</f>
        <v>183.6</v>
      </c>
      <c r="M6" s="317">
        <f>'0_ENTREE'!M6</f>
        <v>229.5</v>
      </c>
      <c r="N6" s="317">
        <f>'0_ENTREE'!N6</f>
        <v>183.6</v>
      </c>
      <c r="O6" s="317">
        <f>'0_ENTREE'!O6</f>
        <v>0</v>
      </c>
      <c r="P6" s="317">
        <f>'0_ENTREE'!P6</f>
        <v>0</v>
      </c>
      <c r="Q6" s="155">
        <f>'1_REFERENCE'!O6</f>
        <v>0</v>
      </c>
    </row>
    <row r="7" spans="1:18" s="18" customFormat="1" x14ac:dyDescent="0.25">
      <c r="A7" s="96" t="s">
        <v>57</v>
      </c>
      <c r="B7" s="101" t="str">
        <f>'0_ENTREE'!B7</f>
        <v>S23</v>
      </c>
      <c r="C7" s="188">
        <f>'0_ENTREE'!C7</f>
        <v>25</v>
      </c>
      <c r="E7" s="470" t="str">
        <f>'0_ENTREE'!E7:F7</f>
        <v>DJU Mensuel Réel - Juin</v>
      </c>
      <c r="F7" s="470"/>
      <c r="G7" s="335">
        <f>'0_ENTREE'!G7</f>
        <v>0</v>
      </c>
      <c r="I7" s="359">
        <f>'0_ENTREE'!I7</f>
        <v>106.96666666666665</v>
      </c>
      <c r="J7" s="317" t="str">
        <f>'0_ENTREE'!J7</f>
        <v>Avril</v>
      </c>
      <c r="K7" s="317">
        <f>'0_ENTREE'!K7</f>
        <v>69</v>
      </c>
      <c r="L7" s="317">
        <f>'0_ENTREE'!L7</f>
        <v>120.9</v>
      </c>
      <c r="M7" s="317">
        <f>'0_ENTREE'!M7</f>
        <v>131</v>
      </c>
      <c r="N7" s="317">
        <f>'0_ENTREE'!N7</f>
        <v>120.9</v>
      </c>
      <c r="O7" s="317">
        <f>'0_ENTREE'!O7</f>
        <v>0</v>
      </c>
      <c r="P7" s="317">
        <f>'0_ENTREE'!P7</f>
        <v>0</v>
      </c>
      <c r="Q7" s="155">
        <f>'1_REFERENCE'!O7</f>
        <v>0</v>
      </c>
    </row>
    <row r="8" spans="1:18" s="18" customFormat="1" ht="13.5" thickBot="1" x14ac:dyDescent="0.3">
      <c r="A8" s="98" t="s">
        <v>31</v>
      </c>
      <c r="B8" s="104" t="str">
        <f>'0_ENTREE'!B8</f>
        <v>Semaine</v>
      </c>
      <c r="C8" s="186"/>
      <c r="E8" s="470" t="str">
        <f>'0_ENTREE'!E8:F8</f>
        <v>DJU Hebdo Moyen - Juin</v>
      </c>
      <c r="F8" s="470"/>
      <c r="G8" s="335">
        <f>'0_ENTREE'!G8</f>
        <v>0</v>
      </c>
      <c r="I8" s="359">
        <f>'0_ENTREE'!I8</f>
        <v>31.966666666666669</v>
      </c>
      <c r="J8" s="317" t="str">
        <f>'0_ENTREE'!J8</f>
        <v>Mai</v>
      </c>
      <c r="K8" s="317">
        <f>'0_ENTREE'!K8</f>
        <v>7.9</v>
      </c>
      <c r="L8" s="317">
        <f>'0_ENTREE'!L8</f>
        <v>17.2</v>
      </c>
      <c r="M8" s="317">
        <f>'0_ENTREE'!M8</f>
        <v>70.8</v>
      </c>
      <c r="N8" s="317">
        <f>'0_ENTREE'!N8</f>
        <v>17.2</v>
      </c>
      <c r="O8" s="317">
        <f>'0_ENTREE'!O8</f>
        <v>0</v>
      </c>
      <c r="P8" s="317">
        <f>'0_ENTREE'!P8</f>
        <v>0</v>
      </c>
      <c r="Q8" s="155">
        <f>'1_REFERENCE'!O8</f>
        <v>0</v>
      </c>
    </row>
    <row r="9" spans="1:18" s="18" customFormat="1" x14ac:dyDescent="0.25">
      <c r="A9" s="4"/>
      <c r="B9" s="24"/>
      <c r="C9" s="26"/>
      <c r="E9" s="470" t="str">
        <f>'0_ENTREE'!E9:F9</f>
        <v>DJU Hebdo Réel - S23</v>
      </c>
      <c r="F9" s="470"/>
      <c r="G9" s="335">
        <f>'0_ENTREE'!G9</f>
        <v>0</v>
      </c>
      <c r="I9" s="359">
        <f>'0_ENTREE'!I9</f>
        <v>0</v>
      </c>
      <c r="J9" s="317" t="str">
        <f>'0_ENTREE'!J9</f>
        <v>Juin</v>
      </c>
      <c r="K9" s="317">
        <f>'0_ENTREE'!K9</f>
        <v>0</v>
      </c>
      <c r="L9" s="317">
        <f>'0_ENTREE'!L9</f>
        <v>0</v>
      </c>
      <c r="M9" s="317">
        <f>'0_ENTREE'!M9</f>
        <v>0</v>
      </c>
      <c r="N9" s="317">
        <f>'0_ENTREE'!N9</f>
        <v>0</v>
      </c>
      <c r="O9" s="317">
        <f>'0_ENTREE'!O9</f>
        <v>0</v>
      </c>
      <c r="P9" s="317">
        <f>'0_ENTREE'!P9</f>
        <v>0</v>
      </c>
      <c r="Q9" s="155">
        <f>'1_REFERENCE'!O9</f>
        <v>0</v>
      </c>
    </row>
    <row r="10" spans="1:18" s="18" customFormat="1" x14ac:dyDescent="0.25">
      <c r="A10" s="4"/>
      <c r="B10" s="24"/>
      <c r="C10" s="26"/>
      <c r="I10" s="359">
        <f>'0_ENTREE'!I10</f>
        <v>0</v>
      </c>
      <c r="J10" s="317" t="str">
        <f>'0_ENTREE'!J10</f>
        <v>Juillet</v>
      </c>
      <c r="K10" s="317">
        <f>'0_ENTREE'!K10</f>
        <v>0</v>
      </c>
      <c r="L10" s="317">
        <f>'0_ENTREE'!L10</f>
        <v>0</v>
      </c>
      <c r="M10" s="317">
        <f>'0_ENTREE'!M10</f>
        <v>0</v>
      </c>
      <c r="N10" s="317">
        <f>'0_ENTREE'!N10</f>
        <v>0</v>
      </c>
      <c r="O10" s="317">
        <f>'0_ENTREE'!O10</f>
        <v>0</v>
      </c>
      <c r="P10" s="317">
        <f>'0_ENTREE'!P10</f>
        <v>0</v>
      </c>
      <c r="Q10" s="155">
        <f>'1_REFERENCE'!O10</f>
        <v>0</v>
      </c>
      <c r="R10" s="20"/>
    </row>
    <row r="11" spans="1:18" s="18" customFormat="1" x14ac:dyDescent="0.25">
      <c r="A11" s="4"/>
      <c r="B11" s="24"/>
      <c r="C11" s="26"/>
      <c r="I11" s="359">
        <f>'0_ENTREE'!I11</f>
        <v>0</v>
      </c>
      <c r="J11" s="317" t="str">
        <f>'0_ENTREE'!J11</f>
        <v>Août</v>
      </c>
      <c r="K11" s="317">
        <f>'0_ENTREE'!K11</f>
        <v>0</v>
      </c>
      <c r="L11" s="317">
        <f>'0_ENTREE'!L11</f>
        <v>0</v>
      </c>
      <c r="M11" s="317">
        <f>'0_ENTREE'!M11</f>
        <v>0</v>
      </c>
      <c r="N11" s="317">
        <f>'0_ENTREE'!N11</f>
        <v>0</v>
      </c>
      <c r="O11" s="317">
        <f>'0_ENTREE'!O11</f>
        <v>0</v>
      </c>
      <c r="P11" s="317">
        <f>'0_ENTREE'!P11</f>
        <v>0</v>
      </c>
      <c r="Q11" s="155">
        <f>'1_REFERENCE'!O11</f>
        <v>0</v>
      </c>
    </row>
    <row r="12" spans="1:18" s="18" customFormat="1" ht="25.5" x14ac:dyDescent="0.25">
      <c r="A12" s="4"/>
      <c r="B12" s="310" t="s">
        <v>175</v>
      </c>
      <c r="C12" s="310" t="s">
        <v>53</v>
      </c>
      <c r="D12" s="471" t="s">
        <v>56</v>
      </c>
      <c r="E12" s="471"/>
      <c r="F12" s="310" t="s">
        <v>58</v>
      </c>
      <c r="I12" s="359">
        <f>'0_ENTREE'!I12</f>
        <v>0</v>
      </c>
      <c r="J12" s="317" t="str">
        <f>'0_ENTREE'!J12</f>
        <v>Septembre</v>
      </c>
      <c r="K12" s="317">
        <f>'0_ENTREE'!K12</f>
        <v>0</v>
      </c>
      <c r="L12" s="317">
        <f>'0_ENTREE'!L12</f>
        <v>0</v>
      </c>
      <c r="M12" s="317">
        <f>'0_ENTREE'!M12</f>
        <v>0</v>
      </c>
      <c r="N12" s="317">
        <f>'0_ENTREE'!N12</f>
        <v>0</v>
      </c>
      <c r="O12" s="317">
        <f>'0_ENTREE'!O12</f>
        <v>0</v>
      </c>
      <c r="P12" s="317">
        <f>'0_ENTREE'!P12</f>
        <v>0</v>
      </c>
      <c r="Q12" s="155">
        <f>'1_REFERENCE'!O12</f>
        <v>0</v>
      </c>
    </row>
    <row r="13" spans="1:18" s="18" customFormat="1" x14ac:dyDescent="0.25">
      <c r="A13" s="4"/>
      <c r="B13" s="111" t="str">
        <f>'0_ENTREE'!B13</f>
        <v>Ratio de chauffage</v>
      </c>
      <c r="C13" s="314">
        <f>'0_ENTREE'!C13</f>
        <v>0</v>
      </c>
      <c r="D13" s="472" t="s">
        <v>34</v>
      </c>
      <c r="E13" s="472"/>
      <c r="F13" s="308"/>
      <c r="G13" s="26"/>
      <c r="H13" s="4"/>
      <c r="I13" s="359">
        <f>'0_ENTREE'!I13</f>
        <v>20</v>
      </c>
      <c r="J13" s="317" t="str">
        <f>'0_ENTREE'!J13</f>
        <v>Octobre</v>
      </c>
      <c r="K13" s="317">
        <f>'0_ENTREE'!K13</f>
        <v>9.6</v>
      </c>
      <c r="L13" s="317">
        <f>'0_ENTREE'!L13</f>
        <v>44.5</v>
      </c>
      <c r="M13" s="317">
        <f>'0_ENTREE'!M13</f>
        <v>5.9</v>
      </c>
      <c r="N13" s="317">
        <f>'0_ENTREE'!N13</f>
        <v>44.5</v>
      </c>
      <c r="O13" s="317">
        <f>'0_ENTREE'!O13</f>
        <v>0</v>
      </c>
      <c r="P13" s="317">
        <f>'0_ENTREE'!P13</f>
        <v>0</v>
      </c>
      <c r="Q13" s="155">
        <f>'1_REFERENCE'!O13</f>
        <v>0</v>
      </c>
    </row>
    <row r="14" spans="1:18" s="18" customFormat="1" x14ac:dyDescent="0.25">
      <c r="A14" s="4"/>
      <c r="B14" s="405" t="str">
        <f>'0_ENTREE'!B14</f>
        <v>Ratio cuisson - semaine</v>
      </c>
      <c r="C14" s="315">
        <f>'0_ENTREE'!C14</f>
        <v>7</v>
      </c>
      <c r="D14" s="473" t="s">
        <v>54</v>
      </c>
      <c r="E14" s="473"/>
      <c r="F14" s="308"/>
      <c r="G14" s="26"/>
      <c r="H14" s="4"/>
      <c r="I14" s="359">
        <f>'0_ENTREE'!I14</f>
        <v>182.4</v>
      </c>
      <c r="J14" s="317" t="str">
        <f>'0_ENTREE'!J14</f>
        <v>Novembre</v>
      </c>
      <c r="K14" s="317">
        <f>'0_ENTREE'!K14</f>
        <v>172.7</v>
      </c>
      <c r="L14" s="317">
        <f>'0_ENTREE'!L14</f>
        <v>154</v>
      </c>
      <c r="M14" s="317">
        <f>'0_ENTREE'!M14</f>
        <v>220.5</v>
      </c>
      <c r="N14" s="317">
        <f>'0_ENTREE'!N14</f>
        <v>154</v>
      </c>
      <c r="O14" s="317">
        <f>'0_ENTREE'!O14</f>
        <v>0</v>
      </c>
      <c r="P14" s="317">
        <f>'0_ENTREE'!P14</f>
        <v>0</v>
      </c>
      <c r="Q14" s="155">
        <f>'1_REFERENCE'!O14</f>
        <v>0</v>
      </c>
    </row>
    <row r="15" spans="1:18" s="18" customFormat="1" ht="14.25" x14ac:dyDescent="0.25">
      <c r="A15" s="4"/>
      <c r="B15" s="405" t="str">
        <f>'0_ENTREE'!B15</f>
        <v>Energie nécessaire ECS</v>
      </c>
      <c r="C15" s="315">
        <f>'0_ENTREE'!C15</f>
        <v>45.111111111111107</v>
      </c>
      <c r="D15" s="473" t="s">
        <v>282</v>
      </c>
      <c r="E15" s="473"/>
      <c r="F15" s="308" t="s">
        <v>32</v>
      </c>
      <c r="G15" s="26"/>
      <c r="H15" s="4"/>
      <c r="I15" s="359">
        <f>'0_ENTREE'!I15</f>
        <v>285.23333333333335</v>
      </c>
      <c r="J15" s="317" t="str">
        <f>'0_ENTREE'!J15</f>
        <v>Décembre</v>
      </c>
      <c r="K15" s="317">
        <f>'0_ENTREE'!K15</f>
        <v>271</v>
      </c>
      <c r="L15" s="317">
        <f>'0_ENTREE'!L15</f>
        <v>299.89999999999998</v>
      </c>
      <c r="M15" s="317">
        <f>'0_ENTREE'!M15</f>
        <v>284.8</v>
      </c>
      <c r="N15" s="317">
        <f>'0_ENTREE'!N15</f>
        <v>299.89999999999998</v>
      </c>
      <c r="O15" s="317">
        <f>'0_ENTREE'!O15</f>
        <v>0</v>
      </c>
      <c r="P15" s="317">
        <f>'0_ENTREE'!P15</f>
        <v>0</v>
      </c>
      <c r="Q15" s="155">
        <f>'1_REFERENCE'!O15</f>
        <v>0</v>
      </c>
    </row>
    <row r="16" spans="1:18" s="18" customFormat="1" x14ac:dyDescent="0.25">
      <c r="A16" s="4"/>
      <c r="B16" s="405" t="str">
        <f>'0_ENTREE'!B16</f>
        <v>Volume ECS consommé jour</v>
      </c>
      <c r="C16" s="406">
        <f>'0_ENTREE'!C16</f>
        <v>35</v>
      </c>
      <c r="D16" s="473" t="s">
        <v>169</v>
      </c>
      <c r="E16" s="473"/>
      <c r="F16" s="308"/>
      <c r="G16" s="26"/>
      <c r="H16" s="4"/>
      <c r="I16" s="334"/>
      <c r="J16" s="318" t="str">
        <f>'0_ENTREE'!J16</f>
        <v>Année</v>
      </c>
      <c r="K16" s="318">
        <f>'0_ENTREE'!K16</f>
        <v>1353.3</v>
      </c>
      <c r="L16" s="318">
        <f>'0_ENTREE'!L16</f>
        <v>1548.4</v>
      </c>
      <c r="M16" s="318">
        <f>'0_ENTREE'!M16</f>
        <v>1657.9</v>
      </c>
      <c r="N16" s="318">
        <f>'0_ENTREE'!N16</f>
        <v>1548.4</v>
      </c>
      <c r="O16" s="318">
        <f>'0_ENTREE'!O16</f>
        <v>0</v>
      </c>
      <c r="P16" s="318">
        <f>'0_ENTREE'!P16</f>
        <v>0</v>
      </c>
      <c r="Q16" s="311">
        <f>'1_REFERENCE'!O16</f>
        <v>0</v>
      </c>
    </row>
    <row r="17" spans="1:19" s="18" customFormat="1" x14ac:dyDescent="0.25">
      <c r="A17" s="4"/>
      <c r="B17" s="405" t="str">
        <f>'0_ENTREE'!B17</f>
        <v>Ratio ECS - jour</v>
      </c>
      <c r="C17" s="315">
        <f>'0_ENTREE'!C17</f>
        <v>1.5788888888888888</v>
      </c>
      <c r="D17" s="473" t="s">
        <v>168</v>
      </c>
      <c r="E17" s="473"/>
      <c r="F17" s="343"/>
      <c r="G17" s="26"/>
      <c r="H17" s="4"/>
      <c r="I17" s="27"/>
      <c r="J17" s="26"/>
      <c r="K17" s="26"/>
    </row>
    <row r="18" spans="1:19" s="18" customFormat="1" x14ac:dyDescent="0.25">
      <c r="A18" s="4"/>
      <c r="B18" s="405" t="str">
        <f>'0_ENTREE'!B18</f>
        <v>Ratio électrique - semaine</v>
      </c>
      <c r="C18" s="315">
        <f>'0_ENTREE'!C18</f>
        <v>52.42307692307692</v>
      </c>
      <c r="D18" s="473" t="s">
        <v>52</v>
      </c>
      <c r="E18" s="473"/>
      <c r="F18" s="308" t="s">
        <v>24</v>
      </c>
      <c r="G18" s="26"/>
      <c r="H18" s="4"/>
      <c r="I18" s="27"/>
      <c r="J18" s="26"/>
      <c r="K18" s="26"/>
    </row>
    <row r="19" spans="1:19" x14ac:dyDescent="0.25">
      <c r="A19" s="13"/>
      <c r="B19" s="405" t="str">
        <f>'0_ENTREE'!B19</f>
        <v>Ratio eau (EF+ECS) - semaine</v>
      </c>
      <c r="C19" s="406">
        <f>'0_ENTREE'!C19</f>
        <v>1050</v>
      </c>
      <c r="D19" s="473" t="s">
        <v>55</v>
      </c>
      <c r="E19" s="473"/>
      <c r="F19" s="309" t="s">
        <v>26</v>
      </c>
      <c r="G19" s="9"/>
      <c r="H19" s="9"/>
      <c r="I19" s="9"/>
      <c r="J19" s="9"/>
      <c r="K19" s="9"/>
      <c r="L19" s="9"/>
      <c r="M19" s="10"/>
      <c r="N19" s="8"/>
    </row>
    <row r="20" spans="1:19" ht="25.5" x14ac:dyDescent="0.25">
      <c r="A20" s="13"/>
      <c r="B20" s="310" t="s">
        <v>176</v>
      </c>
      <c r="C20" s="310" t="s">
        <v>53</v>
      </c>
      <c r="D20" s="471" t="s">
        <v>56</v>
      </c>
      <c r="E20" s="471"/>
      <c r="F20" s="310" t="s">
        <v>58</v>
      </c>
      <c r="G20" s="9"/>
      <c r="H20" s="9"/>
      <c r="I20" s="9"/>
      <c r="J20" s="9"/>
      <c r="K20" s="9"/>
      <c r="L20" s="9"/>
      <c r="M20" s="10"/>
      <c r="N20" s="8"/>
    </row>
    <row r="21" spans="1:19" x14ac:dyDescent="0.25">
      <c r="A21" s="13"/>
      <c r="B21" s="27" t="str">
        <f>'0_ENTREE'!B21</f>
        <v>Nbre semaine par mois</v>
      </c>
      <c r="C21" s="307">
        <f>'0_ENTREE'!C21</f>
        <v>4.3452380952380958</v>
      </c>
      <c r="D21" s="474"/>
      <c r="E21" s="474"/>
      <c r="F21" s="308"/>
      <c r="G21" s="9"/>
      <c r="H21" s="9"/>
      <c r="I21" s="9"/>
      <c r="J21" s="9"/>
      <c r="K21" s="9"/>
      <c r="L21" s="9"/>
      <c r="M21" s="10"/>
      <c r="N21" s="8"/>
    </row>
    <row r="22" spans="1:19" x14ac:dyDescent="0.25">
      <c r="A22" s="13"/>
      <c r="B22" s="27" t="str">
        <f>'0_ENTREE'!B22</f>
        <v>Conversion GAZ (volume en kWh PCI)</v>
      </c>
      <c r="C22" s="307">
        <f>'0_ENTREE'!C22</f>
        <v>11.628</v>
      </c>
      <c r="D22" s="474" t="s">
        <v>29</v>
      </c>
      <c r="E22" s="474"/>
      <c r="F22" s="308"/>
      <c r="G22" s="9"/>
      <c r="H22" s="9"/>
      <c r="I22" s="9"/>
      <c r="J22" s="9"/>
      <c r="K22" s="9"/>
      <c r="L22" s="9"/>
      <c r="M22" s="10"/>
      <c r="N22" s="8"/>
    </row>
    <row r="23" spans="1:19" x14ac:dyDescent="0.25">
      <c r="A23" s="13"/>
      <c r="B23" s="27" t="str">
        <f>'0_ENTREE'!B23</f>
        <v>Conversion GAZ (PCS en PCI)</v>
      </c>
      <c r="C23" s="307">
        <f>'0_ENTREE'!C23</f>
        <v>0.9009009009009008</v>
      </c>
      <c r="D23" s="474" t="s">
        <v>15</v>
      </c>
      <c r="E23" s="474"/>
      <c r="F23" s="308"/>
      <c r="G23" s="9"/>
      <c r="H23" s="9"/>
      <c r="I23" s="9"/>
      <c r="J23" s="9"/>
      <c r="K23" s="9"/>
      <c r="L23" s="9"/>
      <c r="M23" s="10"/>
      <c r="N23" s="8"/>
    </row>
    <row r="24" spans="1:19" x14ac:dyDescent="0.25">
      <c r="A24" s="13"/>
      <c r="B24" s="27"/>
      <c r="C24" s="307"/>
      <c r="D24" s="474"/>
      <c r="E24" s="474"/>
      <c r="F24" s="308"/>
      <c r="G24" s="9"/>
      <c r="H24" s="9"/>
      <c r="I24" s="9"/>
      <c r="J24" s="9"/>
      <c r="K24" s="9"/>
      <c r="L24" s="9"/>
      <c r="M24" s="10"/>
      <c r="N24" s="8"/>
    </row>
    <row r="25" spans="1:19" x14ac:dyDescent="0.25">
      <c r="A25" s="13"/>
      <c r="B25" s="27" t="str">
        <f>'0_ENTREE'!B25</f>
        <v>Facteur travaux</v>
      </c>
      <c r="C25" s="307">
        <f>'0_ENTREE'!C25</f>
        <v>1</v>
      </c>
      <c r="D25" s="474"/>
      <c r="E25" s="474"/>
      <c r="F25" s="308"/>
      <c r="G25" s="9"/>
      <c r="H25" s="9"/>
      <c r="I25" s="9"/>
      <c r="J25" s="9"/>
      <c r="K25" s="9"/>
      <c r="L25" s="9"/>
      <c r="M25" s="10"/>
      <c r="N25" s="8"/>
    </row>
    <row r="26" spans="1:19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9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9" x14ac:dyDescent="0.25">
      <c r="A28" s="13"/>
      <c r="B28" s="319" t="s">
        <v>292</v>
      </c>
      <c r="C28" s="13"/>
      <c r="D28" s="22"/>
      <c r="G28" s="9"/>
      <c r="H28" s="9"/>
      <c r="I28" s="9"/>
      <c r="J28" s="319" t="s">
        <v>258</v>
      </c>
      <c r="K28" s="9"/>
      <c r="L28" s="9"/>
      <c r="M28" s="10"/>
      <c r="N28" s="8"/>
      <c r="Q28" s="319" t="s">
        <v>288</v>
      </c>
    </row>
    <row r="29" spans="1:19" x14ac:dyDescent="0.25">
      <c r="A29" s="13"/>
      <c r="B29" s="16"/>
      <c r="C29" s="236"/>
      <c r="D29" s="22"/>
      <c r="G29" s="9"/>
      <c r="H29" s="9"/>
      <c r="I29" s="9"/>
      <c r="J29" s="9"/>
      <c r="K29" s="9"/>
      <c r="L29" s="9"/>
      <c r="M29" s="10"/>
      <c r="N29" s="8"/>
      <c r="Q29" s="420" t="s">
        <v>294</v>
      </c>
      <c r="R29" s="421" t="s">
        <v>293</v>
      </c>
    </row>
    <row r="30" spans="1:19" x14ac:dyDescent="0.25">
      <c r="A30" s="13"/>
      <c r="B30" s="16"/>
      <c r="D30" s="137"/>
      <c r="F30" s="9"/>
      <c r="G30" s="9"/>
      <c r="H30" s="9"/>
      <c r="I30" s="9"/>
      <c r="J30" s="9"/>
      <c r="K30" s="9"/>
      <c r="L30" s="10"/>
      <c r="M30" s="8"/>
    </row>
    <row r="31" spans="1:19" s="51" customFormat="1" ht="38.25" x14ac:dyDescent="0.25">
      <c r="A31" s="48"/>
      <c r="B31" s="52" t="s">
        <v>12</v>
      </c>
      <c r="C31" s="49" t="s">
        <v>277</v>
      </c>
      <c r="D31" s="50" t="s">
        <v>166</v>
      </c>
      <c r="E31" s="49" t="s">
        <v>62</v>
      </c>
      <c r="F31" s="50" t="s">
        <v>62</v>
      </c>
      <c r="G31" s="448" t="s">
        <v>63</v>
      </c>
      <c r="H31" s="449" t="s">
        <v>63</v>
      </c>
      <c r="I31" s="48"/>
      <c r="Q31" s="50" t="s">
        <v>284</v>
      </c>
      <c r="R31" s="50" t="s">
        <v>285</v>
      </c>
      <c r="S31" s="424"/>
    </row>
    <row r="32" spans="1:19" s="2" customFormat="1" ht="38.25" x14ac:dyDescent="0.25">
      <c r="A32" s="215" t="s">
        <v>133</v>
      </c>
      <c r="B32" s="42" t="s">
        <v>64</v>
      </c>
      <c r="C32" s="34" t="str">
        <f>CONCATENATE(C31," - ",B7)</f>
        <v>CHAUFFAGE corrigé - S23</v>
      </c>
      <c r="D32" s="30" t="str">
        <f>CONCATENATE(D31," - ",$B$6)</f>
        <v>Ratio CHAUFFAGE réf - Juin</v>
      </c>
      <c r="E32" s="76" t="str">
        <f>'0_ENTREE'!I31</f>
        <v>INDICE GDF [N-1]</v>
      </c>
      <c r="F32" s="77" t="str">
        <f>'0_ENTREE'!J31</f>
        <v>INDICE GDF [N]</v>
      </c>
      <c r="G32" s="78" t="str">
        <f>'0_ENTREE'!K31</f>
        <v>INDICE [N-1]</v>
      </c>
      <c r="H32" s="79" t="str">
        <f>'0_ENTREE'!L31</f>
        <v>INDICE [N]</v>
      </c>
      <c r="I32" s="14"/>
      <c r="J32" s="76" t="s">
        <v>259</v>
      </c>
      <c r="K32" s="77" t="s">
        <v>260</v>
      </c>
      <c r="L32" s="77" t="s">
        <v>261</v>
      </c>
      <c r="M32" s="77" t="s">
        <v>265</v>
      </c>
      <c r="N32" s="77" t="s">
        <v>264</v>
      </c>
      <c r="O32" s="79" t="s">
        <v>171</v>
      </c>
      <c r="Q32" s="30" t="str">
        <f>CONCATENATE(Q31)</f>
        <v>ARBRE de base</v>
      </c>
      <c r="R32" s="30" t="str">
        <f>CONCATENATE(R31)</f>
        <v>ARBRE de base ref</v>
      </c>
      <c r="S32" s="79"/>
    </row>
    <row r="33" spans="1:19" s="3" customFormat="1" ht="26.25" thickBot="1" x14ac:dyDescent="0.3">
      <c r="A33" s="216"/>
      <c r="B33" s="43"/>
      <c r="C33" s="35" t="s">
        <v>17</v>
      </c>
      <c r="D33" s="31" t="s">
        <v>17</v>
      </c>
      <c r="E33" s="80" t="s">
        <v>33</v>
      </c>
      <c r="F33" s="81" t="s">
        <v>33</v>
      </c>
      <c r="G33" s="82" t="s">
        <v>33</v>
      </c>
      <c r="H33" s="83" t="s">
        <v>33</v>
      </c>
      <c r="I33" s="15"/>
      <c r="J33" s="80" t="s">
        <v>170</v>
      </c>
      <c r="K33" s="81" t="s">
        <v>170</v>
      </c>
      <c r="L33" s="81" t="s">
        <v>170</v>
      </c>
      <c r="M33" s="81" t="s">
        <v>34</v>
      </c>
      <c r="N33" s="81" t="s">
        <v>34</v>
      </c>
      <c r="O33" s="83"/>
      <c r="Q33" s="31" t="s">
        <v>17</v>
      </c>
      <c r="R33" s="31" t="s">
        <v>17</v>
      </c>
      <c r="S33" s="83" t="s">
        <v>28</v>
      </c>
    </row>
    <row r="34" spans="1:19" hidden="1" x14ac:dyDescent="0.25">
      <c r="A34" s="217">
        <v>1</v>
      </c>
      <c r="B34" s="36" t="str">
        <f>CONCATENATE("Ratio Chauffage - ",'0_ENTREE'!B33)</f>
        <v>Ratio Chauffage - GC - 274 - T4 - 83m²</v>
      </c>
      <c r="C34" s="204" t="e">
        <f>M34</f>
        <v>#DIV/0!</v>
      </c>
      <c r="D34" s="207" t="e">
        <f>VLOOKUP(A34,'1_REFERENCE'!$A$47:$N$95,$C$6,FALSE)</f>
        <v>#DIV/0!</v>
      </c>
      <c r="E34" s="84">
        <f>'0_ENTREE'!I33</f>
        <v>530.79999999999995</v>
      </c>
      <c r="F34" s="85">
        <f>'0_ENTREE'!J33</f>
        <v>535.6</v>
      </c>
      <c r="G34" s="86">
        <f>'0_ENTREE'!K33</f>
        <v>15.5</v>
      </c>
      <c r="H34" s="87">
        <f>'0_ENTREE'!L33</f>
        <v>16.3</v>
      </c>
      <c r="I34" s="13"/>
      <c r="J34" s="381">
        <f>(F34-E34)*$C$22</f>
        <v>55.814400000000795</v>
      </c>
      <c r="K34" s="356">
        <f>J34-(H34-G34)*$C$15-$C$14</f>
        <v>12.725511111111878</v>
      </c>
      <c r="L34" s="356" t="e">
        <f>K34*$G$9/$G$8</f>
        <v>#DIV/0!</v>
      </c>
      <c r="M34" s="356" t="e">
        <f>L34/'0_ENTREE'!F33</f>
        <v>#DIV/0!</v>
      </c>
      <c r="N34" s="356" t="e">
        <f>D34</f>
        <v>#DIV/0!</v>
      </c>
      <c r="O34" s="363" t="e">
        <f>(M34-N34)/N34</f>
        <v>#DIV/0!</v>
      </c>
      <c r="Q34" s="204">
        <f>'1_REFERENCE'!AB48/'0_ENTREE'!F33*$L$16/$G$4</f>
        <v>157.97127627978358</v>
      </c>
      <c r="R34" s="204"/>
      <c r="S34" s="422" t="e">
        <f>(R34-Q34)/R34</f>
        <v>#DIV/0!</v>
      </c>
    </row>
    <row r="35" spans="1:19" hidden="1" x14ac:dyDescent="0.25">
      <c r="A35" s="217">
        <v>2</v>
      </c>
      <c r="B35" s="37" t="str">
        <f>CONCATENATE("Ratio Chauffage - ",'0_ENTREE'!B34)</f>
        <v>Ratio Chauffage - GC - 277 - T2 - 53m²</v>
      </c>
      <c r="C35" s="205" t="e">
        <f t="shared" ref="C35:C46" si="0">M35</f>
        <v>#DIV/0!</v>
      </c>
      <c r="D35" s="205" t="e">
        <f>VLOOKUP(A35,'1_REFERENCE'!$A$47:$N$95,$C$6,FALSE)</f>
        <v>#DIV/0!</v>
      </c>
      <c r="E35" s="88">
        <f>'0_ENTREE'!I34</f>
        <v>523.6</v>
      </c>
      <c r="F35" s="89">
        <f>'0_ENTREE'!J34</f>
        <v>524.79999999999995</v>
      </c>
      <c r="G35" s="90">
        <f>'0_ENTREE'!K34</f>
        <v>9.8000000000000007</v>
      </c>
      <c r="H35" s="91">
        <f>'0_ENTREE'!L34</f>
        <v>10</v>
      </c>
      <c r="I35" s="13"/>
      <c r="J35" s="139">
        <f t="shared" ref="J35:J46" si="1">(F35-E35)*$C$22</f>
        <v>13.953599999999208</v>
      </c>
      <c r="K35" s="357">
        <f>J35-(H35-G35)*$C$15-$C$14</f>
        <v>-2.0686222222229826</v>
      </c>
      <c r="L35" s="357" t="e">
        <f t="shared" ref="L35:L46" si="2">K35*$G$9/$G$8</f>
        <v>#DIV/0!</v>
      </c>
      <c r="M35" s="357" t="e">
        <f>L35/'0_ENTREE'!F34</f>
        <v>#DIV/0!</v>
      </c>
      <c r="N35" s="357" t="e">
        <f t="shared" ref="N35:N46" si="3">D35</f>
        <v>#DIV/0!</v>
      </c>
      <c r="O35" s="364" t="e">
        <f t="shared" ref="O35:O46" si="4">(M35-N35)/N35</f>
        <v>#DIV/0!</v>
      </c>
      <c r="Q35" s="205">
        <f>'1_REFERENCE'!AB49/'0_ENTREE'!F34*$L$16/$G$4</f>
        <v>163.94565726553304</v>
      </c>
      <c r="R35" s="205"/>
      <c r="S35" s="364" t="e">
        <f t="shared" ref="S35:S46" si="5">(R35-Q35)/R35</f>
        <v>#DIV/0!</v>
      </c>
    </row>
    <row r="36" spans="1:19" hidden="1" x14ac:dyDescent="0.25">
      <c r="A36" s="217">
        <v>3</v>
      </c>
      <c r="B36" s="37" t="str">
        <f>CONCATENATE("Ratio Chauffage - ",'0_ENTREE'!B35)</f>
        <v>Ratio Chauffage - GC - 281 - T3 - 71m²</v>
      </c>
      <c r="C36" s="205" t="e">
        <f t="shared" si="0"/>
        <v>#DIV/0!</v>
      </c>
      <c r="D36" s="205" t="e">
        <f>VLOOKUP(A36,'1_REFERENCE'!$A$47:$N$95,$C$6,FALSE)</f>
        <v>#DIV/0!</v>
      </c>
      <c r="E36" s="88">
        <f>'0_ENTREE'!I35</f>
        <v>576.4</v>
      </c>
      <c r="F36" s="89">
        <f>'0_ENTREE'!J35</f>
        <v>579.9</v>
      </c>
      <c r="G36" s="90">
        <f>'0_ENTREE'!K35</f>
        <v>27.8</v>
      </c>
      <c r="H36" s="91">
        <f>'0_ENTREE'!L35</f>
        <v>28.8</v>
      </c>
      <c r="I36" s="13"/>
      <c r="J36" s="139">
        <f t="shared" si="1"/>
        <v>40.698</v>
      </c>
      <c r="K36" s="357">
        <f t="shared" ref="K36:K46" si="6">J36-(H36-G36)*$C$15-$C$14</f>
        <v>-11.413111111111107</v>
      </c>
      <c r="L36" s="357" t="e">
        <f t="shared" si="2"/>
        <v>#DIV/0!</v>
      </c>
      <c r="M36" s="357" t="e">
        <f>L36/'0_ENTREE'!F35</f>
        <v>#DIV/0!</v>
      </c>
      <c r="N36" s="357" t="e">
        <f t="shared" si="3"/>
        <v>#DIV/0!</v>
      </c>
      <c r="O36" s="364" t="e">
        <f t="shared" si="4"/>
        <v>#DIV/0!</v>
      </c>
      <c r="Q36" s="205">
        <f>'1_REFERENCE'!AB50/'0_ENTREE'!F35*$L$16/$G$4</f>
        <v>163.63512489976264</v>
      </c>
      <c r="R36" s="205"/>
      <c r="S36" s="364" t="e">
        <f t="shared" si="5"/>
        <v>#DIV/0!</v>
      </c>
    </row>
    <row r="37" spans="1:19" hidden="1" x14ac:dyDescent="0.25">
      <c r="A37" s="217">
        <v>4</v>
      </c>
      <c r="B37" s="37" t="str">
        <f>CONCATENATE("Ratio Chauffage - ",'0_ENTREE'!B36)</f>
        <v>Ratio Chauffage - GC - 283 - T3 - 70m²</v>
      </c>
      <c r="C37" s="205" t="e">
        <f t="shared" si="0"/>
        <v>#DIV/0!</v>
      </c>
      <c r="D37" s="205" t="e">
        <f>VLOOKUP(A37,'1_REFERENCE'!$A$47:$N$95,$C$6,FALSE)</f>
        <v>#DIV/0!</v>
      </c>
      <c r="E37" s="88">
        <f>'0_ENTREE'!I36</f>
        <v>648.20000000000005</v>
      </c>
      <c r="F37" s="89">
        <f>'0_ENTREE'!J36</f>
        <v>649.9</v>
      </c>
      <c r="G37" s="90">
        <f>'0_ENTREE'!K36</f>
        <v>7.7</v>
      </c>
      <c r="H37" s="91">
        <f>'0_ENTREE'!L36</f>
        <v>7.9</v>
      </c>
      <c r="I37" s="13"/>
      <c r="J37" s="139">
        <f t="shared" si="1"/>
        <v>19.767599999999206</v>
      </c>
      <c r="K37" s="357">
        <f t="shared" si="6"/>
        <v>3.7453777777769766</v>
      </c>
      <c r="L37" s="357" t="e">
        <f t="shared" si="2"/>
        <v>#DIV/0!</v>
      </c>
      <c r="M37" s="357" t="e">
        <f>L37/'0_ENTREE'!F36</f>
        <v>#DIV/0!</v>
      </c>
      <c r="N37" s="357" t="e">
        <f t="shared" si="3"/>
        <v>#DIV/0!</v>
      </c>
      <c r="O37" s="364" t="e">
        <f t="shared" si="4"/>
        <v>#DIV/0!</v>
      </c>
      <c r="Q37" s="205">
        <f>'1_REFERENCE'!AB51/'0_ENTREE'!F36*$L$16/$G$4</f>
        <v>181.67643652952015</v>
      </c>
      <c r="R37" s="205"/>
      <c r="S37" s="364" t="e">
        <f t="shared" si="5"/>
        <v>#DIV/0!</v>
      </c>
    </row>
    <row r="38" spans="1:19" hidden="1" x14ac:dyDescent="0.25">
      <c r="A38" s="217">
        <v>5</v>
      </c>
      <c r="B38" s="37" t="str">
        <f>CONCATENATE("Ratio Chauffage - ",'0_ENTREE'!B37)</f>
        <v>Ratio Chauffage - GC - 285 - T3 - 64m²</v>
      </c>
      <c r="C38" s="205" t="e">
        <f t="shared" si="0"/>
        <v>#DIV/0!</v>
      </c>
      <c r="D38" s="205" t="e">
        <f>VLOOKUP(A38,'1_REFERENCE'!$A$47:$N$95,$C$6,FALSE)</f>
        <v>#DIV/0!</v>
      </c>
      <c r="E38" s="88">
        <f>'0_ENTREE'!I37</f>
        <v>244.4</v>
      </c>
      <c r="F38" s="89">
        <f>'0_ENTREE'!J37</f>
        <v>248.7</v>
      </c>
      <c r="G38" s="90">
        <f>'0_ENTREE'!K37</f>
        <v>999993.5</v>
      </c>
      <c r="H38" s="91">
        <f>'0_ENTREE'!L37</f>
        <v>999993</v>
      </c>
      <c r="I38" s="13"/>
      <c r="J38" s="139">
        <f t="shared" si="1"/>
        <v>50.0003999999998</v>
      </c>
      <c r="K38" s="357">
        <f t="shared" si="6"/>
        <v>65.555955555555357</v>
      </c>
      <c r="L38" s="357" t="e">
        <f t="shared" si="2"/>
        <v>#DIV/0!</v>
      </c>
      <c r="M38" s="357" t="e">
        <f>L38/'0_ENTREE'!F37</f>
        <v>#DIV/0!</v>
      </c>
      <c r="N38" s="357" t="e">
        <f t="shared" si="3"/>
        <v>#DIV/0!</v>
      </c>
      <c r="O38" s="364" t="e">
        <f t="shared" si="4"/>
        <v>#DIV/0!</v>
      </c>
      <c r="Q38" s="205">
        <f>'1_REFERENCE'!AB52/'0_ENTREE'!F37*$L$16/$G$4</f>
        <v>172.18865278752523</v>
      </c>
      <c r="R38" s="205"/>
      <c r="S38" s="364" t="e">
        <f t="shared" si="5"/>
        <v>#DIV/0!</v>
      </c>
    </row>
    <row r="39" spans="1:19" hidden="1" x14ac:dyDescent="0.25">
      <c r="A39" s="217">
        <v>6</v>
      </c>
      <c r="B39" s="37" t="str">
        <f>CONCATENATE("Ratio Chauffage - ",'0_ENTREE'!B38)</f>
        <v>Ratio Chauffage - GC - 286 - T3 - 68m²</v>
      </c>
      <c r="C39" s="205" t="e">
        <f t="shared" si="0"/>
        <v>#DIV/0!</v>
      </c>
      <c r="D39" s="205" t="e">
        <f>VLOOKUP(A39,'1_REFERENCE'!$A$47:$N$95,$C$6,FALSE)</f>
        <v>#DIV/0!</v>
      </c>
      <c r="E39" s="88">
        <f>'0_ENTREE'!I38</f>
        <v>518.70000000000005</v>
      </c>
      <c r="F39" s="89">
        <f>'0_ENTREE'!J38</f>
        <v>524.4</v>
      </c>
      <c r="G39" s="90">
        <f>'0_ENTREE'!K38</f>
        <v>28.2</v>
      </c>
      <c r="H39" s="91">
        <f>'0_ENTREE'!L38</f>
        <v>29.6</v>
      </c>
      <c r="I39" s="13"/>
      <c r="J39" s="139">
        <f t="shared" si="1"/>
        <v>66.279599999999206</v>
      </c>
      <c r="K39" s="357">
        <f t="shared" si="6"/>
        <v>-3.8759555555564376</v>
      </c>
      <c r="L39" s="357" t="e">
        <f t="shared" si="2"/>
        <v>#DIV/0!</v>
      </c>
      <c r="M39" s="357" t="e">
        <f>L39/'0_ENTREE'!F38</f>
        <v>#DIV/0!</v>
      </c>
      <c r="N39" s="357" t="e">
        <f t="shared" si="3"/>
        <v>#DIV/0!</v>
      </c>
      <c r="O39" s="364" t="e">
        <f t="shared" si="4"/>
        <v>#DIV/0!</v>
      </c>
      <c r="Q39" s="205">
        <f>'1_REFERENCE'!AB53/'0_ENTREE'!F38*$L$16/$G$4</f>
        <v>163.09366404689783</v>
      </c>
      <c r="R39" s="205"/>
      <c r="S39" s="364" t="e">
        <f t="shared" si="5"/>
        <v>#DIV/0!</v>
      </c>
    </row>
    <row r="40" spans="1:19" hidden="1" x14ac:dyDescent="0.25">
      <c r="A40" s="217">
        <v>7</v>
      </c>
      <c r="B40" s="37" t="str">
        <f>CONCATENATE("Ratio Chauffage - ",'0_ENTREE'!B39)</f>
        <v>Ratio Chauffage - GC - 289 - T3 - 76m²</v>
      </c>
      <c r="C40" s="205" t="e">
        <f t="shared" si="0"/>
        <v>#DIV/0!</v>
      </c>
      <c r="D40" s="205" t="e">
        <f>VLOOKUP(A40,'1_REFERENCE'!$A$47:$N$95,$C$6,FALSE)</f>
        <v>#DIV/0!</v>
      </c>
      <c r="E40" s="88">
        <f>'0_ENTREE'!I39</f>
        <v>258.3</v>
      </c>
      <c r="F40" s="89">
        <f>'0_ENTREE'!J39</f>
        <v>259.10000000000002</v>
      </c>
      <c r="G40" s="90">
        <f>'0_ENTREE'!K39</f>
        <v>5.0999999999999996</v>
      </c>
      <c r="H40" s="91">
        <f>'0_ENTREE'!L39</f>
        <v>5.2</v>
      </c>
      <c r="I40" s="13"/>
      <c r="J40" s="139">
        <f t="shared" si="1"/>
        <v>9.3024000000001319</v>
      </c>
      <c r="K40" s="357">
        <f t="shared" si="6"/>
        <v>-2.2087111111110032</v>
      </c>
      <c r="L40" s="357" t="e">
        <f t="shared" si="2"/>
        <v>#DIV/0!</v>
      </c>
      <c r="M40" s="357" t="e">
        <f>L40/'0_ENTREE'!F39</f>
        <v>#DIV/0!</v>
      </c>
      <c r="N40" s="357" t="e">
        <f t="shared" si="3"/>
        <v>#DIV/0!</v>
      </c>
      <c r="O40" s="364" t="e">
        <f t="shared" si="4"/>
        <v>#DIV/0!</v>
      </c>
      <c r="Q40" s="205">
        <f>'1_REFERENCE'!AB54/'0_ENTREE'!F39*$L$16/$G$4</f>
        <v>97.493950300349525</v>
      </c>
      <c r="R40" s="205"/>
      <c r="S40" s="364" t="e">
        <f t="shared" si="5"/>
        <v>#DIV/0!</v>
      </c>
    </row>
    <row r="41" spans="1:19" hidden="1" x14ac:dyDescent="0.25">
      <c r="A41" s="217">
        <v>8</v>
      </c>
      <c r="B41" s="37" t="str">
        <f>CONCATENATE("Ratio Chauffage - ",'0_ENTREE'!B40)</f>
        <v>Ratio Chauffage - GC - 303 - T4 - 81m²</v>
      </c>
      <c r="C41" s="205" t="e">
        <f t="shared" si="0"/>
        <v>#DIV/0!</v>
      </c>
      <c r="D41" s="205" t="e">
        <f>VLOOKUP(A41,'1_REFERENCE'!$A$47:$N$95,$C$6,FALSE)</f>
        <v>#DIV/0!</v>
      </c>
      <c r="E41" s="88">
        <f>'0_ENTREE'!I40</f>
        <v>148.1</v>
      </c>
      <c r="F41" s="89">
        <f>'0_ENTREE'!J40</f>
        <v>151.80000000000001</v>
      </c>
      <c r="G41" s="90">
        <f>'0_ENTREE'!K40</f>
        <v>11.1</v>
      </c>
      <c r="H41" s="91">
        <f>'0_ENTREE'!L40</f>
        <v>11.5</v>
      </c>
      <c r="I41" s="13"/>
      <c r="J41" s="139">
        <f t="shared" si="1"/>
        <v>43.023600000000201</v>
      </c>
      <c r="K41" s="357">
        <f t="shared" si="6"/>
        <v>17.979155555555742</v>
      </c>
      <c r="L41" s="357" t="e">
        <f t="shared" si="2"/>
        <v>#DIV/0!</v>
      </c>
      <c r="M41" s="357" t="e">
        <f>L41/'0_ENTREE'!F40</f>
        <v>#DIV/0!</v>
      </c>
      <c r="N41" s="357" t="e">
        <f t="shared" si="3"/>
        <v>#DIV/0!</v>
      </c>
      <c r="O41" s="364" t="e">
        <f t="shared" si="4"/>
        <v>#DIV/0!</v>
      </c>
      <c r="Q41" s="205">
        <f>'1_REFERENCE'!AB55/'0_ENTREE'!F40*$L$16/$G$4</f>
        <v>61.050949888391763</v>
      </c>
      <c r="R41" s="205"/>
      <c r="S41" s="364" t="e">
        <f t="shared" si="5"/>
        <v>#DIV/0!</v>
      </c>
    </row>
    <row r="42" spans="1:19" hidden="1" x14ac:dyDescent="0.25">
      <c r="A42" s="217">
        <v>9</v>
      </c>
      <c r="B42" s="37" t="str">
        <f>CONCATENATE("Ratio Chauffage - ",'0_ENTREE'!B41)</f>
        <v>Ratio Chauffage - GC - 304 - T3 - 66m²</v>
      </c>
      <c r="C42" s="205" t="e">
        <f t="shared" si="0"/>
        <v>#DIV/0!</v>
      </c>
      <c r="D42" s="205" t="e">
        <f>VLOOKUP(A42,'1_REFERENCE'!$A$47:$N$95,$C$6,FALSE)</f>
        <v>#DIV/0!</v>
      </c>
      <c r="E42" s="88">
        <f>'0_ENTREE'!I41</f>
        <v>617.6</v>
      </c>
      <c r="F42" s="89">
        <f>'0_ENTREE'!J41</f>
        <v>621.29999999999995</v>
      </c>
      <c r="G42" s="90">
        <f>'0_ENTREE'!K41</f>
        <v>34.9</v>
      </c>
      <c r="H42" s="91">
        <f>'0_ENTREE'!L41</f>
        <v>35.6</v>
      </c>
      <c r="I42" s="13"/>
      <c r="J42" s="139">
        <f t="shared" si="1"/>
        <v>43.023599999999206</v>
      </c>
      <c r="K42" s="357">
        <f t="shared" si="6"/>
        <v>4.4458222222213024</v>
      </c>
      <c r="L42" s="357" t="e">
        <f t="shared" si="2"/>
        <v>#DIV/0!</v>
      </c>
      <c r="M42" s="357" t="e">
        <f>L42/'0_ENTREE'!F41</f>
        <v>#DIV/0!</v>
      </c>
      <c r="N42" s="357" t="e">
        <f t="shared" si="3"/>
        <v>#DIV/0!</v>
      </c>
      <c r="O42" s="364" t="e">
        <f t="shared" si="4"/>
        <v>#DIV/0!</v>
      </c>
      <c r="Q42" s="205">
        <f>'1_REFERENCE'!AB56/'0_ENTREE'!F41*$L$16/$G$4</f>
        <v>252.11558828924385</v>
      </c>
      <c r="R42" s="205"/>
      <c r="S42" s="364" t="e">
        <f t="shared" si="5"/>
        <v>#DIV/0!</v>
      </c>
    </row>
    <row r="43" spans="1:19" hidden="1" x14ac:dyDescent="0.25">
      <c r="A43" s="217">
        <v>10</v>
      </c>
      <c r="B43" s="37" t="str">
        <f>CONCATENATE("Ratio Chauffage - ",'0_ENTREE'!B42)</f>
        <v>Ratio Chauffage - GC - 306 - T3 - 66m²</v>
      </c>
      <c r="C43" s="205" t="e">
        <f t="shared" si="0"/>
        <v>#DIV/0!</v>
      </c>
      <c r="D43" s="205" t="e">
        <f>VLOOKUP(A43,'1_REFERENCE'!$A$47:$N$95,$C$6,FALSE)</f>
        <v>#DIV/0!</v>
      </c>
      <c r="E43" s="88">
        <f>'0_ENTREE'!I42</f>
        <v>578.6</v>
      </c>
      <c r="F43" s="89">
        <f>'0_ENTREE'!J42</f>
        <v>581.1</v>
      </c>
      <c r="G43" s="90">
        <f>'0_ENTREE'!K42</f>
        <v>9</v>
      </c>
      <c r="H43" s="91">
        <f>'0_ENTREE'!L42</f>
        <v>9.3000000000000007</v>
      </c>
      <c r="I43" s="13"/>
      <c r="J43" s="139">
        <f t="shared" si="1"/>
        <v>29.07</v>
      </c>
      <c r="K43" s="357">
        <f t="shared" si="6"/>
        <v>8.5366666666666369</v>
      </c>
      <c r="L43" s="357" t="e">
        <f t="shared" si="2"/>
        <v>#DIV/0!</v>
      </c>
      <c r="M43" s="357" t="e">
        <f>L43/'0_ENTREE'!F42</f>
        <v>#DIV/0!</v>
      </c>
      <c r="N43" s="357" t="e">
        <f t="shared" si="3"/>
        <v>#DIV/0!</v>
      </c>
      <c r="O43" s="364" t="e">
        <f t="shared" si="4"/>
        <v>#DIV/0!</v>
      </c>
      <c r="Q43" s="205">
        <f>'1_REFERENCE'!AB57/'0_ENTREE'!F42*$L$16/$G$4</f>
        <v>186.08053736771168</v>
      </c>
      <c r="R43" s="205"/>
      <c r="S43" s="364" t="e">
        <f t="shared" si="5"/>
        <v>#DIV/0!</v>
      </c>
    </row>
    <row r="44" spans="1:19" hidden="1" x14ac:dyDescent="0.25">
      <c r="A44" s="217">
        <v>11</v>
      </c>
      <c r="B44" s="37" t="str">
        <f>CONCATENATE("Ratio Chauffage - ",'0_ENTREE'!B43)</f>
        <v>Ratio Chauffage - GC - 307 - T3 - 66m²</v>
      </c>
      <c r="C44" s="205" t="e">
        <f t="shared" si="0"/>
        <v>#DIV/0!</v>
      </c>
      <c r="D44" s="205" t="e">
        <f>VLOOKUP(A44,'1_REFERENCE'!$A$47:$N$95,$C$6,FALSE)</f>
        <v>#DIV/0!</v>
      </c>
      <c r="E44" s="88">
        <f>'0_ENTREE'!I43</f>
        <v>571.4</v>
      </c>
      <c r="F44" s="89">
        <f>'0_ENTREE'!J43</f>
        <v>578.79999999999995</v>
      </c>
      <c r="G44" s="90">
        <f>'0_ENTREE'!K43</f>
        <v>0</v>
      </c>
      <c r="H44" s="91">
        <f>'0_ENTREE'!L43</f>
        <v>0</v>
      </c>
      <c r="I44" s="13"/>
      <c r="J44" s="139">
        <f t="shared" si="1"/>
        <v>86.047199999999734</v>
      </c>
      <c r="K44" s="357">
        <f t="shared" si="6"/>
        <v>79.047199999999734</v>
      </c>
      <c r="L44" s="357" t="e">
        <f t="shared" si="2"/>
        <v>#DIV/0!</v>
      </c>
      <c r="M44" s="357" t="e">
        <f>L44/'0_ENTREE'!F43</f>
        <v>#DIV/0!</v>
      </c>
      <c r="N44" s="357" t="e">
        <f t="shared" si="3"/>
        <v>#DIV/0!</v>
      </c>
      <c r="O44" s="364" t="e">
        <f t="shared" si="4"/>
        <v>#DIV/0!</v>
      </c>
      <c r="Q44" s="205">
        <f>'1_REFERENCE'!AB58/'0_ENTREE'!F43*$L$16/$G$4</f>
        <v>160.11724712694095</v>
      </c>
      <c r="R44" s="205"/>
      <c r="S44" s="364" t="e">
        <f t="shared" si="5"/>
        <v>#DIV/0!</v>
      </c>
    </row>
    <row r="45" spans="1:19" hidden="1" x14ac:dyDescent="0.25">
      <c r="A45" s="217">
        <v>12</v>
      </c>
      <c r="B45" s="37" t="str">
        <f>CONCATENATE("Ratio Chauffage - ",'0_ENTREE'!B44)</f>
        <v>Ratio Chauffage - GC - 308 - T3 - 66m²</v>
      </c>
      <c r="C45" s="205" t="e">
        <f t="shared" si="0"/>
        <v>#DIV/0!</v>
      </c>
      <c r="D45" s="205" t="e">
        <f>VLOOKUP(A45,'1_REFERENCE'!$A$47:$N$95,$C$6,FALSE)</f>
        <v>#DIV/0!</v>
      </c>
      <c r="E45" s="88">
        <f>'0_ENTREE'!I44</f>
        <v>606.5</v>
      </c>
      <c r="F45" s="89">
        <f>'0_ENTREE'!J44</f>
        <v>608.9</v>
      </c>
      <c r="G45" s="90">
        <f>'0_ENTREE'!K44</f>
        <v>12.7</v>
      </c>
      <c r="H45" s="91">
        <f>'0_ENTREE'!L44</f>
        <v>13.2</v>
      </c>
      <c r="I45" s="13"/>
      <c r="J45" s="139">
        <f t="shared" si="1"/>
        <v>27.907199999999737</v>
      </c>
      <c r="K45" s="357">
        <f t="shared" si="6"/>
        <v>-1.6483555555558169</v>
      </c>
      <c r="L45" s="357" t="e">
        <f t="shared" si="2"/>
        <v>#DIV/0!</v>
      </c>
      <c r="M45" s="357" t="e">
        <f>L45/'0_ENTREE'!F44</f>
        <v>#DIV/0!</v>
      </c>
      <c r="N45" s="357" t="e">
        <f t="shared" si="3"/>
        <v>#DIV/0!</v>
      </c>
      <c r="O45" s="364" t="e">
        <f t="shared" si="4"/>
        <v>#DIV/0!</v>
      </c>
      <c r="Q45" s="205">
        <f>'1_REFERENCE'!AB59/'0_ENTREE'!F44*$L$16/$G$4</f>
        <v>97.138516935297346</v>
      </c>
      <c r="R45" s="205"/>
      <c r="S45" s="364" t="e">
        <f t="shared" si="5"/>
        <v>#DIV/0!</v>
      </c>
    </row>
    <row r="46" spans="1:19" hidden="1" x14ac:dyDescent="0.25">
      <c r="A46" s="217">
        <v>13</v>
      </c>
      <c r="B46" s="37" t="str">
        <f>CONCATENATE("Ratio Chauffage - ",'0_ENTREE'!B45)</f>
        <v>Ratio Chauffage - GC - 314 - T4 - 75m²</v>
      </c>
      <c r="C46" s="205" t="e">
        <f t="shared" si="0"/>
        <v>#DIV/0!</v>
      </c>
      <c r="D46" s="205" t="e">
        <f>VLOOKUP(A46,'1_REFERENCE'!$A$47:$N$95,$C$6,FALSE)</f>
        <v>#DIV/0!</v>
      </c>
      <c r="E46" s="88">
        <f>'0_ENTREE'!I45</f>
        <v>718.1</v>
      </c>
      <c r="F46" s="89">
        <f>'0_ENTREE'!J45</f>
        <v>728.9</v>
      </c>
      <c r="G46" s="90">
        <f>'0_ENTREE'!K45</f>
        <v>40.4</v>
      </c>
      <c r="H46" s="91">
        <f>'0_ENTREE'!L45</f>
        <v>42.6</v>
      </c>
      <c r="I46" s="13"/>
      <c r="J46" s="139">
        <f t="shared" si="1"/>
        <v>125.58239999999947</v>
      </c>
      <c r="K46" s="357">
        <f t="shared" si="6"/>
        <v>19.337955555554899</v>
      </c>
      <c r="L46" s="357" t="e">
        <f t="shared" si="2"/>
        <v>#DIV/0!</v>
      </c>
      <c r="M46" s="357" t="e">
        <f>L46/'0_ENTREE'!F45</f>
        <v>#DIV/0!</v>
      </c>
      <c r="N46" s="357" t="e">
        <f t="shared" si="3"/>
        <v>#DIV/0!</v>
      </c>
      <c r="O46" s="364" t="e">
        <f t="shared" si="4"/>
        <v>#DIV/0!</v>
      </c>
      <c r="Q46" s="205">
        <f>'1_REFERENCE'!AB60/'0_ENTREE'!F45*$L$16/$G$4</f>
        <v>410.06315641722955</v>
      </c>
      <c r="R46" s="205"/>
      <c r="S46" s="364" t="e">
        <f t="shared" si="5"/>
        <v>#DIV/0!</v>
      </c>
    </row>
    <row r="47" spans="1:19" s="46" customFormat="1" ht="13.5" hidden="1" thickBot="1" x14ac:dyDescent="0.3">
      <c r="A47" s="217">
        <v>14</v>
      </c>
      <c r="B47" s="73" t="str">
        <f>CONCATENATE("Ratio Chauffage - ",'0_ENTREE'!B46)</f>
        <v>Ratio Chauffage - MOYENNE GC</v>
      </c>
      <c r="C47" s="206" t="e">
        <f>AVERAGE(C34:C46)</f>
        <v>#DIV/0!</v>
      </c>
      <c r="D47" s="206" t="e">
        <f t="shared" ref="D47" si="7">AVERAGE(D34:D46)</f>
        <v>#DIV/0!</v>
      </c>
      <c r="E47" s="208"/>
      <c r="F47" s="209"/>
      <c r="G47" s="210"/>
      <c r="H47" s="211"/>
      <c r="I47" s="28"/>
      <c r="J47" s="208"/>
      <c r="K47" s="209"/>
      <c r="L47" s="209"/>
      <c r="M47" s="209"/>
      <c r="N47" s="209"/>
      <c r="O47" s="211"/>
      <c r="Q47" s="206"/>
      <c r="R47" s="206"/>
      <c r="S47" s="423"/>
    </row>
    <row r="48" spans="1:19" hidden="1" x14ac:dyDescent="0.25">
      <c r="A48" s="217">
        <v>15</v>
      </c>
      <c r="B48" s="47" t="str">
        <f>CONCATENATE("Ratio Chauffage - ",'0_ENTREE'!B47)</f>
        <v>Ratio Chauffage - GE2.1 - 275 - T3 - 74m²</v>
      </c>
      <c r="C48" s="204" t="e">
        <f>M48</f>
        <v>#DIV/0!</v>
      </c>
      <c r="D48" s="207" t="e">
        <f>VLOOKUP(A48,'1_REFERENCE'!$A$47:$N$95,$C$6,FALSE)</f>
        <v>#DIV/0!</v>
      </c>
      <c r="E48" s="92">
        <f>'0_ENTREE'!I47</f>
        <v>91.5</v>
      </c>
      <c r="F48" s="93">
        <f>'0_ENTREE'!J47</f>
        <v>96</v>
      </c>
      <c r="G48" s="94">
        <f>'0_ENTREE'!K47</f>
        <v>18.5</v>
      </c>
      <c r="H48" s="95">
        <f>'0_ENTREE'!L47</f>
        <v>19.5</v>
      </c>
      <c r="I48" s="13"/>
      <c r="J48" s="381">
        <f>(F48-E48)*$C$22</f>
        <v>52.326000000000001</v>
      </c>
      <c r="K48" s="356">
        <f>J48-(H48-G48)*$C$15-$C$14</f>
        <v>0.21488888888889335</v>
      </c>
      <c r="L48" s="356" t="e">
        <f t="shared" ref="L48:L60" si="8">K48*$G$9/$G$8</f>
        <v>#DIV/0!</v>
      </c>
      <c r="M48" s="356" t="e">
        <f>L48/'0_ENTREE'!F47</f>
        <v>#DIV/0!</v>
      </c>
      <c r="N48" s="356" t="e">
        <f>D48</f>
        <v>#DIV/0!</v>
      </c>
      <c r="O48" s="363" t="e">
        <f>(M48-N48)/N48</f>
        <v>#DIV/0!</v>
      </c>
      <c r="Q48" s="207">
        <f>'1_REFERENCE'!AB62/'0_ENTREE'!F47*$L$16/$G$4</f>
        <v>68.615777107048274</v>
      </c>
      <c r="R48" s="207"/>
      <c r="S48" s="422" t="e">
        <f t="shared" ref="S48:S60" si="9">(R48-Q48)/R48</f>
        <v>#DIV/0!</v>
      </c>
    </row>
    <row r="49" spans="1:19" hidden="1" x14ac:dyDescent="0.25">
      <c r="A49" s="217">
        <v>16</v>
      </c>
      <c r="B49" s="37" t="str">
        <f>CONCATENATE("Ratio Chauffage - ",'0_ENTREE'!B48)</f>
        <v>Ratio Chauffage - GE2.1 - 278 - T2 - 57m²</v>
      </c>
      <c r="C49" s="205" t="e">
        <f t="shared" ref="C49:C60" si="10">M49</f>
        <v>#DIV/0!</v>
      </c>
      <c r="D49" s="205" t="e">
        <f>VLOOKUP(A49,'1_REFERENCE'!$A$47:$N$95,$C$6,FALSE)</f>
        <v>#DIV/0!</v>
      </c>
      <c r="E49" s="88">
        <f>'0_ENTREE'!I48</f>
        <v>452.3</v>
      </c>
      <c r="F49" s="89">
        <f>'0_ENTREE'!J48</f>
        <v>453.9</v>
      </c>
      <c r="G49" s="90">
        <f>'0_ENTREE'!K48</f>
        <v>2.6</v>
      </c>
      <c r="H49" s="91">
        <f>'0_ENTREE'!L48</f>
        <v>2.7</v>
      </c>
      <c r="I49" s="13"/>
      <c r="J49" s="139">
        <f t="shared" ref="J49:J60" si="11">(F49-E49)*$C$22</f>
        <v>18.604799999999603</v>
      </c>
      <c r="K49" s="357">
        <f>J49-(H49-G49)*$C$15-$C$14</f>
        <v>7.0936888888884884</v>
      </c>
      <c r="L49" s="357" t="e">
        <f t="shared" si="8"/>
        <v>#DIV/0!</v>
      </c>
      <c r="M49" s="357" t="e">
        <f>L49/'0_ENTREE'!F48</f>
        <v>#DIV/0!</v>
      </c>
      <c r="N49" s="357" t="e">
        <f t="shared" ref="N49:N60" si="12">D49</f>
        <v>#DIV/0!</v>
      </c>
      <c r="O49" s="364" t="e">
        <f t="shared" ref="O49:O60" si="13">(M49-N49)/N49</f>
        <v>#DIV/0!</v>
      </c>
      <c r="Q49" s="205">
        <f>'1_REFERENCE'!AB63/'0_ENTREE'!F48*$L$16/$G$4</f>
        <v>169.0449208379313</v>
      </c>
      <c r="R49" s="205"/>
      <c r="S49" s="364" t="e">
        <f t="shared" si="9"/>
        <v>#DIV/0!</v>
      </c>
    </row>
    <row r="50" spans="1:19" hidden="1" x14ac:dyDescent="0.25">
      <c r="A50" s="217">
        <v>17</v>
      </c>
      <c r="B50" s="37" t="str">
        <f>CONCATENATE("Ratio Chauffage - ",'0_ENTREE'!B49)</f>
        <v>Ratio Chauffage - GE2.1 - 280 - T3 - 66m²</v>
      </c>
      <c r="C50" s="205" t="e">
        <f t="shared" si="10"/>
        <v>#DIV/0!</v>
      </c>
      <c r="D50" s="205" t="e">
        <f>VLOOKUP(A50,'1_REFERENCE'!$A$47:$N$95,$C$6,FALSE)</f>
        <v>#DIV/0!</v>
      </c>
      <c r="E50" s="88">
        <f>'0_ENTREE'!I49</f>
        <v>0.2</v>
      </c>
      <c r="F50" s="89">
        <f>'0_ENTREE'!J49</f>
        <v>0.5</v>
      </c>
      <c r="G50" s="90">
        <f>'0_ENTREE'!K49</f>
        <v>0.3</v>
      </c>
      <c r="H50" s="91">
        <f>'0_ENTREE'!L49</f>
        <v>0.4</v>
      </c>
      <c r="I50" s="13"/>
      <c r="J50" s="139">
        <f t="shared" si="11"/>
        <v>3.4883999999999999</v>
      </c>
      <c r="K50" s="357">
        <f t="shared" ref="K50:K60" si="14">J50-(H50-G50)*$C$15-$C$14</f>
        <v>-8.0227111111111125</v>
      </c>
      <c r="L50" s="357" t="e">
        <f t="shared" si="8"/>
        <v>#DIV/0!</v>
      </c>
      <c r="M50" s="357" t="e">
        <f>L50/'0_ENTREE'!F49</f>
        <v>#DIV/0!</v>
      </c>
      <c r="N50" s="357" t="e">
        <f t="shared" si="12"/>
        <v>#DIV/0!</v>
      </c>
      <c r="O50" s="364" t="e">
        <f t="shared" si="13"/>
        <v>#DIV/0!</v>
      </c>
      <c r="Q50" s="205">
        <f>'1_REFERENCE'!AB64/'0_ENTREE'!F49*$L$16/$G$4</f>
        <v>216.30415347438768</v>
      </c>
      <c r="R50" s="205"/>
      <c r="S50" s="364" t="e">
        <f t="shared" si="9"/>
        <v>#DIV/0!</v>
      </c>
    </row>
    <row r="51" spans="1:19" hidden="1" x14ac:dyDescent="0.25">
      <c r="A51" s="217">
        <v>18</v>
      </c>
      <c r="B51" s="37" t="str">
        <f>CONCATENATE("Ratio Chauffage - ",'0_ENTREE'!B50)</f>
        <v>Ratio Chauffage - GE2.1 - 282 - T4 - 78m²</v>
      </c>
      <c r="C51" s="205" t="e">
        <f t="shared" si="10"/>
        <v>#DIV/0!</v>
      </c>
      <c r="D51" s="205" t="e">
        <f>VLOOKUP(A51,'1_REFERENCE'!$A$47:$N$95,$C$6,FALSE)</f>
        <v>#DIV/0!</v>
      </c>
      <c r="E51" s="88">
        <f>'0_ENTREE'!I50</f>
        <v>178.1</v>
      </c>
      <c r="F51" s="89">
        <f>'0_ENTREE'!J50</f>
        <v>181.3</v>
      </c>
      <c r="G51" s="90">
        <f>'0_ENTREE'!K50</f>
        <v>6.4</v>
      </c>
      <c r="H51" s="91">
        <f>'0_ENTREE'!L50</f>
        <v>6.7</v>
      </c>
      <c r="I51" s="13"/>
      <c r="J51" s="139">
        <f t="shared" si="11"/>
        <v>37.209600000000201</v>
      </c>
      <c r="K51" s="357">
        <f t="shared" si="14"/>
        <v>16.676266666666876</v>
      </c>
      <c r="L51" s="357" t="e">
        <f t="shared" si="8"/>
        <v>#DIV/0!</v>
      </c>
      <c r="M51" s="357" t="e">
        <f>L51/'0_ENTREE'!F50</f>
        <v>#DIV/0!</v>
      </c>
      <c r="N51" s="357" t="e">
        <f t="shared" si="12"/>
        <v>#DIV/0!</v>
      </c>
      <c r="O51" s="364" t="e">
        <f t="shared" si="13"/>
        <v>#DIV/0!</v>
      </c>
      <c r="Q51" s="205">
        <f>'1_REFERENCE'!AB65/'0_ENTREE'!F50*$L$16/$G$4</f>
        <v>36.035849973344483</v>
      </c>
      <c r="R51" s="205"/>
      <c r="S51" s="364" t="e">
        <f t="shared" si="9"/>
        <v>#DIV/0!</v>
      </c>
    </row>
    <row r="52" spans="1:19" hidden="1" x14ac:dyDescent="0.25">
      <c r="A52" s="217">
        <v>19</v>
      </c>
      <c r="B52" s="37" t="str">
        <f>CONCATENATE("Ratio Chauffage - ",'0_ENTREE'!B51)</f>
        <v>Ratio Chauffage - GE2.1 - 292 - T3 - 63m²</v>
      </c>
      <c r="C52" s="205" t="e">
        <f t="shared" si="10"/>
        <v>#DIV/0!</v>
      </c>
      <c r="D52" s="205" t="e">
        <f>VLOOKUP(A52,'1_REFERENCE'!$A$47:$N$95,$C$6,FALSE)</f>
        <v>#DIV/0!</v>
      </c>
      <c r="E52" s="88">
        <f>'0_ENTREE'!I51</f>
        <v>387.9</v>
      </c>
      <c r="F52" s="89">
        <f>'0_ENTREE'!J51</f>
        <v>390.4</v>
      </c>
      <c r="G52" s="90">
        <f>'0_ENTREE'!K51</f>
        <v>9.1</v>
      </c>
      <c r="H52" s="91">
        <f>'0_ENTREE'!L51</f>
        <v>9.5</v>
      </c>
      <c r="I52" s="13"/>
      <c r="J52" s="139">
        <f t="shared" si="11"/>
        <v>29.07</v>
      </c>
      <c r="K52" s="357">
        <f t="shared" si="14"/>
        <v>4.0255555555555418</v>
      </c>
      <c r="L52" s="357" t="e">
        <f t="shared" si="8"/>
        <v>#DIV/0!</v>
      </c>
      <c r="M52" s="357" t="e">
        <f>L52/'0_ENTREE'!F51</f>
        <v>#DIV/0!</v>
      </c>
      <c r="N52" s="357" t="e">
        <f t="shared" si="12"/>
        <v>#DIV/0!</v>
      </c>
      <c r="O52" s="364" t="e">
        <f t="shared" si="13"/>
        <v>#DIV/0!</v>
      </c>
      <c r="Q52" s="205">
        <f>'1_REFERENCE'!AB66/'0_ENTREE'!F51*$L$16/$G$4</f>
        <v>196.75266836272186</v>
      </c>
      <c r="R52" s="205"/>
      <c r="S52" s="364" t="e">
        <f t="shared" si="9"/>
        <v>#DIV/0!</v>
      </c>
    </row>
    <row r="53" spans="1:19" hidden="1" x14ac:dyDescent="0.25">
      <c r="A53" s="217">
        <v>20</v>
      </c>
      <c r="B53" s="37" t="str">
        <f>CONCATENATE("Ratio Chauffage - ",'0_ENTREE'!B52)</f>
        <v>Ratio Chauffage - GE2.1 - 293 - T3 - 63m²</v>
      </c>
      <c r="C53" s="205" t="e">
        <f t="shared" si="10"/>
        <v>#DIV/0!</v>
      </c>
      <c r="D53" s="205" t="e">
        <f>VLOOKUP(A53,'1_REFERENCE'!$A$47:$N$95,$C$6,FALSE)</f>
        <v>#DIV/0!</v>
      </c>
      <c r="E53" s="88">
        <f>'0_ENTREE'!I52</f>
        <v>145.4</v>
      </c>
      <c r="F53" s="89">
        <f>'0_ENTREE'!J52</f>
        <v>149.9</v>
      </c>
      <c r="G53" s="90">
        <f>'0_ENTREE'!K52</f>
        <v>18.2</v>
      </c>
      <c r="H53" s="91">
        <f>'0_ENTREE'!L52</f>
        <v>19</v>
      </c>
      <c r="I53" s="13"/>
      <c r="J53" s="139">
        <f t="shared" si="11"/>
        <v>52.326000000000001</v>
      </c>
      <c r="K53" s="357">
        <f t="shared" si="14"/>
        <v>9.2371111111110835</v>
      </c>
      <c r="L53" s="357" t="e">
        <f t="shared" si="8"/>
        <v>#DIV/0!</v>
      </c>
      <c r="M53" s="357" t="e">
        <f>L53/'0_ENTREE'!F52</f>
        <v>#DIV/0!</v>
      </c>
      <c r="N53" s="357" t="e">
        <f t="shared" si="12"/>
        <v>#DIV/0!</v>
      </c>
      <c r="O53" s="364" t="e">
        <f t="shared" si="13"/>
        <v>#DIV/0!</v>
      </c>
      <c r="Q53" s="205">
        <f>'1_REFERENCE'!AB67/'0_ENTREE'!F52*$L$16/$G$4</f>
        <v>99.160628125274144</v>
      </c>
      <c r="R53" s="205"/>
      <c r="S53" s="364" t="e">
        <f t="shared" si="9"/>
        <v>#DIV/0!</v>
      </c>
    </row>
    <row r="54" spans="1:19" hidden="1" x14ac:dyDescent="0.25">
      <c r="A54" s="217">
        <v>21</v>
      </c>
      <c r="B54" s="37" t="str">
        <f>CONCATENATE("Ratio Chauffage - ",'0_ENTREE'!B53)</f>
        <v>Ratio Chauffage - GE2.1 - 295 - T3 - 63m²</v>
      </c>
      <c r="C54" s="205" t="e">
        <f t="shared" si="10"/>
        <v>#DIV/0!</v>
      </c>
      <c r="D54" s="205" t="e">
        <f>VLOOKUP(A54,'1_REFERENCE'!$A$47:$N$95,$C$6,FALSE)</f>
        <v>#DIV/0!</v>
      </c>
      <c r="E54" s="88">
        <f>'0_ENTREE'!I53</f>
        <v>680.6</v>
      </c>
      <c r="F54" s="89">
        <f>'0_ENTREE'!J53</f>
        <v>690.6</v>
      </c>
      <c r="G54" s="90">
        <f>'0_ENTREE'!K53</f>
        <v>38.299999999999997</v>
      </c>
      <c r="H54" s="91">
        <f>'0_ENTREE'!L53</f>
        <v>39.9</v>
      </c>
      <c r="I54" s="13"/>
      <c r="J54" s="139">
        <f t="shared" si="11"/>
        <v>116.28</v>
      </c>
      <c r="K54" s="357">
        <f t="shared" si="14"/>
        <v>37.102222222222167</v>
      </c>
      <c r="L54" s="357" t="e">
        <f t="shared" si="8"/>
        <v>#DIV/0!</v>
      </c>
      <c r="M54" s="357" t="e">
        <f>L54/'0_ENTREE'!F53</f>
        <v>#DIV/0!</v>
      </c>
      <c r="N54" s="357" t="e">
        <f t="shared" si="12"/>
        <v>#DIV/0!</v>
      </c>
      <c r="O54" s="364" t="e">
        <f t="shared" si="13"/>
        <v>#DIV/0!</v>
      </c>
      <c r="Q54" s="205">
        <f>'1_REFERENCE'!AB68/'0_ENTREE'!F53*$L$16/$G$4</f>
        <v>242.14469105477087</v>
      </c>
      <c r="R54" s="205"/>
      <c r="S54" s="364" t="e">
        <f t="shared" si="9"/>
        <v>#DIV/0!</v>
      </c>
    </row>
    <row r="55" spans="1:19" hidden="1" x14ac:dyDescent="0.25">
      <c r="A55" s="217">
        <v>22</v>
      </c>
      <c r="B55" s="37" t="str">
        <f>CONCATENATE("Ratio Chauffage - ",'0_ENTREE'!B54)</f>
        <v>Ratio Chauffage - GE2.1 - 296 - T4 - 78m²</v>
      </c>
      <c r="C55" s="205" t="e">
        <f t="shared" si="10"/>
        <v>#DIV/0!</v>
      </c>
      <c r="D55" s="205" t="e">
        <f>VLOOKUP(A55,'1_REFERENCE'!$A$47:$N$95,$C$6,FALSE)</f>
        <v>#DIV/0!</v>
      </c>
      <c r="E55" s="88">
        <f>'0_ENTREE'!I54</f>
        <v>338.6</v>
      </c>
      <c r="F55" s="89">
        <f>'0_ENTREE'!J54</f>
        <v>340.6</v>
      </c>
      <c r="G55" s="90">
        <f>'0_ENTREE'!K54</f>
        <v>10.7</v>
      </c>
      <c r="H55" s="91">
        <f>'0_ENTREE'!L54</f>
        <v>11.2</v>
      </c>
      <c r="I55" s="13"/>
      <c r="J55" s="139">
        <f t="shared" si="11"/>
        <v>23.256</v>
      </c>
      <c r="K55" s="357">
        <f t="shared" si="14"/>
        <v>-6.2995555555555534</v>
      </c>
      <c r="L55" s="357" t="e">
        <f t="shared" si="8"/>
        <v>#DIV/0!</v>
      </c>
      <c r="M55" s="357" t="e">
        <f>L55/'0_ENTREE'!F54</f>
        <v>#DIV/0!</v>
      </c>
      <c r="N55" s="357" t="e">
        <f t="shared" si="12"/>
        <v>#DIV/0!</v>
      </c>
      <c r="O55" s="364" t="e">
        <f t="shared" si="13"/>
        <v>#DIV/0!</v>
      </c>
      <c r="Q55" s="205">
        <f>'1_REFERENCE'!AB69/'0_ENTREE'!F54*$L$16/$G$4</f>
        <v>169.63886170851694</v>
      </c>
      <c r="R55" s="205"/>
      <c r="S55" s="364" t="e">
        <f t="shared" si="9"/>
        <v>#DIV/0!</v>
      </c>
    </row>
    <row r="56" spans="1:19" hidden="1" x14ac:dyDescent="0.25">
      <c r="A56" s="217">
        <v>23</v>
      </c>
      <c r="B56" s="37" t="str">
        <f>CONCATENATE("Ratio Chauffage - ",'0_ENTREE'!B55)</f>
        <v>Ratio Chauffage - GE2.1 - 297 - T4 - 79m²</v>
      </c>
      <c r="C56" s="205" t="e">
        <f t="shared" si="10"/>
        <v>#DIV/0!</v>
      </c>
      <c r="D56" s="205" t="e">
        <f>VLOOKUP(A56,'1_REFERENCE'!$A$47:$N$95,$C$6,FALSE)</f>
        <v>#DIV/0!</v>
      </c>
      <c r="E56" s="88">
        <f>'0_ENTREE'!I55</f>
        <v>1114.5</v>
      </c>
      <c r="F56" s="89">
        <f>'0_ENTREE'!J55</f>
        <v>1146.4000000000001</v>
      </c>
      <c r="G56" s="90">
        <f>'0_ENTREE'!K55</f>
        <v>53.3</v>
      </c>
      <c r="H56" s="91">
        <f>'0_ENTREE'!L55</f>
        <v>54.9</v>
      </c>
      <c r="I56" s="13"/>
      <c r="J56" s="139">
        <f t="shared" si="11"/>
        <v>370.93320000000108</v>
      </c>
      <c r="K56" s="357">
        <f t="shared" si="14"/>
        <v>291.75542222222327</v>
      </c>
      <c r="L56" s="357" t="e">
        <f t="shared" si="8"/>
        <v>#DIV/0!</v>
      </c>
      <c r="M56" s="357" t="e">
        <f>L56/'0_ENTREE'!F55</f>
        <v>#DIV/0!</v>
      </c>
      <c r="N56" s="357" t="e">
        <f t="shared" si="12"/>
        <v>#DIV/0!</v>
      </c>
      <c r="O56" s="364" t="e">
        <f t="shared" si="13"/>
        <v>#DIV/0!</v>
      </c>
      <c r="Q56" s="205">
        <f>'1_REFERENCE'!AB70/'0_ENTREE'!F55*$L$16/$G$4</f>
        <v>291.00815861040439</v>
      </c>
      <c r="R56" s="205"/>
      <c r="S56" s="364" t="e">
        <f t="shared" si="9"/>
        <v>#DIV/0!</v>
      </c>
    </row>
    <row r="57" spans="1:19" hidden="1" x14ac:dyDescent="0.25">
      <c r="A57" s="217">
        <v>24</v>
      </c>
      <c r="B57" s="37" t="str">
        <f>CONCATENATE("Ratio Chauffage - ",'0_ENTREE'!B56)</f>
        <v>Ratio Chauffage - GE2.1 - 299 - T4 - 79m²</v>
      </c>
      <c r="C57" s="205" t="e">
        <f t="shared" si="10"/>
        <v>#DIV/0!</v>
      </c>
      <c r="D57" s="205" t="e">
        <f>VLOOKUP(A57,'1_REFERENCE'!$A$47:$N$95,$C$6,FALSE)</f>
        <v>#DIV/0!</v>
      </c>
      <c r="E57" s="88">
        <f>'0_ENTREE'!I56</f>
        <v>109.9</v>
      </c>
      <c r="F57" s="89">
        <f>'0_ENTREE'!J56</f>
        <v>111.6</v>
      </c>
      <c r="G57" s="90">
        <f>'0_ENTREE'!K56</f>
        <v>14.1</v>
      </c>
      <c r="H57" s="91">
        <f>'0_ENTREE'!L56</f>
        <v>14.3</v>
      </c>
      <c r="I57" s="13"/>
      <c r="J57" s="139">
        <f t="shared" si="11"/>
        <v>19.767599999999867</v>
      </c>
      <c r="K57" s="357">
        <f t="shared" si="14"/>
        <v>3.7453777777775965</v>
      </c>
      <c r="L57" s="357" t="e">
        <f t="shared" si="8"/>
        <v>#DIV/0!</v>
      </c>
      <c r="M57" s="357" t="e">
        <f>L57/'0_ENTREE'!F56</f>
        <v>#DIV/0!</v>
      </c>
      <c r="N57" s="357" t="e">
        <f t="shared" si="12"/>
        <v>#DIV/0!</v>
      </c>
      <c r="O57" s="364" t="e">
        <f t="shared" si="13"/>
        <v>#DIV/0!</v>
      </c>
      <c r="Q57" s="205">
        <f>'1_REFERENCE'!AB71/'0_ENTREE'!F56*$L$16/$G$4</f>
        <v>47.856566365470655</v>
      </c>
      <c r="R57" s="205"/>
      <c r="S57" s="364" t="e">
        <f t="shared" si="9"/>
        <v>#DIV/0!</v>
      </c>
    </row>
    <row r="58" spans="1:19" hidden="1" x14ac:dyDescent="0.25">
      <c r="A58" s="217">
        <v>25</v>
      </c>
      <c r="B58" s="37" t="str">
        <f>CONCATENATE("Ratio Chauffage - ",'0_ENTREE'!B57)</f>
        <v>Ratio Chauffage - GE2.1 - 300 - T5 - 93m²</v>
      </c>
      <c r="C58" s="205" t="e">
        <f t="shared" si="10"/>
        <v>#DIV/0!</v>
      </c>
      <c r="D58" s="205" t="e">
        <f>VLOOKUP(A58,'1_REFERENCE'!$A$47:$N$95,$C$6,FALSE)</f>
        <v>#DIV/0!</v>
      </c>
      <c r="E58" s="88">
        <f>'0_ENTREE'!I57</f>
        <v>354.6</v>
      </c>
      <c r="F58" s="89">
        <f>'0_ENTREE'!J57</f>
        <v>359.1</v>
      </c>
      <c r="G58" s="90">
        <f>'0_ENTREE'!K57</f>
        <v>26.3</v>
      </c>
      <c r="H58" s="91">
        <f>'0_ENTREE'!L57</f>
        <v>27.3</v>
      </c>
      <c r="I58" s="13"/>
      <c r="J58" s="139">
        <f t="shared" si="11"/>
        <v>52.326000000000001</v>
      </c>
      <c r="K58" s="357">
        <f t="shared" si="14"/>
        <v>0.21488888888889335</v>
      </c>
      <c r="L58" s="357" t="e">
        <f t="shared" si="8"/>
        <v>#DIV/0!</v>
      </c>
      <c r="M58" s="357" t="e">
        <f>L58/'0_ENTREE'!F57</f>
        <v>#DIV/0!</v>
      </c>
      <c r="N58" s="357" t="e">
        <f t="shared" si="12"/>
        <v>#DIV/0!</v>
      </c>
      <c r="O58" s="364" t="e">
        <f t="shared" si="13"/>
        <v>#DIV/0!</v>
      </c>
      <c r="Q58" s="205">
        <f>'1_REFERENCE'!AB72/'0_ENTREE'!F57*$L$16/$G$4</f>
        <v>48.484858603895638</v>
      </c>
      <c r="R58" s="205"/>
      <c r="S58" s="364" t="e">
        <f t="shared" si="9"/>
        <v>#DIV/0!</v>
      </c>
    </row>
    <row r="59" spans="1:19" hidden="1" x14ac:dyDescent="0.25">
      <c r="A59" s="217">
        <v>26</v>
      </c>
      <c r="B59" s="37" t="str">
        <f>CONCATENATE("Ratio Chauffage - ",'0_ENTREE'!B58)</f>
        <v>Ratio Chauffage - GE2.1 - 302 - T5 - 93m²</v>
      </c>
      <c r="C59" s="205" t="e">
        <f t="shared" si="10"/>
        <v>#DIV/0!</v>
      </c>
      <c r="D59" s="205" t="e">
        <f>VLOOKUP(A59,'1_REFERENCE'!$A$47:$N$95,$C$6,FALSE)</f>
        <v>#DIV/0!</v>
      </c>
      <c r="E59" s="88">
        <f>'0_ENTREE'!I58</f>
        <v>791.9</v>
      </c>
      <c r="F59" s="89">
        <f>'0_ENTREE'!J58</f>
        <v>796.2</v>
      </c>
      <c r="G59" s="90">
        <f>'0_ENTREE'!K58</f>
        <v>17</v>
      </c>
      <c r="H59" s="91">
        <f>'0_ENTREE'!L58</f>
        <v>17.600000000000001</v>
      </c>
      <c r="I59" s="13"/>
      <c r="J59" s="139">
        <f t="shared" si="11"/>
        <v>50.000400000000795</v>
      </c>
      <c r="K59" s="357">
        <f t="shared" si="14"/>
        <v>15.933733333334068</v>
      </c>
      <c r="L59" s="357" t="e">
        <f t="shared" si="8"/>
        <v>#DIV/0!</v>
      </c>
      <c r="M59" s="357" t="e">
        <f>L59/'0_ENTREE'!F58</f>
        <v>#DIV/0!</v>
      </c>
      <c r="N59" s="357" t="e">
        <f t="shared" si="12"/>
        <v>#DIV/0!</v>
      </c>
      <c r="O59" s="364" t="e">
        <f t="shared" si="13"/>
        <v>#DIV/0!</v>
      </c>
      <c r="Q59" s="205">
        <f>'1_REFERENCE'!AB73/'0_ENTREE'!F58*$L$16/$G$4</f>
        <v>162.23695343960563</v>
      </c>
      <c r="R59" s="205"/>
      <c r="S59" s="364" t="e">
        <f t="shared" si="9"/>
        <v>#DIV/0!</v>
      </c>
    </row>
    <row r="60" spans="1:19" hidden="1" x14ac:dyDescent="0.25">
      <c r="A60" s="217">
        <v>27</v>
      </c>
      <c r="B60" s="37" t="str">
        <f>CONCATENATE("Ratio Chauffage - ",'0_ENTREE'!B59)</f>
        <v>Ratio Chauffage - GE2.1 - 312 - T4 - 75m²</v>
      </c>
      <c r="C60" s="205" t="e">
        <f t="shared" si="10"/>
        <v>#DIV/0!</v>
      </c>
      <c r="D60" s="205" t="e">
        <f>VLOOKUP(A60,'1_REFERENCE'!$A$47:$N$95,$C$6,FALSE)</f>
        <v>#DIV/0!</v>
      </c>
      <c r="E60" s="88">
        <f>'0_ENTREE'!I59</f>
        <v>128.19999999999999</v>
      </c>
      <c r="F60" s="89">
        <f>'0_ENTREE'!J59</f>
        <v>130</v>
      </c>
      <c r="G60" s="90">
        <f>'0_ENTREE'!K59</f>
        <v>25.1</v>
      </c>
      <c r="H60" s="91">
        <f>'0_ENTREE'!L59</f>
        <v>25.6</v>
      </c>
      <c r="I60" s="13"/>
      <c r="J60" s="139">
        <f t="shared" si="11"/>
        <v>20.930400000000134</v>
      </c>
      <c r="K60" s="357">
        <f t="shared" si="14"/>
        <v>-8.6251555555554198</v>
      </c>
      <c r="L60" s="357" t="e">
        <f t="shared" si="8"/>
        <v>#DIV/0!</v>
      </c>
      <c r="M60" s="357" t="e">
        <f>L60/'0_ENTREE'!F59</f>
        <v>#DIV/0!</v>
      </c>
      <c r="N60" s="357" t="e">
        <f t="shared" si="12"/>
        <v>#DIV/0!</v>
      </c>
      <c r="O60" s="364" t="e">
        <f t="shared" si="13"/>
        <v>#DIV/0!</v>
      </c>
      <c r="Q60" s="205">
        <f>'1_REFERENCE'!AB74/'0_ENTREE'!F59*$L$16/$G$4</f>
        <v>44.717368190192119</v>
      </c>
      <c r="R60" s="205"/>
      <c r="S60" s="364" t="e">
        <f t="shared" si="9"/>
        <v>#DIV/0!</v>
      </c>
    </row>
    <row r="61" spans="1:19" s="46" customFormat="1" ht="13.5" hidden="1" thickBot="1" x14ac:dyDescent="0.3">
      <c r="A61" s="217">
        <v>28</v>
      </c>
      <c r="B61" s="73" t="str">
        <f>CONCATENATE("Ratio Chauffage - ",'0_ENTREE'!B60)</f>
        <v>Ratio Chauffage - MOYENNE GE2.1</v>
      </c>
      <c r="C61" s="206" t="e">
        <f>AVERAGE(C48:C60)</f>
        <v>#DIV/0!</v>
      </c>
      <c r="D61" s="206" t="e">
        <f t="shared" ref="D61" si="15">AVERAGE(D48:D60)</f>
        <v>#DIV/0!</v>
      </c>
      <c r="E61" s="208"/>
      <c r="F61" s="209"/>
      <c r="G61" s="210"/>
      <c r="H61" s="211"/>
      <c r="I61" s="28"/>
      <c r="J61" s="208"/>
      <c r="K61" s="209"/>
      <c r="L61" s="209"/>
      <c r="M61" s="209"/>
      <c r="N61" s="209"/>
      <c r="O61" s="211"/>
      <c r="Q61" s="206"/>
      <c r="R61" s="206"/>
      <c r="S61" s="423"/>
    </row>
    <row r="62" spans="1:19" x14ac:dyDescent="0.25">
      <c r="A62" s="217">
        <v>29</v>
      </c>
      <c r="B62" s="47" t="str">
        <f>CONCATENATE("Ratio Chauffage - ",'0_ENTREE'!B61)</f>
        <v>Ratio Chauffage - GE2.2 - 271 - T3 - 74m²</v>
      </c>
      <c r="C62" s="204" t="e">
        <f>M62</f>
        <v>#DIV/0!</v>
      </c>
      <c r="D62" s="207" t="e">
        <f>VLOOKUP(A62,'1_REFERENCE'!$A$47:$N$95,$C$6,FALSE)</f>
        <v>#DIV/0!</v>
      </c>
      <c r="E62" s="92">
        <f>'0_ENTREE'!I61</f>
        <v>280.8</v>
      </c>
      <c r="F62" s="93">
        <f>'0_ENTREE'!J61</f>
        <v>285.5</v>
      </c>
      <c r="G62" s="94">
        <f>'0_ENTREE'!K61</f>
        <v>26.7</v>
      </c>
      <c r="H62" s="95">
        <f>'0_ENTREE'!L61</f>
        <v>27.9</v>
      </c>
      <c r="I62" s="13"/>
      <c r="J62" s="381">
        <f>(F62-E62)*$C$22</f>
        <v>54.651599999999867</v>
      </c>
      <c r="K62" s="356">
        <f>J62-(H62-G62)*$C$15-$C$14</f>
        <v>-6.4817333333334304</v>
      </c>
      <c r="L62" s="356" t="e">
        <f t="shared" ref="L62:L74" si="16">K62*$G$9/$G$8</f>
        <v>#DIV/0!</v>
      </c>
      <c r="M62" s="356" t="e">
        <f>L62/'0_ENTREE'!F61</f>
        <v>#DIV/0!</v>
      </c>
      <c r="N62" s="356" t="e">
        <f>D62</f>
        <v>#DIV/0!</v>
      </c>
      <c r="O62" s="363" t="e">
        <f>(M62-N62)/N62</f>
        <v>#DIV/0!</v>
      </c>
      <c r="Q62" s="207">
        <f>'1_REFERENCE'!AB76/'0_ENTREE'!F61*$L$16/$G$4</f>
        <v>99.550699089298945</v>
      </c>
      <c r="R62" s="207"/>
      <c r="S62" s="422" t="e">
        <f t="shared" ref="S62:S74" si="17">(R62-Q62)/R62</f>
        <v>#DIV/0!</v>
      </c>
    </row>
    <row r="63" spans="1:19" x14ac:dyDescent="0.25">
      <c r="A63" s="217">
        <v>30</v>
      </c>
      <c r="B63" s="37" t="str">
        <f>CONCATENATE("Ratio Chauffage - ",'0_ENTREE'!B62)</f>
        <v>Ratio Chauffage - GE2.2 - 272 - T3 - 74m²</v>
      </c>
      <c r="C63" s="205" t="e">
        <f t="shared" ref="C63:C74" si="18">M63</f>
        <v>#DIV/0!</v>
      </c>
      <c r="D63" s="205" t="e">
        <f>VLOOKUP(A63,'1_REFERENCE'!$A$47:$N$95,$C$6,FALSE)</f>
        <v>#DIV/0!</v>
      </c>
      <c r="E63" s="88">
        <f>'0_ENTREE'!I62</f>
        <v>304.5</v>
      </c>
      <c r="F63" s="89">
        <f>'0_ENTREE'!J62</f>
        <v>305.10000000000002</v>
      </c>
      <c r="G63" s="90">
        <f>'0_ENTREE'!K62</f>
        <v>3.9</v>
      </c>
      <c r="H63" s="91">
        <f>'0_ENTREE'!L62</f>
        <v>4</v>
      </c>
      <c r="I63" s="13"/>
      <c r="J63" s="139">
        <f t="shared" ref="J63:J74" si="19">(F63-E63)*$C$22</f>
        <v>6.9768000000002646</v>
      </c>
      <c r="K63" s="357">
        <f>J63-(H63-G63)*$C$15-$C$14</f>
        <v>-4.5343111111108501</v>
      </c>
      <c r="L63" s="357" t="e">
        <f t="shared" si="16"/>
        <v>#DIV/0!</v>
      </c>
      <c r="M63" s="357" t="e">
        <f>L63/'0_ENTREE'!F62</f>
        <v>#DIV/0!</v>
      </c>
      <c r="N63" s="357" t="e">
        <f t="shared" ref="N63:N74" si="20">D63</f>
        <v>#DIV/0!</v>
      </c>
      <c r="O63" s="364" t="e">
        <f t="shared" ref="O63:O74" si="21">(M63-N63)/N63</f>
        <v>#DIV/0!</v>
      </c>
      <c r="Q63" s="205">
        <f>'1_REFERENCE'!AB77/'0_ENTREE'!F62*$L$16/$G$4</f>
        <v>102.13893466235777</v>
      </c>
      <c r="R63" s="205"/>
      <c r="S63" s="364" t="e">
        <f t="shared" si="17"/>
        <v>#DIV/0!</v>
      </c>
    </row>
    <row r="64" spans="1:19" x14ac:dyDescent="0.25">
      <c r="A64" s="217">
        <v>31</v>
      </c>
      <c r="B64" s="37" t="str">
        <f>CONCATENATE("Ratio Chauffage - ",'0_ENTREE'!B63)</f>
        <v>Ratio Chauffage - GE2.2 - 273 - T3 - 74m²</v>
      </c>
      <c r="C64" s="205" t="e">
        <f t="shared" si="18"/>
        <v>#DIV/0!</v>
      </c>
      <c r="D64" s="205" t="e">
        <f>VLOOKUP(A64,'1_REFERENCE'!$A$47:$N$95,$C$6,FALSE)</f>
        <v>#DIV/0!</v>
      </c>
      <c r="E64" s="88">
        <f>'0_ENTREE'!I63</f>
        <v>697.1</v>
      </c>
      <c r="F64" s="89">
        <f>'0_ENTREE'!J63</f>
        <v>701.4</v>
      </c>
      <c r="G64" s="90">
        <f>'0_ENTREE'!K63</f>
        <v>18.8</v>
      </c>
      <c r="H64" s="91">
        <f>'0_ENTREE'!L63</f>
        <v>19.7</v>
      </c>
      <c r="I64" s="13"/>
      <c r="J64" s="139">
        <f t="shared" si="19"/>
        <v>50.000399999999473</v>
      </c>
      <c r="K64" s="357">
        <f t="shared" ref="K64:K74" si="22">J64-(H64-G64)*$C$15-$C$14</f>
        <v>2.4003999999995429</v>
      </c>
      <c r="L64" s="357" t="e">
        <f t="shared" si="16"/>
        <v>#DIV/0!</v>
      </c>
      <c r="M64" s="357" t="e">
        <f>L64/'0_ENTREE'!F63</f>
        <v>#DIV/0!</v>
      </c>
      <c r="N64" s="357" t="e">
        <f t="shared" si="20"/>
        <v>#DIV/0!</v>
      </c>
      <c r="O64" s="364" t="e">
        <f t="shared" si="21"/>
        <v>#DIV/0!</v>
      </c>
      <c r="Q64" s="205">
        <f>'1_REFERENCE'!AB78/'0_ENTREE'!F63*$L$16/$G$4</f>
        <v>303.29164720470976</v>
      </c>
      <c r="R64" s="205"/>
      <c r="S64" s="364" t="e">
        <f t="shared" si="17"/>
        <v>#DIV/0!</v>
      </c>
    </row>
    <row r="65" spans="1:19" x14ac:dyDescent="0.25">
      <c r="A65" s="217">
        <v>32</v>
      </c>
      <c r="B65" s="37" t="str">
        <f>CONCATENATE("Ratio Chauffage - ",'0_ENTREE'!B64)</f>
        <v>Ratio Chauffage - GE2.2 - 276 - T4 - 83m²</v>
      </c>
      <c r="C65" s="205" t="e">
        <f t="shared" si="18"/>
        <v>#DIV/0!</v>
      </c>
      <c r="D65" s="205" t="e">
        <f>VLOOKUP(A65,'1_REFERENCE'!$A$47:$N$95,$C$6,FALSE)</f>
        <v>#DIV/0!</v>
      </c>
      <c r="E65" s="88">
        <f>'0_ENTREE'!I64</f>
        <v>279.3</v>
      </c>
      <c r="F65" s="89">
        <f>'0_ENTREE'!J64</f>
        <v>282.60000000000002</v>
      </c>
      <c r="G65" s="90">
        <f>'0_ENTREE'!K64</f>
        <v>18.7</v>
      </c>
      <c r="H65" s="91">
        <f>'0_ENTREE'!L64</f>
        <v>19.399999999999999</v>
      </c>
      <c r="I65" s="13"/>
      <c r="J65" s="139">
        <f t="shared" si="19"/>
        <v>38.372400000000134</v>
      </c>
      <c r="K65" s="357">
        <f t="shared" si="22"/>
        <v>-0.20537777777760979</v>
      </c>
      <c r="L65" s="357" t="e">
        <f t="shared" si="16"/>
        <v>#DIV/0!</v>
      </c>
      <c r="M65" s="357" t="e">
        <f>L65/'0_ENTREE'!F64</f>
        <v>#DIV/0!</v>
      </c>
      <c r="N65" s="357" t="e">
        <f t="shared" si="20"/>
        <v>#DIV/0!</v>
      </c>
      <c r="O65" s="364" t="e">
        <f t="shared" si="21"/>
        <v>#DIV/0!</v>
      </c>
      <c r="Q65" s="205">
        <f>'1_REFERENCE'!AB79/'0_ENTREE'!F64*$L$16/$G$4</f>
        <v>123.54163914188203</v>
      </c>
      <c r="R65" s="205"/>
      <c r="S65" s="364" t="e">
        <f t="shared" si="17"/>
        <v>#DIV/0!</v>
      </c>
    </row>
    <row r="66" spans="1:19" x14ac:dyDescent="0.25">
      <c r="A66" s="217">
        <v>33</v>
      </c>
      <c r="B66" s="37" t="str">
        <f>CONCATENATE("Ratio Chauffage - ",'0_ENTREE'!B65)</f>
        <v>Ratio Chauffage - GE2.2 - 279 - T3 - 70m²</v>
      </c>
      <c r="C66" s="205" t="e">
        <f t="shared" si="18"/>
        <v>#DIV/0!</v>
      </c>
      <c r="D66" s="205" t="e">
        <f>VLOOKUP(A66,'1_REFERENCE'!$A$47:$N$95,$C$6,FALSE)</f>
        <v>#DIV/0!</v>
      </c>
      <c r="E66" s="88">
        <f>'0_ENTREE'!I65</f>
        <v>479.6</v>
      </c>
      <c r="F66" s="89">
        <f>'0_ENTREE'!J65</f>
        <v>483.4</v>
      </c>
      <c r="G66" s="90">
        <f>'0_ENTREE'!K65</f>
        <v>15.3</v>
      </c>
      <c r="H66" s="91">
        <f>'0_ENTREE'!L65</f>
        <v>16.2</v>
      </c>
      <c r="I66" s="13"/>
      <c r="J66" s="139">
        <f t="shared" si="19"/>
        <v>44.186399999999473</v>
      </c>
      <c r="K66" s="357">
        <f t="shared" si="22"/>
        <v>-3.4136000000004572</v>
      </c>
      <c r="L66" s="357" t="e">
        <f t="shared" si="16"/>
        <v>#DIV/0!</v>
      </c>
      <c r="M66" s="357" t="e">
        <f>L66/'0_ENTREE'!F65</f>
        <v>#DIV/0!</v>
      </c>
      <c r="N66" s="357" t="e">
        <f t="shared" si="20"/>
        <v>#DIV/0!</v>
      </c>
      <c r="O66" s="364" t="e">
        <f t="shared" si="21"/>
        <v>#DIV/0!</v>
      </c>
      <c r="Q66" s="205">
        <f>'1_REFERENCE'!AB80/'0_ENTREE'!F65*$L$16/$G$4</f>
        <v>117.81388718308622</v>
      </c>
      <c r="R66" s="205"/>
      <c r="S66" s="364" t="e">
        <f t="shared" si="17"/>
        <v>#DIV/0!</v>
      </c>
    </row>
    <row r="67" spans="1:19" x14ac:dyDescent="0.25">
      <c r="A67" s="217">
        <v>34</v>
      </c>
      <c r="B67" s="37" t="str">
        <f>CONCATENATE("Ratio Chauffage - ",'0_ENTREE'!B66)</f>
        <v>Ratio Chauffage - GE2.2 - 288 - T3 - 68m²</v>
      </c>
      <c r="C67" s="205" t="e">
        <f t="shared" si="18"/>
        <v>#DIV/0!</v>
      </c>
      <c r="D67" s="205" t="e">
        <f>VLOOKUP(A67,'1_REFERENCE'!$A$47:$N$95,$C$6,FALSE)</f>
        <v>#DIV/0!</v>
      </c>
      <c r="E67" s="88">
        <f>'0_ENTREE'!I66</f>
        <v>79.2</v>
      </c>
      <c r="F67" s="89">
        <f>'0_ENTREE'!J66</f>
        <v>81</v>
      </c>
      <c r="G67" s="90">
        <f>'0_ENTREE'!K66</f>
        <v>3.7</v>
      </c>
      <c r="H67" s="91">
        <f>'0_ENTREE'!L66</f>
        <v>3.8</v>
      </c>
      <c r="I67" s="13"/>
      <c r="J67" s="139">
        <f t="shared" si="19"/>
        <v>20.930399999999967</v>
      </c>
      <c r="K67" s="357">
        <f t="shared" si="22"/>
        <v>9.4192888888888717</v>
      </c>
      <c r="L67" s="357" t="e">
        <f t="shared" si="16"/>
        <v>#DIV/0!</v>
      </c>
      <c r="M67" s="357" t="e">
        <f>L67/'0_ENTREE'!F66</f>
        <v>#DIV/0!</v>
      </c>
      <c r="N67" s="357" t="e">
        <f t="shared" si="20"/>
        <v>#DIV/0!</v>
      </c>
      <c r="O67" s="364" t="e">
        <f t="shared" si="21"/>
        <v>#DIV/0!</v>
      </c>
      <c r="Q67" s="205">
        <f>'1_REFERENCE'!AB81/'0_ENTREE'!F66*$L$16/$G$4</f>
        <v>81.486904166000116</v>
      </c>
      <c r="R67" s="205"/>
      <c r="S67" s="364" t="e">
        <f t="shared" si="17"/>
        <v>#DIV/0!</v>
      </c>
    </row>
    <row r="68" spans="1:19" x14ac:dyDescent="0.25">
      <c r="A68" s="217">
        <v>35</v>
      </c>
      <c r="B68" s="37" t="str">
        <f>CONCATENATE("Ratio Chauffage - ",'0_ENTREE'!B67)</f>
        <v>Ratio Chauffage - GE2.2 - 291 - T3 - 62m²</v>
      </c>
      <c r="C68" s="205" t="e">
        <f t="shared" si="18"/>
        <v>#DIV/0!</v>
      </c>
      <c r="D68" s="205" t="e">
        <f>VLOOKUP(A68,'1_REFERENCE'!$A$47:$N$95,$C$6,FALSE)</f>
        <v>#DIV/0!</v>
      </c>
      <c r="E68" s="88">
        <f>'0_ENTREE'!I67</f>
        <v>304.3</v>
      </c>
      <c r="F68" s="89">
        <f>'0_ENTREE'!J67</f>
        <v>304.60000000000002</v>
      </c>
      <c r="G68" s="90">
        <f>'0_ENTREE'!K67</f>
        <v>0</v>
      </c>
      <c r="H68" s="91">
        <f>'0_ENTREE'!L67</f>
        <v>0</v>
      </c>
      <c r="I68" s="13"/>
      <c r="J68" s="139">
        <f t="shared" si="19"/>
        <v>3.4884000000001323</v>
      </c>
      <c r="K68" s="357">
        <f t="shared" si="22"/>
        <v>-3.5115999999998677</v>
      </c>
      <c r="L68" s="357" t="e">
        <f t="shared" si="16"/>
        <v>#DIV/0!</v>
      </c>
      <c r="M68" s="357" t="e">
        <f>L68/'0_ENTREE'!F67</f>
        <v>#DIV/0!</v>
      </c>
      <c r="N68" s="357" t="e">
        <f t="shared" si="20"/>
        <v>#DIV/0!</v>
      </c>
      <c r="O68" s="364" t="e">
        <f t="shared" si="21"/>
        <v>#DIV/0!</v>
      </c>
      <c r="Q68" s="205">
        <f>'1_REFERENCE'!AB82/'0_ENTREE'!F67*$L$16/$G$4</f>
        <v>190.97075012239327</v>
      </c>
      <c r="R68" s="205"/>
      <c r="S68" s="364" t="e">
        <f t="shared" si="17"/>
        <v>#DIV/0!</v>
      </c>
    </row>
    <row r="69" spans="1:19" x14ac:dyDescent="0.25">
      <c r="A69" s="217">
        <v>36</v>
      </c>
      <c r="B69" s="37" t="str">
        <f>CONCATENATE("Ratio Chauffage - ",'0_ENTREE'!B68)</f>
        <v>Ratio Chauffage - GE2.2 - 294 - T3 - 63m²</v>
      </c>
      <c r="C69" s="205" t="e">
        <f t="shared" si="18"/>
        <v>#DIV/0!</v>
      </c>
      <c r="D69" s="205" t="e">
        <f>VLOOKUP(A69,'1_REFERENCE'!$A$47:$N$95,$C$6,FALSE)</f>
        <v>#DIV/0!</v>
      </c>
      <c r="E69" s="88">
        <f>'0_ENTREE'!I68</f>
        <v>699.6</v>
      </c>
      <c r="F69" s="89">
        <f>'0_ENTREE'!J68</f>
        <v>699.6</v>
      </c>
      <c r="G69" s="90">
        <f>'0_ENTREE'!K68</f>
        <v>8.1999999999999993</v>
      </c>
      <c r="H69" s="91">
        <f>'0_ENTREE'!L68</f>
        <v>8.6</v>
      </c>
      <c r="I69" s="13"/>
      <c r="J69" s="139">
        <f t="shared" si="19"/>
        <v>0</v>
      </c>
      <c r="K69" s="357">
        <f t="shared" si="22"/>
        <v>-25.044444444444458</v>
      </c>
      <c r="L69" s="357" t="e">
        <f t="shared" si="16"/>
        <v>#DIV/0!</v>
      </c>
      <c r="M69" s="357" t="e">
        <f>L69/'0_ENTREE'!F68</f>
        <v>#DIV/0!</v>
      </c>
      <c r="N69" s="357" t="e">
        <f t="shared" si="20"/>
        <v>#DIV/0!</v>
      </c>
      <c r="O69" s="364" t="e">
        <f t="shared" si="21"/>
        <v>#DIV/0!</v>
      </c>
      <c r="Q69" s="205">
        <f>'1_REFERENCE'!AB83/'0_ENTREE'!F68*$L$16/$G$4</f>
        <v>156.05023832499927</v>
      </c>
      <c r="R69" s="205"/>
      <c r="S69" s="364" t="e">
        <f t="shared" si="17"/>
        <v>#DIV/0!</v>
      </c>
    </row>
    <row r="70" spans="1:19" x14ac:dyDescent="0.25">
      <c r="A70" s="217">
        <v>37</v>
      </c>
      <c r="B70" s="37" t="str">
        <f>CONCATENATE("Ratio Chauffage - ",'0_ENTREE'!B69)</f>
        <v>Ratio Chauffage - GE2.2 - 298 - T5 - 93m²</v>
      </c>
      <c r="C70" s="205" t="e">
        <f t="shared" si="18"/>
        <v>#DIV/0!</v>
      </c>
      <c r="D70" s="205" t="e">
        <f>VLOOKUP(A70,'1_REFERENCE'!$A$47:$N$95,$C$6,FALSE)</f>
        <v>#DIV/0!</v>
      </c>
      <c r="E70" s="88">
        <f>'0_ENTREE'!I69</f>
        <v>589.4</v>
      </c>
      <c r="F70" s="89">
        <f>'0_ENTREE'!J69</f>
        <v>602.29999999999995</v>
      </c>
      <c r="G70" s="90">
        <f>'0_ENTREE'!K69</f>
        <v>38.200000000000003</v>
      </c>
      <c r="H70" s="91">
        <f>'0_ENTREE'!L69</f>
        <v>39.5</v>
      </c>
      <c r="I70" s="13"/>
      <c r="J70" s="139">
        <f t="shared" si="19"/>
        <v>150.00119999999973</v>
      </c>
      <c r="K70" s="357">
        <f t="shared" si="22"/>
        <v>84.356755555555424</v>
      </c>
      <c r="L70" s="357" t="e">
        <f t="shared" si="16"/>
        <v>#DIV/0!</v>
      </c>
      <c r="M70" s="357" t="e">
        <f>L70/'0_ENTREE'!F69</f>
        <v>#DIV/0!</v>
      </c>
      <c r="N70" s="357" t="e">
        <f t="shared" si="20"/>
        <v>#DIV/0!</v>
      </c>
      <c r="O70" s="364" t="e">
        <f t="shared" si="21"/>
        <v>#DIV/0!</v>
      </c>
      <c r="Q70" s="205">
        <f>'1_REFERENCE'!AB84/'0_ENTREE'!F69*$L$16/$G$4</f>
        <v>103.59722273317693</v>
      </c>
      <c r="R70" s="205"/>
      <c r="S70" s="364" t="e">
        <f t="shared" si="17"/>
        <v>#DIV/0!</v>
      </c>
    </row>
    <row r="71" spans="1:19" x14ac:dyDescent="0.25">
      <c r="A71" s="217">
        <v>38</v>
      </c>
      <c r="B71" s="37" t="str">
        <f>CONCATENATE("Ratio Chauffage - ",'0_ENTREE'!B70)</f>
        <v>Ratio Chauffage - GE2.2 - 301 - T4 - 79m²</v>
      </c>
      <c r="C71" s="205" t="e">
        <f t="shared" si="18"/>
        <v>#DIV/0!</v>
      </c>
      <c r="D71" s="205" t="e">
        <f>VLOOKUP(A71,'1_REFERENCE'!$A$47:$N$95,$C$6,FALSE)</f>
        <v>#DIV/0!</v>
      </c>
      <c r="E71" s="88">
        <f>'0_ENTREE'!I70</f>
        <v>603.4</v>
      </c>
      <c r="F71" s="89">
        <f>'0_ENTREE'!J70</f>
        <v>605</v>
      </c>
      <c r="G71" s="90">
        <f>'0_ENTREE'!K70</f>
        <v>16.100000000000001</v>
      </c>
      <c r="H71" s="91">
        <f>'0_ENTREE'!L70</f>
        <v>16.600000000000001</v>
      </c>
      <c r="I71" s="13"/>
      <c r="J71" s="139">
        <f t="shared" si="19"/>
        <v>18.604800000000264</v>
      </c>
      <c r="K71" s="357">
        <f t="shared" si="22"/>
        <v>-10.95075555555529</v>
      </c>
      <c r="L71" s="357" t="e">
        <f t="shared" si="16"/>
        <v>#DIV/0!</v>
      </c>
      <c r="M71" s="357" t="e">
        <f>L71/'0_ENTREE'!F70</f>
        <v>#DIV/0!</v>
      </c>
      <c r="N71" s="357" t="e">
        <f t="shared" si="20"/>
        <v>#DIV/0!</v>
      </c>
      <c r="O71" s="364" t="e">
        <f t="shared" si="21"/>
        <v>#DIV/0!</v>
      </c>
      <c r="Q71" s="205">
        <f>'1_REFERENCE'!AB85/'0_ENTREE'!F70*$L$16/$G$4</f>
        <v>0</v>
      </c>
      <c r="R71" s="205"/>
      <c r="S71" s="364" t="e">
        <f t="shared" si="17"/>
        <v>#DIV/0!</v>
      </c>
    </row>
    <row r="72" spans="1:19" x14ac:dyDescent="0.25">
      <c r="A72" s="217">
        <v>39</v>
      </c>
      <c r="B72" s="37" t="str">
        <f>CONCATENATE("Ratio Chauffage - ",'0_ENTREE'!B71)</f>
        <v>Ratio Chauffage - GE2.2 - 311 - T4 - 74m²</v>
      </c>
      <c r="C72" s="205" t="e">
        <f t="shared" si="18"/>
        <v>#DIV/0!</v>
      </c>
      <c r="D72" s="205" t="e">
        <f>VLOOKUP(A72,'1_REFERENCE'!$A$47:$N$95,$C$6,FALSE)</f>
        <v>#DIV/0!</v>
      </c>
      <c r="E72" s="88">
        <f>'0_ENTREE'!I71</f>
        <v>405.5</v>
      </c>
      <c r="F72" s="89">
        <f>'0_ENTREE'!J71</f>
        <v>412</v>
      </c>
      <c r="G72" s="90">
        <f>'0_ENTREE'!K71</f>
        <v>20.5</v>
      </c>
      <c r="H72" s="91">
        <f>'0_ENTREE'!L71</f>
        <v>21.3</v>
      </c>
      <c r="I72" s="13"/>
      <c r="J72" s="139">
        <f t="shared" si="19"/>
        <v>75.581999999999994</v>
      </c>
      <c r="K72" s="357">
        <f t="shared" si="22"/>
        <v>32.493111111111077</v>
      </c>
      <c r="L72" s="357" t="e">
        <f t="shared" si="16"/>
        <v>#DIV/0!</v>
      </c>
      <c r="M72" s="357" t="e">
        <f>L72/'0_ENTREE'!F71</f>
        <v>#DIV/0!</v>
      </c>
      <c r="N72" s="357" t="e">
        <f t="shared" si="20"/>
        <v>#DIV/0!</v>
      </c>
      <c r="O72" s="364" t="e">
        <f t="shared" si="21"/>
        <v>#DIV/0!</v>
      </c>
      <c r="Q72" s="205">
        <f>'1_REFERENCE'!AB86/'0_ENTREE'!F71*$L$16/$G$4</f>
        <v>108.41678264807486</v>
      </c>
      <c r="R72" s="205"/>
      <c r="S72" s="364" t="e">
        <f t="shared" si="17"/>
        <v>#DIV/0!</v>
      </c>
    </row>
    <row r="73" spans="1:19" x14ac:dyDescent="0.25">
      <c r="A73" s="217">
        <v>40</v>
      </c>
      <c r="B73" s="37" t="str">
        <f>CONCATENATE("Ratio Chauffage - ",'0_ENTREE'!B72)</f>
        <v>Ratio Chauffage - GE2.2 - 313 - T4 - 75m²</v>
      </c>
      <c r="C73" s="205" t="e">
        <f t="shared" si="18"/>
        <v>#DIV/0!</v>
      </c>
      <c r="D73" s="205" t="e">
        <f>VLOOKUP(A73,'1_REFERENCE'!$A$47:$N$95,$C$6,FALSE)</f>
        <v>#DIV/0!</v>
      </c>
      <c r="E73" s="88">
        <f>'0_ENTREE'!I72</f>
        <v>296.89999999999998</v>
      </c>
      <c r="F73" s="89">
        <f>'0_ENTREE'!J72</f>
        <v>298.8</v>
      </c>
      <c r="G73" s="90">
        <f>'0_ENTREE'!K72</f>
        <v>10.3</v>
      </c>
      <c r="H73" s="91">
        <f>'0_ENTREE'!L72</f>
        <v>10.7</v>
      </c>
      <c r="I73" s="13"/>
      <c r="J73" s="139">
        <f t="shared" si="19"/>
        <v>22.093200000000397</v>
      </c>
      <c r="K73" s="357">
        <f t="shared" si="22"/>
        <v>-2.9512444444439829</v>
      </c>
      <c r="L73" s="357" t="e">
        <f t="shared" si="16"/>
        <v>#DIV/0!</v>
      </c>
      <c r="M73" s="357" t="e">
        <f>L73/'0_ENTREE'!F72</f>
        <v>#DIV/0!</v>
      </c>
      <c r="N73" s="357" t="e">
        <f t="shared" si="20"/>
        <v>#DIV/0!</v>
      </c>
      <c r="O73" s="364" t="e">
        <f t="shared" si="21"/>
        <v>#DIV/0!</v>
      </c>
      <c r="Q73" s="205">
        <f>'1_REFERENCE'!AB87/'0_ENTREE'!F72*$L$16/$G$4</f>
        <v>117.28121414159138</v>
      </c>
      <c r="R73" s="205"/>
      <c r="S73" s="364" t="e">
        <f t="shared" si="17"/>
        <v>#DIV/0!</v>
      </c>
    </row>
    <row r="74" spans="1:19" x14ac:dyDescent="0.25">
      <c r="A74" s="217">
        <v>41</v>
      </c>
      <c r="B74" s="37" t="str">
        <f>CONCATENATE("Ratio Chauffage - ",'0_ENTREE'!B73)</f>
        <v>Ratio Chauffage - GE2.2 - 315 - T4 - 75m²</v>
      </c>
      <c r="C74" s="205" t="e">
        <f t="shared" si="18"/>
        <v>#DIV/0!</v>
      </c>
      <c r="D74" s="205" t="e">
        <f>VLOOKUP(A74,'1_REFERENCE'!$A$47:$N$95,$C$6,FALSE)</f>
        <v>#DIV/0!</v>
      </c>
      <c r="E74" s="88">
        <f>'0_ENTREE'!I73</f>
        <v>470.2</v>
      </c>
      <c r="F74" s="89">
        <f>'0_ENTREE'!J73</f>
        <v>476.8</v>
      </c>
      <c r="G74" s="90">
        <f>'0_ENTREE'!K73</f>
        <v>22.2</v>
      </c>
      <c r="H74" s="91">
        <f>'0_ENTREE'!L73</f>
        <v>23.2</v>
      </c>
      <c r="I74" s="13"/>
      <c r="J74" s="139">
        <f t="shared" si="19"/>
        <v>76.744800000000268</v>
      </c>
      <c r="K74" s="357">
        <f t="shared" si="22"/>
        <v>24.633688888889161</v>
      </c>
      <c r="L74" s="357" t="e">
        <f t="shared" si="16"/>
        <v>#DIV/0!</v>
      </c>
      <c r="M74" s="357" t="e">
        <f>L74/'0_ENTREE'!F73</f>
        <v>#DIV/0!</v>
      </c>
      <c r="N74" s="357" t="e">
        <f t="shared" si="20"/>
        <v>#DIV/0!</v>
      </c>
      <c r="O74" s="364" t="e">
        <f t="shared" si="21"/>
        <v>#DIV/0!</v>
      </c>
      <c r="Q74" s="205">
        <f>'1_REFERENCE'!AB88/'0_ENTREE'!F73*$L$16/$G$4</f>
        <v>50.123659970172824</v>
      </c>
      <c r="R74" s="205"/>
      <c r="S74" s="364" t="e">
        <f t="shared" si="17"/>
        <v>#DIV/0!</v>
      </c>
    </row>
    <row r="75" spans="1:19" s="46" customFormat="1" ht="13.5" thickBot="1" x14ac:dyDescent="0.3">
      <c r="A75" s="217">
        <v>42</v>
      </c>
      <c r="B75" s="73" t="str">
        <f>CONCATENATE("Ratio Chauffage - ",'0_ENTREE'!B74)</f>
        <v>Ratio Chauffage - MOYENNE GE2.2</v>
      </c>
      <c r="C75" s="206" t="e">
        <f>AVERAGE(C62:C74)</f>
        <v>#DIV/0!</v>
      </c>
      <c r="D75" s="206" t="e">
        <f t="shared" ref="D75" si="23">AVERAGE(D62:D74)</f>
        <v>#DIV/0!</v>
      </c>
      <c r="E75" s="208"/>
      <c r="F75" s="209"/>
      <c r="G75" s="210"/>
      <c r="H75" s="211"/>
      <c r="I75" s="28"/>
      <c r="J75" s="208"/>
      <c r="K75" s="209"/>
      <c r="L75" s="209"/>
      <c r="M75" s="209"/>
      <c r="N75" s="209"/>
      <c r="O75" s="211"/>
      <c r="Q75" s="206"/>
      <c r="R75" s="206"/>
      <c r="S75" s="423"/>
    </row>
    <row r="76" spans="1:19" x14ac:dyDescent="0.25">
      <c r="A76" s="217">
        <v>43</v>
      </c>
      <c r="B76" s="47" t="str">
        <f>CONCATENATE("Ratio Chauffage - ",'0_ENTREE'!B75)</f>
        <v>Ratio Chauffage - SO - 284 - T - 64m²</v>
      </c>
      <c r="C76" s="204" t="e">
        <f>M76</f>
        <v>#DIV/0!</v>
      </c>
      <c r="D76" s="207" t="e">
        <f>VLOOKUP(A76,'1_REFERENCE'!$A$47:$N$95,$C$6,FALSE)</f>
        <v>#DIV/0!</v>
      </c>
      <c r="E76" s="92">
        <f>'0_ENTREE'!I75</f>
        <v>31.8</v>
      </c>
      <c r="F76" s="93">
        <f>'0_ENTREE'!J75</f>
        <v>34</v>
      </c>
      <c r="G76" s="94">
        <f>'0_ENTREE'!K75</f>
        <v>1.2</v>
      </c>
      <c r="H76" s="95">
        <f>'0_ENTREE'!L75</f>
        <v>1.2</v>
      </c>
      <c r="I76" s="13"/>
      <c r="J76" s="92">
        <f>(F76-E76)*$C$22</f>
        <v>25.581599999999991</v>
      </c>
      <c r="K76" s="93">
        <f>J76-(H76-G76)*$C$15-$C$14</f>
        <v>18.581599999999991</v>
      </c>
      <c r="L76" s="93" t="e">
        <f t="shared" ref="L76:L81" si="24">K76*$G$9/$G$8</f>
        <v>#DIV/0!</v>
      </c>
      <c r="M76" s="93" t="e">
        <f>L76/'0_ENTREE'!F75</f>
        <v>#DIV/0!</v>
      </c>
      <c r="N76" s="93" t="e">
        <f>D76</f>
        <v>#DIV/0!</v>
      </c>
      <c r="O76" s="95" t="e">
        <f>(M76-N76)/N76</f>
        <v>#DIV/0!</v>
      </c>
      <c r="Q76" s="207">
        <f>'1_REFERENCE'!AB90/'0_ENTREE'!F75*$L$16/$G$4</f>
        <v>40.114209579787698</v>
      </c>
      <c r="R76" s="207"/>
      <c r="S76" s="422" t="e">
        <f t="shared" ref="S76:S81" si="25">(R76-Q76)/R76</f>
        <v>#DIV/0!</v>
      </c>
    </row>
    <row r="77" spans="1:19" x14ac:dyDescent="0.25">
      <c r="A77" s="217">
        <v>44</v>
      </c>
      <c r="B77" s="37" t="str">
        <f>CONCATENATE("Ratio Chauffage - ",'0_ENTREE'!B76)</f>
        <v>Ratio Chauffage - SO - 287 - T - 81m²</v>
      </c>
      <c r="C77" s="205" t="e">
        <f t="shared" ref="C77:C81" si="26">M77</f>
        <v>#DIV/0!</v>
      </c>
      <c r="D77" s="205" t="e">
        <f>VLOOKUP(A77,'1_REFERENCE'!$A$47:$N$95,$C$6,FALSE)</f>
        <v>#DIV/0!</v>
      </c>
      <c r="E77" s="88">
        <f>'0_ENTREE'!I76</f>
        <v>404</v>
      </c>
      <c r="F77" s="89">
        <f>'0_ENTREE'!J76</f>
        <v>405.9</v>
      </c>
      <c r="G77" s="90">
        <f>'0_ENTREE'!K76</f>
        <v>13.2</v>
      </c>
      <c r="H77" s="91">
        <f>'0_ENTREE'!L76</f>
        <v>13.5</v>
      </c>
      <c r="I77" s="13"/>
      <c r="J77" s="88">
        <f t="shared" ref="J77:J81" si="27">(F77-E77)*$C$22</f>
        <v>22.093199999999737</v>
      </c>
      <c r="K77" s="89">
        <f>J77-(H77-G77)*$C$15-$C$14</f>
        <v>1.5598666666663732</v>
      </c>
      <c r="L77" s="89" t="e">
        <f t="shared" si="24"/>
        <v>#DIV/0!</v>
      </c>
      <c r="M77" s="89" t="e">
        <f>L77/'0_ENTREE'!F76</f>
        <v>#DIV/0!</v>
      </c>
      <c r="N77" s="89" t="e">
        <f t="shared" ref="N77:N81" si="28">D77</f>
        <v>#DIV/0!</v>
      </c>
      <c r="O77" s="91" t="e">
        <f t="shared" ref="O77:O81" si="29">(M77-N77)/N77</f>
        <v>#DIV/0!</v>
      </c>
      <c r="Q77" s="205">
        <f>'1_REFERENCE'!AB91/'0_ENTREE'!F76*$L$16/$G$4</f>
        <v>165.36833315463019</v>
      </c>
      <c r="R77" s="205"/>
      <c r="S77" s="364" t="e">
        <f t="shared" si="25"/>
        <v>#DIV/0!</v>
      </c>
    </row>
    <row r="78" spans="1:19" x14ac:dyDescent="0.25">
      <c r="A78" s="217">
        <v>45</v>
      </c>
      <c r="B78" s="37" t="str">
        <f>CONCATENATE("Ratio Chauffage - ",'0_ENTREE'!B77)</f>
        <v>Ratio Chauffage - SO - 290 - T - 40m²</v>
      </c>
      <c r="C78" s="205" t="e">
        <f t="shared" si="26"/>
        <v>#DIV/0!</v>
      </c>
      <c r="D78" s="205" t="e">
        <f>VLOOKUP(A78,'1_REFERENCE'!$A$47:$N$95,$C$6,FALSE)</f>
        <v>#DIV/0!</v>
      </c>
      <c r="E78" s="88">
        <f>'0_ENTREE'!I77</f>
        <v>78.900000000000006</v>
      </c>
      <c r="F78" s="89">
        <f>'0_ENTREE'!J77</f>
        <v>80.7</v>
      </c>
      <c r="G78" s="90">
        <f>'0_ENTREE'!K77</f>
        <v>0</v>
      </c>
      <c r="H78" s="91">
        <f>'0_ENTREE'!L77</f>
        <v>0</v>
      </c>
      <c r="I78" s="13"/>
      <c r="J78" s="88">
        <f t="shared" si="27"/>
        <v>20.930399999999967</v>
      </c>
      <c r="K78" s="89">
        <f t="shared" ref="K78:K81" si="30">J78-(H78-G78)*$C$15-$C$14</f>
        <v>13.930399999999967</v>
      </c>
      <c r="L78" s="89" t="e">
        <f t="shared" si="24"/>
        <v>#DIV/0!</v>
      </c>
      <c r="M78" s="89" t="e">
        <f>L78/'0_ENTREE'!F77</f>
        <v>#DIV/0!</v>
      </c>
      <c r="N78" s="89" t="e">
        <f t="shared" si="28"/>
        <v>#DIV/0!</v>
      </c>
      <c r="O78" s="91" t="e">
        <f t="shared" si="29"/>
        <v>#DIV/0!</v>
      </c>
      <c r="Q78" s="205">
        <f>'1_REFERENCE'!AB92/'0_ENTREE'!F77*$L$16/$G$4</f>
        <v>125.58931265900517</v>
      </c>
      <c r="R78" s="205"/>
      <c r="S78" s="364" t="e">
        <f t="shared" si="25"/>
        <v>#DIV/0!</v>
      </c>
    </row>
    <row r="79" spans="1:19" x14ac:dyDescent="0.25">
      <c r="A79" s="217">
        <v>46</v>
      </c>
      <c r="B79" s="37" t="str">
        <f>CONCATENATE("Ratio Chauffage - ",'0_ENTREE'!B78)</f>
        <v>Ratio Chauffage - SO - 305 - T - 66m²</v>
      </c>
      <c r="C79" s="205" t="e">
        <f t="shared" si="26"/>
        <v>#DIV/0!</v>
      </c>
      <c r="D79" s="205" t="e">
        <f>VLOOKUP(A79,'1_REFERENCE'!$A$47:$N$95,$C$6,FALSE)</f>
        <v>#DIV/0!</v>
      </c>
      <c r="E79" s="88">
        <f>'0_ENTREE'!I78</f>
        <v>438.7</v>
      </c>
      <c r="F79" s="89">
        <f>'0_ENTREE'!J78</f>
        <v>443.4</v>
      </c>
      <c r="G79" s="90">
        <f>'0_ENTREE'!K78</f>
        <v>0</v>
      </c>
      <c r="H79" s="91">
        <f>'0_ENTREE'!L78</f>
        <v>0</v>
      </c>
      <c r="I79" s="13"/>
      <c r="J79" s="88">
        <f t="shared" si="27"/>
        <v>54.651599999999867</v>
      </c>
      <c r="K79" s="89">
        <f t="shared" si="30"/>
        <v>47.651599999999867</v>
      </c>
      <c r="L79" s="89" t="e">
        <f t="shared" si="24"/>
        <v>#DIV/0!</v>
      </c>
      <c r="M79" s="89" t="e">
        <f>L79/'0_ENTREE'!F78</f>
        <v>#DIV/0!</v>
      </c>
      <c r="N79" s="89" t="e">
        <f t="shared" si="28"/>
        <v>#DIV/0!</v>
      </c>
      <c r="O79" s="91" t="e">
        <f t="shared" si="29"/>
        <v>#DIV/0!</v>
      </c>
      <c r="Q79" s="205">
        <f>'1_REFERENCE'!AB93/'0_ENTREE'!F78*$L$16/$G$4</f>
        <v>145.08261889001426</v>
      </c>
      <c r="R79" s="205"/>
      <c r="S79" s="364" t="e">
        <f t="shared" si="25"/>
        <v>#DIV/0!</v>
      </c>
    </row>
    <row r="80" spans="1:19" x14ac:dyDescent="0.25">
      <c r="A80" s="217">
        <v>47</v>
      </c>
      <c r="B80" s="37" t="str">
        <f>CONCATENATE("Ratio Chauffage - ",'0_ENTREE'!B79)</f>
        <v>Ratio Chauffage - SO - 309 - T - 66m²</v>
      </c>
      <c r="C80" s="205" t="e">
        <f t="shared" si="26"/>
        <v>#DIV/0!</v>
      </c>
      <c r="D80" s="205" t="e">
        <f>VLOOKUP(A80,'1_REFERENCE'!$A$47:$N$95,$C$6,FALSE)</f>
        <v>#DIV/0!</v>
      </c>
      <c r="E80" s="88">
        <f>'0_ENTREE'!I79</f>
        <v>848.8</v>
      </c>
      <c r="F80" s="89">
        <f>'0_ENTREE'!J79</f>
        <v>854</v>
      </c>
      <c r="G80" s="90">
        <f>'0_ENTREE'!K79</f>
        <v>12.7</v>
      </c>
      <c r="H80" s="91">
        <f>'0_ENTREE'!L79</f>
        <v>13.2</v>
      </c>
      <c r="I80" s="13"/>
      <c r="J80" s="88">
        <f t="shared" si="27"/>
        <v>60.465600000000528</v>
      </c>
      <c r="K80" s="89">
        <f t="shared" si="30"/>
        <v>30.910044444444978</v>
      </c>
      <c r="L80" s="89" t="e">
        <f t="shared" si="24"/>
        <v>#DIV/0!</v>
      </c>
      <c r="M80" s="89" t="e">
        <f>L80/'0_ENTREE'!F79</f>
        <v>#DIV/0!</v>
      </c>
      <c r="N80" s="89" t="e">
        <f t="shared" si="28"/>
        <v>#DIV/0!</v>
      </c>
      <c r="O80" s="91" t="e">
        <f t="shared" si="29"/>
        <v>#DIV/0!</v>
      </c>
      <c r="Q80" s="205">
        <f>'1_REFERENCE'!AB94/'0_ENTREE'!F79*$L$16/$G$4</f>
        <v>214.46727384379807</v>
      </c>
      <c r="R80" s="205"/>
      <c r="S80" s="364" t="e">
        <f t="shared" si="25"/>
        <v>#DIV/0!</v>
      </c>
    </row>
    <row r="81" spans="1:20" x14ac:dyDescent="0.25">
      <c r="A81" s="217">
        <v>48</v>
      </c>
      <c r="B81" s="37" t="str">
        <f>CONCATENATE("Ratio Chauffage - ",'0_ENTREE'!B80)</f>
        <v>Ratio Chauffage - SO - 310 - T - 54m²</v>
      </c>
      <c r="C81" s="205" t="e">
        <f t="shared" si="26"/>
        <v>#DIV/0!</v>
      </c>
      <c r="D81" s="205" t="e">
        <f>VLOOKUP(A81,'1_REFERENCE'!$A$47:$N$95,$C$6,FALSE)</f>
        <v>#DIV/0!</v>
      </c>
      <c r="E81" s="88">
        <f>'0_ENTREE'!I80</f>
        <v>700.8</v>
      </c>
      <c r="F81" s="89">
        <f>'0_ENTREE'!J80</f>
        <v>703.5</v>
      </c>
      <c r="G81" s="90">
        <f>'0_ENTREE'!K80</f>
        <v>6.9</v>
      </c>
      <c r="H81" s="91">
        <f>'0_ENTREE'!L80</f>
        <v>7.2</v>
      </c>
      <c r="I81" s="13"/>
      <c r="J81" s="88">
        <f t="shared" si="27"/>
        <v>31.395600000000528</v>
      </c>
      <c r="K81" s="89">
        <f t="shared" si="30"/>
        <v>10.862266666667203</v>
      </c>
      <c r="L81" s="89" t="e">
        <f t="shared" si="24"/>
        <v>#DIV/0!</v>
      </c>
      <c r="M81" s="89" t="e">
        <f>L81/'0_ENTREE'!F80</f>
        <v>#DIV/0!</v>
      </c>
      <c r="N81" s="89" t="e">
        <f t="shared" si="28"/>
        <v>#DIV/0!</v>
      </c>
      <c r="O81" s="91" t="e">
        <f t="shared" si="29"/>
        <v>#DIV/0!</v>
      </c>
      <c r="Q81" s="205">
        <f>'1_REFERENCE'!AB95/'0_ENTREE'!F80*$L$16/$G$4</f>
        <v>295.99145636556807</v>
      </c>
      <c r="R81" s="205"/>
      <c r="S81" s="364" t="e">
        <f t="shared" si="25"/>
        <v>#DIV/0!</v>
      </c>
    </row>
    <row r="82" spans="1:20" s="46" customFormat="1" ht="13.5" thickBot="1" x14ac:dyDescent="0.3">
      <c r="A82" s="217"/>
      <c r="B82" s="73" t="str">
        <f>CONCATENATE("Ratio Chauffage - ",'0_ENTREE'!B81)</f>
        <v>Ratio Chauffage - MOYENNE SO</v>
      </c>
      <c r="C82" s="206" t="e">
        <f>AVERAGE(C76:C81)</f>
        <v>#DIV/0!</v>
      </c>
      <c r="D82" s="206" t="e">
        <f>AVERAGE(D76:D81)</f>
        <v>#DIV/0!</v>
      </c>
      <c r="E82" s="208"/>
      <c r="F82" s="209"/>
      <c r="G82" s="210"/>
      <c r="H82" s="211"/>
      <c r="I82" s="28"/>
      <c r="J82" s="208"/>
      <c r="K82" s="209"/>
      <c r="L82" s="209"/>
      <c r="M82" s="209"/>
      <c r="N82" s="209"/>
      <c r="O82" s="211"/>
      <c r="Q82" s="206"/>
      <c r="R82" s="206"/>
      <c r="S82" s="423"/>
    </row>
    <row r="83" spans="1:20" s="4" customFormat="1" x14ac:dyDescent="0.25"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s="4" customFormat="1" x14ac:dyDescent="0.25"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s="4" customFormat="1" x14ac:dyDescent="0.25"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s="4" customFormat="1" x14ac:dyDescent="0.25"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s="4" customFormat="1" x14ac:dyDescent="0.25"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s="4" customFormat="1" x14ac:dyDescent="0.25"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s="4" customFormat="1" x14ac:dyDescent="0.25"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s="4" customFormat="1" x14ac:dyDescent="0.25"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s="4" customFormat="1" x14ac:dyDescent="0.25"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s="4" customFormat="1" x14ac:dyDescent="0.25"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s="4" customFormat="1" x14ac:dyDescent="0.25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9:20" s="4" customFormat="1" x14ac:dyDescent="0.25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9:20" s="4" customFormat="1" x14ac:dyDescent="0.25"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9:20" s="4" customFormat="1" x14ac:dyDescent="0.25"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9:20" s="4" customFormat="1" x14ac:dyDescent="0.25"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9:20" s="4" customFormat="1" x14ac:dyDescent="0.25"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9:20" s="4" customFormat="1" x14ac:dyDescent="0.25"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9:20" s="4" customFormat="1" x14ac:dyDescent="0.25"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9:20" s="4" customFormat="1" x14ac:dyDescent="0.25"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9:20" s="4" customFormat="1" x14ac:dyDescent="0.25"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9:20" s="4" customFormat="1" x14ac:dyDescent="0.25"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9:20" s="4" customFormat="1" x14ac:dyDescent="0.25"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9:20" s="4" customFormat="1" x14ac:dyDescent="0.25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9:20" s="4" customFormat="1" x14ac:dyDescent="0.25"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9:20" s="4" customFormat="1" x14ac:dyDescent="0.25"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9:20" s="4" customFormat="1" x14ac:dyDescent="0.25"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9:20" s="4" customFormat="1" x14ac:dyDescent="0.25"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9:20" s="4" customFormat="1" x14ac:dyDescent="0.25"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9:20" s="4" customFormat="1" x14ac:dyDescent="0.25"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9:20" s="4" customFormat="1" x14ac:dyDescent="0.25"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9:20" s="4" customFormat="1" x14ac:dyDescent="0.25"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9:20" s="4" customFormat="1" x14ac:dyDescent="0.25"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9:20" s="4" customFormat="1" x14ac:dyDescent="0.25"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9:20" s="4" customFormat="1" x14ac:dyDescent="0.25"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9:20" s="4" customFormat="1" x14ac:dyDescent="0.25"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9:20" s="4" customFormat="1" x14ac:dyDescent="0.25"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9:20" s="4" customFormat="1" x14ac:dyDescent="0.25"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9:20" s="4" customFormat="1" x14ac:dyDescent="0.25"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9:20" s="4" customFormat="1" x14ac:dyDescent="0.25"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9:20" s="4" customFormat="1" x14ac:dyDescent="0.25"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9:20" s="4" customFormat="1" x14ac:dyDescent="0.25"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</sheetData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62" orientation="landscape" r:id="rId2"/>
  <headerFooter>
    <oddFooter>&amp;L&amp;F&amp;CSOLAIR&amp;R&amp;A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T84"/>
  <sheetViews>
    <sheetView topLeftCell="A25" zoomScaleNormal="100" workbookViewId="0">
      <selection activeCell="B85" sqref="B85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6" width="12.7109375" style="1" customWidth="1"/>
    <col min="17" max="20" width="13.28515625" style="1" customWidth="1"/>
    <col min="21" max="21" width="18.5703125" style="1" customWidth="1"/>
    <col min="22" max="16384" width="11.42578125" style="1"/>
  </cols>
  <sheetData>
    <row r="1" spans="1:18" s="18" customFormat="1" ht="30" customHeight="1" thickBot="1" x14ac:dyDescent="0.3">
      <c r="A1" s="465" t="str">
        <f>CONCATENATE("ENCERTICUS - ",B4," - ",B5," - ",B7)</f>
        <v>ENCERTICUS - TRAITEMENT ELEC - 2014 - S23</v>
      </c>
      <c r="B1" s="466"/>
      <c r="C1" s="466"/>
      <c r="D1" s="467"/>
      <c r="E1" s="25"/>
      <c r="F1" s="185" t="s">
        <v>73</v>
      </c>
      <c r="G1" s="111" t="s">
        <v>74</v>
      </c>
      <c r="H1" s="25"/>
      <c r="I1" s="25"/>
    </row>
    <row r="2" spans="1:18" s="18" customFormat="1" ht="13.5" thickBot="1" x14ac:dyDescent="0.3">
      <c r="E2" s="23"/>
      <c r="F2" s="13"/>
      <c r="G2" s="102"/>
      <c r="H2" s="13"/>
      <c r="I2" s="25"/>
    </row>
    <row r="3" spans="1:18" s="18" customFormat="1" ht="25.5" x14ac:dyDescent="0.25">
      <c r="A3" s="305" t="s">
        <v>9</v>
      </c>
      <c r="B3" s="306" t="s">
        <v>10</v>
      </c>
      <c r="C3" s="341"/>
      <c r="I3" s="333" t="str">
        <f>'0_ENTREE'!I3</f>
        <v>DJU moyen</v>
      </c>
      <c r="J3" s="168" t="s">
        <v>183</v>
      </c>
      <c r="K3" s="339" t="str">
        <f>'0_ENTREE'!K3</f>
        <v>DJU REEL - 2011</v>
      </c>
      <c r="L3" s="339" t="str">
        <f>'0_ENTREE'!L3</f>
        <v>DJU REEL - 2012</v>
      </c>
      <c r="M3" s="339" t="str">
        <f>'0_ENTREE'!M3</f>
        <v>DJU REEL - 2013</v>
      </c>
      <c r="N3" s="339" t="str">
        <f>'0_ENTREE'!N3</f>
        <v>DJU REEL - 2014</v>
      </c>
      <c r="O3" s="339" t="str">
        <f>'0_ENTREE'!O3</f>
        <v>DJU REEL - 2015</v>
      </c>
      <c r="P3" s="339" t="str">
        <f>'0_ENTREE'!P3</f>
        <v>DJU REEL - 2016</v>
      </c>
      <c r="Q3" s="339" t="str">
        <f>'0_ENTREE'!Q3</f>
        <v>DJU REEL - 2017</v>
      </c>
    </row>
    <row r="4" spans="1:18" s="18" customFormat="1" x14ac:dyDescent="0.25">
      <c r="A4" s="96" t="s">
        <v>11</v>
      </c>
      <c r="B4" s="97" t="s">
        <v>244</v>
      </c>
      <c r="C4" s="341"/>
      <c r="E4" s="470" t="str">
        <f>'0_ENTREE'!E4:F4</f>
        <v>DJU Annuel Moyen</v>
      </c>
      <c r="F4" s="470"/>
      <c r="G4" s="335">
        <f>'0_ENTREE'!G4</f>
        <v>1519.8666666666668</v>
      </c>
      <c r="I4" s="359">
        <f>'0_ENTREE'!I4</f>
        <v>335.36666666666662</v>
      </c>
      <c r="J4" s="317" t="str">
        <f>'0_ENTREE'!J4</f>
        <v>Janvier</v>
      </c>
      <c r="K4" s="317">
        <f>'0_ENTREE'!K4</f>
        <v>339.1</v>
      </c>
      <c r="L4" s="317">
        <f>'0_ENTREE'!L4</f>
        <v>302.7</v>
      </c>
      <c r="M4" s="317">
        <f>'0_ENTREE'!M4</f>
        <v>364.3</v>
      </c>
      <c r="N4" s="317">
        <f>'0_ENTREE'!N4</f>
        <v>302.7</v>
      </c>
      <c r="O4" s="317">
        <f>'0_ENTREE'!O4</f>
        <v>0</v>
      </c>
      <c r="P4" s="317">
        <f>'0_ENTREE'!P4</f>
        <v>0</v>
      </c>
      <c r="Q4" s="155">
        <f>'1_REFERENCE'!O4</f>
        <v>0</v>
      </c>
    </row>
    <row r="5" spans="1:18" s="18" customFormat="1" x14ac:dyDescent="0.25">
      <c r="A5" s="96" t="s">
        <v>35</v>
      </c>
      <c r="B5" s="101">
        <f>'0_ENTREE'!B5</f>
        <v>2014</v>
      </c>
      <c r="C5" s="341">
        <f>'0_ENTREE'!C5</f>
        <v>6</v>
      </c>
      <c r="E5" s="470" t="str">
        <f>'0_ENTREE'!E5:F5</f>
        <v>DJU Annuel Réel - 2014</v>
      </c>
      <c r="F5" s="470"/>
      <c r="G5" s="335">
        <f>'0_ENTREE'!G5</f>
        <v>1548.4</v>
      </c>
      <c r="I5" s="359">
        <f>'0_ENTREE'!I5</f>
        <v>347.76666666666671</v>
      </c>
      <c r="J5" s="317" t="str">
        <f>'0_ENTREE'!J5</f>
        <v>Février</v>
      </c>
      <c r="K5" s="317">
        <f>'0_ENTREE'!K5</f>
        <v>266.60000000000002</v>
      </c>
      <c r="L5" s="317">
        <f>'0_ENTREE'!L5</f>
        <v>425.6</v>
      </c>
      <c r="M5" s="317">
        <f>'0_ENTREE'!M5</f>
        <v>351.1</v>
      </c>
      <c r="N5" s="317">
        <f>'0_ENTREE'!N5</f>
        <v>425.6</v>
      </c>
      <c r="O5" s="317">
        <f>'0_ENTREE'!O5</f>
        <v>0</v>
      </c>
      <c r="P5" s="317">
        <f>'0_ENTREE'!P5</f>
        <v>0</v>
      </c>
      <c r="Q5" s="155">
        <f>'1_REFERENCE'!O5</f>
        <v>0</v>
      </c>
    </row>
    <row r="6" spans="1:18" s="18" customFormat="1" x14ac:dyDescent="0.25">
      <c r="A6" s="96" t="s">
        <v>36</v>
      </c>
      <c r="B6" s="101" t="str">
        <f>'0_ENTREE'!B6</f>
        <v>Juin</v>
      </c>
      <c r="C6" s="341">
        <f>'0_ENTREE'!C6</f>
        <v>8</v>
      </c>
      <c r="E6" s="470" t="str">
        <f>'0_ENTREE'!E6:F6</f>
        <v>DJU Mensuel Moyen - Juin</v>
      </c>
      <c r="F6" s="470"/>
      <c r="G6" s="335">
        <f>'0_ENTREE'!G6</f>
        <v>0</v>
      </c>
      <c r="I6" s="359">
        <f>'0_ENTREE'!I6</f>
        <v>210.16666666666666</v>
      </c>
      <c r="J6" s="317" t="str">
        <f>'0_ENTREE'!J6</f>
        <v>Mars</v>
      </c>
      <c r="K6" s="317">
        <f>'0_ENTREE'!K6</f>
        <v>217.4</v>
      </c>
      <c r="L6" s="317">
        <f>'0_ENTREE'!L6</f>
        <v>183.6</v>
      </c>
      <c r="M6" s="317">
        <f>'0_ENTREE'!M6</f>
        <v>229.5</v>
      </c>
      <c r="N6" s="317">
        <f>'0_ENTREE'!N6</f>
        <v>183.6</v>
      </c>
      <c r="O6" s="317">
        <f>'0_ENTREE'!O6</f>
        <v>0</v>
      </c>
      <c r="P6" s="317">
        <f>'0_ENTREE'!P6</f>
        <v>0</v>
      </c>
      <c r="Q6" s="155">
        <f>'1_REFERENCE'!O6</f>
        <v>0</v>
      </c>
    </row>
    <row r="7" spans="1:18" s="18" customFormat="1" x14ac:dyDescent="0.25">
      <c r="A7" s="96" t="s">
        <v>57</v>
      </c>
      <c r="B7" s="101" t="str">
        <f>'0_ENTREE'!B7</f>
        <v>S23</v>
      </c>
      <c r="C7" s="341">
        <f>'0_ENTREE'!C7</f>
        <v>25</v>
      </c>
      <c r="E7" s="470" t="str">
        <f>'0_ENTREE'!E7:F7</f>
        <v>DJU Mensuel Réel - Juin</v>
      </c>
      <c r="F7" s="470"/>
      <c r="G7" s="335">
        <f>'0_ENTREE'!G7</f>
        <v>0</v>
      </c>
      <c r="I7" s="359">
        <f>'0_ENTREE'!I7</f>
        <v>106.96666666666665</v>
      </c>
      <c r="J7" s="317" t="str">
        <f>'0_ENTREE'!J7</f>
        <v>Avril</v>
      </c>
      <c r="K7" s="317">
        <f>'0_ENTREE'!K7</f>
        <v>69</v>
      </c>
      <c r="L7" s="317">
        <f>'0_ENTREE'!L7</f>
        <v>120.9</v>
      </c>
      <c r="M7" s="317">
        <f>'0_ENTREE'!M7</f>
        <v>131</v>
      </c>
      <c r="N7" s="317">
        <f>'0_ENTREE'!N7</f>
        <v>120.9</v>
      </c>
      <c r="O7" s="317">
        <f>'0_ENTREE'!O7</f>
        <v>0</v>
      </c>
      <c r="P7" s="317">
        <f>'0_ENTREE'!P7</f>
        <v>0</v>
      </c>
      <c r="Q7" s="155">
        <f>'1_REFERENCE'!O7</f>
        <v>0</v>
      </c>
    </row>
    <row r="8" spans="1:18" s="18" customFormat="1" ht="13.5" thickBot="1" x14ac:dyDescent="0.3">
      <c r="A8" s="98" t="s">
        <v>31</v>
      </c>
      <c r="B8" s="104" t="str">
        <f>'0_ENTREE'!B8</f>
        <v>Semaine</v>
      </c>
      <c r="C8" s="341">
        <f>'0_ENTREE'!C8</f>
        <v>0</v>
      </c>
      <c r="E8" s="470" t="str">
        <f>'0_ENTREE'!E8:F8</f>
        <v>DJU Hebdo Moyen - Juin</v>
      </c>
      <c r="F8" s="470"/>
      <c r="G8" s="335">
        <f>'0_ENTREE'!G8</f>
        <v>0</v>
      </c>
      <c r="I8" s="359">
        <f>'0_ENTREE'!I8</f>
        <v>31.966666666666669</v>
      </c>
      <c r="J8" s="317" t="str">
        <f>'0_ENTREE'!J8</f>
        <v>Mai</v>
      </c>
      <c r="K8" s="317">
        <f>'0_ENTREE'!K8</f>
        <v>7.9</v>
      </c>
      <c r="L8" s="317">
        <f>'0_ENTREE'!L8</f>
        <v>17.2</v>
      </c>
      <c r="M8" s="317">
        <f>'0_ENTREE'!M8</f>
        <v>70.8</v>
      </c>
      <c r="N8" s="317">
        <f>'0_ENTREE'!N8</f>
        <v>17.2</v>
      </c>
      <c r="O8" s="317">
        <f>'0_ENTREE'!O8</f>
        <v>0</v>
      </c>
      <c r="P8" s="317">
        <f>'0_ENTREE'!P8</f>
        <v>0</v>
      </c>
      <c r="Q8" s="155">
        <f>'1_REFERENCE'!O8</f>
        <v>0</v>
      </c>
    </row>
    <row r="9" spans="1:18" x14ac:dyDescent="0.25">
      <c r="A9" s="13"/>
      <c r="B9" s="16"/>
      <c r="C9" s="13"/>
      <c r="D9" s="18"/>
      <c r="E9" s="470" t="str">
        <f>'0_ENTREE'!E9:F9</f>
        <v>DJU Hebdo Réel - S23</v>
      </c>
      <c r="F9" s="470"/>
      <c r="G9" s="335">
        <f>'0_ENTREE'!G9</f>
        <v>0</v>
      </c>
      <c r="H9" s="18"/>
      <c r="I9" s="359">
        <f>'0_ENTREE'!I9</f>
        <v>0</v>
      </c>
      <c r="J9" s="317" t="str">
        <f>'0_ENTREE'!J9</f>
        <v>Juin</v>
      </c>
      <c r="K9" s="317">
        <f>'0_ENTREE'!K9</f>
        <v>0</v>
      </c>
      <c r="L9" s="317">
        <f>'0_ENTREE'!L9</f>
        <v>0</v>
      </c>
      <c r="M9" s="317">
        <f>'0_ENTREE'!M9</f>
        <v>0</v>
      </c>
      <c r="N9" s="317">
        <f>'0_ENTREE'!N9</f>
        <v>0</v>
      </c>
      <c r="O9" s="317">
        <f>'0_ENTREE'!O9</f>
        <v>0</v>
      </c>
      <c r="P9" s="317">
        <f>'0_ENTREE'!P9</f>
        <v>0</v>
      </c>
      <c r="Q9" s="155">
        <f>'1_REFERENCE'!O9</f>
        <v>0</v>
      </c>
      <c r="R9" s="18"/>
    </row>
    <row r="10" spans="1:18" x14ac:dyDescent="0.25">
      <c r="A10" s="13"/>
      <c r="B10" s="16"/>
      <c r="C10" s="13"/>
      <c r="D10" s="18"/>
      <c r="E10" s="18"/>
      <c r="F10" s="18"/>
      <c r="G10" s="18"/>
      <c r="H10" s="18"/>
      <c r="I10" s="359">
        <f>'0_ENTREE'!I10</f>
        <v>0</v>
      </c>
      <c r="J10" s="317" t="str">
        <f>'0_ENTREE'!J10</f>
        <v>Juillet</v>
      </c>
      <c r="K10" s="317">
        <f>'0_ENTREE'!K10</f>
        <v>0</v>
      </c>
      <c r="L10" s="317">
        <f>'0_ENTREE'!L10</f>
        <v>0</v>
      </c>
      <c r="M10" s="317">
        <f>'0_ENTREE'!M10</f>
        <v>0</v>
      </c>
      <c r="N10" s="317">
        <f>'0_ENTREE'!N10</f>
        <v>0</v>
      </c>
      <c r="O10" s="317">
        <f>'0_ENTREE'!O10</f>
        <v>0</v>
      </c>
      <c r="P10" s="317">
        <f>'0_ENTREE'!P10</f>
        <v>0</v>
      </c>
      <c r="Q10" s="155">
        <f>'1_REFERENCE'!O10</f>
        <v>0</v>
      </c>
      <c r="R10" s="20"/>
    </row>
    <row r="11" spans="1:18" x14ac:dyDescent="0.25">
      <c r="A11" s="13"/>
      <c r="B11" s="16"/>
      <c r="C11" s="13"/>
      <c r="D11" s="18"/>
      <c r="E11" s="18"/>
      <c r="F11" s="18"/>
      <c r="G11" s="18"/>
      <c r="H11" s="18"/>
      <c r="I11" s="359">
        <f>'0_ENTREE'!I11</f>
        <v>0</v>
      </c>
      <c r="J11" s="317" t="str">
        <f>'0_ENTREE'!J11</f>
        <v>Août</v>
      </c>
      <c r="K11" s="317">
        <f>'0_ENTREE'!K11</f>
        <v>0</v>
      </c>
      <c r="L11" s="317">
        <f>'0_ENTREE'!L11</f>
        <v>0</v>
      </c>
      <c r="M11" s="317">
        <f>'0_ENTREE'!M11</f>
        <v>0</v>
      </c>
      <c r="N11" s="317">
        <f>'0_ENTREE'!N11</f>
        <v>0</v>
      </c>
      <c r="O11" s="317">
        <f>'0_ENTREE'!O11</f>
        <v>0</v>
      </c>
      <c r="P11" s="317">
        <f>'0_ENTREE'!P11</f>
        <v>0</v>
      </c>
      <c r="Q11" s="155">
        <f>'1_REFERENCE'!O11</f>
        <v>0</v>
      </c>
      <c r="R11" s="18"/>
    </row>
    <row r="12" spans="1:18" ht="25.5" x14ac:dyDescent="0.25">
      <c r="A12" s="13"/>
      <c r="B12" s="310" t="s">
        <v>175</v>
      </c>
      <c r="C12" s="310" t="s">
        <v>53</v>
      </c>
      <c r="D12" s="471" t="s">
        <v>56</v>
      </c>
      <c r="E12" s="471"/>
      <c r="F12" s="310" t="s">
        <v>58</v>
      </c>
      <c r="G12" s="9"/>
      <c r="H12" s="9"/>
      <c r="I12" s="359">
        <f>'0_ENTREE'!I12</f>
        <v>0</v>
      </c>
      <c r="J12" s="317" t="str">
        <f>'0_ENTREE'!J12</f>
        <v>Septembre</v>
      </c>
      <c r="K12" s="317">
        <f>'0_ENTREE'!K12</f>
        <v>0</v>
      </c>
      <c r="L12" s="317">
        <f>'0_ENTREE'!L12</f>
        <v>0</v>
      </c>
      <c r="M12" s="317">
        <f>'0_ENTREE'!M12</f>
        <v>0</v>
      </c>
      <c r="N12" s="317">
        <f>'0_ENTREE'!N12</f>
        <v>0</v>
      </c>
      <c r="O12" s="317">
        <f>'0_ENTREE'!O12</f>
        <v>0</v>
      </c>
      <c r="P12" s="317">
        <f>'0_ENTREE'!P12</f>
        <v>0</v>
      </c>
      <c r="Q12" s="155">
        <f>'1_REFERENCE'!O12</f>
        <v>0</v>
      </c>
    </row>
    <row r="13" spans="1:18" x14ac:dyDescent="0.25">
      <c r="A13" s="13"/>
      <c r="B13" s="111" t="str">
        <f>'0_ENTREE'!B13</f>
        <v>Ratio de chauffage</v>
      </c>
      <c r="C13" s="314">
        <f>'0_ENTREE'!C13</f>
        <v>0</v>
      </c>
      <c r="D13" s="472" t="s">
        <v>34</v>
      </c>
      <c r="E13" s="472"/>
      <c r="F13" s="308"/>
      <c r="G13" s="9"/>
      <c r="H13" s="9"/>
      <c r="I13" s="359">
        <f>'0_ENTREE'!I13</f>
        <v>20</v>
      </c>
      <c r="J13" s="317" t="str">
        <f>'0_ENTREE'!J13</f>
        <v>Octobre</v>
      </c>
      <c r="K13" s="317">
        <f>'0_ENTREE'!K13</f>
        <v>9.6</v>
      </c>
      <c r="L13" s="317">
        <f>'0_ENTREE'!L13</f>
        <v>44.5</v>
      </c>
      <c r="M13" s="317">
        <f>'0_ENTREE'!M13</f>
        <v>5.9</v>
      </c>
      <c r="N13" s="317">
        <f>'0_ENTREE'!N13</f>
        <v>44.5</v>
      </c>
      <c r="O13" s="317">
        <f>'0_ENTREE'!O13</f>
        <v>0</v>
      </c>
      <c r="P13" s="317">
        <f>'0_ENTREE'!P13</f>
        <v>0</v>
      </c>
      <c r="Q13" s="155">
        <f>'1_REFERENCE'!O13</f>
        <v>0</v>
      </c>
    </row>
    <row r="14" spans="1:18" x14ac:dyDescent="0.25">
      <c r="A14" s="13"/>
      <c r="B14" s="405" t="str">
        <f>'0_ENTREE'!B14</f>
        <v>Ratio cuisson - semaine</v>
      </c>
      <c r="C14" s="315">
        <f>'0_ENTREE'!C14</f>
        <v>7</v>
      </c>
      <c r="D14" s="473" t="s">
        <v>54</v>
      </c>
      <c r="E14" s="473"/>
      <c r="F14" s="308"/>
      <c r="G14" s="9"/>
      <c r="H14" s="9"/>
      <c r="I14" s="359">
        <f>'0_ENTREE'!I14</f>
        <v>182.4</v>
      </c>
      <c r="J14" s="317" t="str">
        <f>'0_ENTREE'!J14</f>
        <v>Novembre</v>
      </c>
      <c r="K14" s="317">
        <f>'0_ENTREE'!K14</f>
        <v>172.7</v>
      </c>
      <c r="L14" s="317">
        <f>'0_ENTREE'!L14</f>
        <v>154</v>
      </c>
      <c r="M14" s="317">
        <f>'0_ENTREE'!M14</f>
        <v>220.5</v>
      </c>
      <c r="N14" s="317">
        <f>'0_ENTREE'!N14</f>
        <v>154</v>
      </c>
      <c r="O14" s="317">
        <f>'0_ENTREE'!O14</f>
        <v>0</v>
      </c>
      <c r="P14" s="317">
        <f>'0_ENTREE'!P14</f>
        <v>0</v>
      </c>
      <c r="Q14" s="155">
        <f>'1_REFERENCE'!O14</f>
        <v>0</v>
      </c>
    </row>
    <row r="15" spans="1:18" ht="14.25" x14ac:dyDescent="0.25">
      <c r="A15" s="13"/>
      <c r="B15" s="405" t="str">
        <f>'0_ENTREE'!B15</f>
        <v>Energie nécessaire ECS</v>
      </c>
      <c r="C15" s="315">
        <f>'0_ENTREE'!C15</f>
        <v>45.111111111111107</v>
      </c>
      <c r="D15" s="473" t="s">
        <v>282</v>
      </c>
      <c r="E15" s="473"/>
      <c r="F15" s="308" t="s">
        <v>32</v>
      </c>
      <c r="G15" s="9"/>
      <c r="H15" s="9"/>
      <c r="I15" s="359">
        <f>'0_ENTREE'!I15</f>
        <v>285.23333333333335</v>
      </c>
      <c r="J15" s="317" t="str">
        <f>'0_ENTREE'!J15</f>
        <v>Décembre</v>
      </c>
      <c r="K15" s="317">
        <f>'0_ENTREE'!K15</f>
        <v>271</v>
      </c>
      <c r="L15" s="317">
        <f>'0_ENTREE'!L15</f>
        <v>299.89999999999998</v>
      </c>
      <c r="M15" s="317">
        <f>'0_ENTREE'!M15</f>
        <v>284.8</v>
      </c>
      <c r="N15" s="317">
        <f>'0_ENTREE'!N15</f>
        <v>299.89999999999998</v>
      </c>
      <c r="O15" s="317">
        <f>'0_ENTREE'!O15</f>
        <v>0</v>
      </c>
      <c r="P15" s="317">
        <f>'0_ENTREE'!P15</f>
        <v>0</v>
      </c>
      <c r="Q15" s="155">
        <f>'1_REFERENCE'!O15</f>
        <v>0</v>
      </c>
    </row>
    <row r="16" spans="1:18" x14ac:dyDescent="0.25">
      <c r="A16" s="13"/>
      <c r="B16" s="405" t="str">
        <f>'0_ENTREE'!B16</f>
        <v>Volume ECS consommé jour</v>
      </c>
      <c r="C16" s="406">
        <f>'0_ENTREE'!C16</f>
        <v>35</v>
      </c>
      <c r="D16" s="473" t="s">
        <v>169</v>
      </c>
      <c r="E16" s="473"/>
      <c r="F16" s="308"/>
      <c r="G16" s="9"/>
      <c r="H16" s="9"/>
      <c r="I16" s="334"/>
      <c r="J16" s="349" t="str">
        <f>'0_ENTREE'!J16</f>
        <v>Année</v>
      </c>
      <c r="K16" s="349">
        <f>'0_ENTREE'!K16</f>
        <v>1353.3</v>
      </c>
      <c r="L16" s="349">
        <f>'0_ENTREE'!L16</f>
        <v>1548.4</v>
      </c>
      <c r="M16" s="349">
        <f>'0_ENTREE'!M16</f>
        <v>1657.9</v>
      </c>
      <c r="N16" s="349">
        <f>'0_ENTREE'!N16</f>
        <v>1548.4</v>
      </c>
      <c r="O16" s="349">
        <f>'0_ENTREE'!O16</f>
        <v>0</v>
      </c>
      <c r="P16" s="349">
        <f>'0_ENTREE'!P16</f>
        <v>0</v>
      </c>
      <c r="Q16" s="350">
        <f>'1_REFERENCE'!O16</f>
        <v>0</v>
      </c>
    </row>
    <row r="17" spans="1:14" x14ac:dyDescent="0.25">
      <c r="A17" s="13"/>
      <c r="B17" s="405" t="str">
        <f>'0_ENTREE'!B17</f>
        <v>Ratio ECS - jour</v>
      </c>
      <c r="C17" s="315">
        <f>'0_ENTREE'!C17</f>
        <v>1.5788888888888888</v>
      </c>
      <c r="D17" s="473" t="s">
        <v>168</v>
      </c>
      <c r="E17" s="473"/>
      <c r="F17" s="343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405" t="str">
        <f>'0_ENTREE'!B18</f>
        <v>Ratio électrique - semaine</v>
      </c>
      <c r="C18" s="315">
        <f>'0_ENTREE'!C18</f>
        <v>52.42307692307692</v>
      </c>
      <c r="D18" s="473" t="s">
        <v>52</v>
      </c>
      <c r="E18" s="473"/>
      <c r="F18" s="308" t="s">
        <v>24</v>
      </c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405" t="str">
        <f>'0_ENTREE'!B19</f>
        <v>Ratio eau (EF+ECS) - semaine</v>
      </c>
      <c r="C19" s="406">
        <f>'0_ENTREE'!C19</f>
        <v>1050</v>
      </c>
      <c r="D19" s="473" t="s">
        <v>55</v>
      </c>
      <c r="E19" s="473"/>
      <c r="F19" s="309" t="s">
        <v>26</v>
      </c>
      <c r="G19" s="9"/>
      <c r="H19" s="9"/>
      <c r="I19" s="9"/>
      <c r="J19" s="9"/>
      <c r="K19" s="9"/>
      <c r="L19" s="9"/>
      <c r="M19" s="10"/>
      <c r="N19" s="8"/>
    </row>
    <row r="20" spans="1:14" ht="25.5" x14ac:dyDescent="0.25">
      <c r="A20" s="13"/>
      <c r="B20" s="310" t="s">
        <v>176</v>
      </c>
      <c r="C20" s="310" t="s">
        <v>53</v>
      </c>
      <c r="D20" s="471" t="s">
        <v>56</v>
      </c>
      <c r="E20" s="471"/>
      <c r="F20" s="310" t="s">
        <v>58</v>
      </c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27" t="str">
        <f>'0_ENTREE'!B21</f>
        <v>Nbre semaine par mois</v>
      </c>
      <c r="C21" s="307">
        <f>'0_ENTREE'!C21</f>
        <v>4.3452380952380958</v>
      </c>
      <c r="D21" s="474"/>
      <c r="E21" s="474"/>
      <c r="F21" s="308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27" t="str">
        <f>'0_ENTREE'!B22</f>
        <v>Conversion GAZ (volume en kWh PCI)</v>
      </c>
      <c r="C22" s="307">
        <f>'0_ENTREE'!C22</f>
        <v>11.628</v>
      </c>
      <c r="D22" s="474" t="s">
        <v>29</v>
      </c>
      <c r="E22" s="474"/>
      <c r="F22" s="308"/>
      <c r="G22" s="9"/>
      <c r="H22" s="9"/>
      <c r="I22" s="9"/>
      <c r="J22" s="9"/>
      <c r="K22" s="9"/>
      <c r="L22" s="9"/>
      <c r="M22" s="10"/>
      <c r="N22" s="8"/>
    </row>
    <row r="23" spans="1:14" x14ac:dyDescent="0.25">
      <c r="A23" s="13"/>
      <c r="B23" s="27" t="str">
        <f>'0_ENTREE'!B23</f>
        <v>Conversion GAZ (PCS en PCI)</v>
      </c>
      <c r="C23" s="307">
        <f>'0_ENTREE'!C23</f>
        <v>0.9009009009009008</v>
      </c>
      <c r="D23" s="474" t="s">
        <v>15</v>
      </c>
      <c r="E23" s="474"/>
      <c r="F23" s="308"/>
      <c r="G23" s="9"/>
      <c r="H23" s="9"/>
      <c r="I23" s="9"/>
      <c r="J23" s="9"/>
      <c r="K23" s="9"/>
      <c r="L23" s="9"/>
      <c r="M23" s="10"/>
      <c r="N23" s="8"/>
    </row>
    <row r="24" spans="1:14" x14ac:dyDescent="0.25">
      <c r="A24" s="13"/>
      <c r="B24" s="27"/>
      <c r="C24" s="307"/>
      <c r="D24" s="474"/>
      <c r="E24" s="474"/>
      <c r="F24" s="308"/>
      <c r="G24" s="9"/>
      <c r="H24" s="9"/>
      <c r="I24" s="9"/>
      <c r="J24" s="9"/>
      <c r="K24" s="9"/>
      <c r="L24" s="9"/>
      <c r="M24" s="10"/>
      <c r="N24" s="8"/>
    </row>
    <row r="25" spans="1:14" x14ac:dyDescent="0.25">
      <c r="A25" s="13"/>
      <c r="B25" s="27" t="str">
        <f>'0_ENTREE'!B25</f>
        <v>Facteur travaux</v>
      </c>
      <c r="C25" s="307">
        <f>'0_ENTREE'!C25</f>
        <v>1</v>
      </c>
      <c r="D25" s="474"/>
      <c r="E25" s="474"/>
      <c r="F25" s="308"/>
      <c r="G25" s="9"/>
      <c r="H25" s="9"/>
      <c r="I25" s="9"/>
      <c r="J25" s="9"/>
      <c r="K25" s="9"/>
      <c r="L25" s="9"/>
      <c r="M25" s="10"/>
      <c r="N25" s="8"/>
    </row>
    <row r="26" spans="1:14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4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4" x14ac:dyDescent="0.25">
      <c r="A28" s="13"/>
      <c r="B28" s="319" t="s">
        <v>291</v>
      </c>
      <c r="C28" s="13"/>
      <c r="D28" s="22"/>
      <c r="G28" s="375"/>
      <c r="H28" s="319" t="s">
        <v>288</v>
      </c>
      <c r="J28" s="9"/>
      <c r="K28" s="9"/>
      <c r="L28" s="10"/>
      <c r="M28" s="8"/>
    </row>
    <row r="29" spans="1:14" x14ac:dyDescent="0.25">
      <c r="A29" s="13"/>
      <c r="B29" s="16"/>
      <c r="C29" s="13"/>
      <c r="D29" s="22"/>
      <c r="G29" s="9"/>
      <c r="H29" s="421" t="s">
        <v>296</v>
      </c>
      <c r="I29" s="421" t="s">
        <v>295</v>
      </c>
      <c r="J29" s="9"/>
      <c r="K29" s="9"/>
      <c r="L29" s="9"/>
      <c r="M29" s="10"/>
      <c r="N29" s="8"/>
    </row>
    <row r="30" spans="1:14" x14ac:dyDescent="0.25">
      <c r="A30" s="13"/>
      <c r="B30" s="16"/>
      <c r="C30" s="13"/>
      <c r="D30" s="22"/>
      <c r="G30" s="9"/>
      <c r="H30" s="9"/>
      <c r="I30" s="9"/>
      <c r="J30" s="9"/>
      <c r="K30" s="10"/>
      <c r="L30" s="8"/>
    </row>
    <row r="31" spans="1:14" s="51" customFormat="1" ht="38.25" x14ac:dyDescent="0.25">
      <c r="A31" s="48"/>
      <c r="B31" s="54" t="s">
        <v>65</v>
      </c>
      <c r="C31" s="55" t="s">
        <v>278</v>
      </c>
      <c r="D31" s="56" t="s">
        <v>165</v>
      </c>
      <c r="E31" s="55" t="s">
        <v>66</v>
      </c>
      <c r="F31" s="57" t="s">
        <v>66</v>
      </c>
      <c r="G31" s="48"/>
      <c r="H31" s="55" t="s">
        <v>287</v>
      </c>
      <c r="I31" s="56" t="s">
        <v>286</v>
      </c>
      <c r="J31" s="425"/>
    </row>
    <row r="32" spans="1:14" s="2" customFormat="1" ht="38.25" x14ac:dyDescent="0.25">
      <c r="A32" s="212" t="s">
        <v>133</v>
      </c>
      <c r="B32" s="42" t="s">
        <v>64</v>
      </c>
      <c r="C32" s="58" t="str">
        <f>CONCATENATE(C31," - ",B7)</f>
        <v>ELECTRICTE - S23</v>
      </c>
      <c r="D32" s="59" t="str">
        <f>CONCATENATE(D31," - ",$B$7)</f>
        <v>Ratio ELECTRICTE réf - S23</v>
      </c>
      <c r="E32" s="76" t="str">
        <f>'0_ENTREE'!M31</f>
        <v>INDICE EDF [N-1]</v>
      </c>
      <c r="F32" s="79" t="str">
        <f>'0_ENTREE'!N31</f>
        <v>INDICE EDF [N]</v>
      </c>
      <c r="G32" s="14"/>
      <c r="H32" s="58" t="str">
        <f>CONCATENATE(H31)</f>
        <v>ARBRE BASE 12/13</v>
      </c>
      <c r="I32" s="59" t="str">
        <f>CONCATENATE(I31)</f>
        <v>ARBRE BASE REFERENCE</v>
      </c>
      <c r="J32" s="79"/>
    </row>
    <row r="33" spans="1:10" s="3" customFormat="1" ht="13.5" thickBot="1" x14ac:dyDescent="0.3">
      <c r="A33" s="213"/>
      <c r="B33" s="43"/>
      <c r="C33" s="60" t="s">
        <v>275</v>
      </c>
      <c r="D33" s="61" t="s">
        <v>275</v>
      </c>
      <c r="E33" s="80" t="s">
        <v>4</v>
      </c>
      <c r="F33" s="83" t="s">
        <v>4</v>
      </c>
      <c r="G33" s="15"/>
      <c r="H33" s="60" t="s">
        <v>275</v>
      </c>
      <c r="I33" s="61" t="s">
        <v>275</v>
      </c>
      <c r="J33" s="83" t="s">
        <v>28</v>
      </c>
    </row>
    <row r="34" spans="1:10" hidden="1" x14ac:dyDescent="0.25">
      <c r="A34" s="214">
        <v>1</v>
      </c>
      <c r="B34" s="47" t="str">
        <f>CONCATENATE("Ratio Electricité - ",'0_ENTREE'!B33)</f>
        <v>Ratio Electricité - GC - 274 - T4 - 83m²</v>
      </c>
      <c r="C34" s="415">
        <f>(F34-E34)</f>
        <v>55</v>
      </c>
      <c r="D34" s="416">
        <f>'1_REFERENCE'!C103</f>
        <v>54.399999999999864</v>
      </c>
      <c r="E34" s="105">
        <f>'0_ENTREE'!M33</f>
        <v>1415.1</v>
      </c>
      <c r="F34" s="106">
        <f>'0_ENTREE'!N33</f>
        <v>1470.1</v>
      </c>
      <c r="G34" s="13"/>
      <c r="H34" s="415">
        <v>2798</v>
      </c>
      <c r="I34" s="416">
        <f>C18*52</f>
        <v>2726</v>
      </c>
      <c r="J34" s="422">
        <f>(I34-H34)/I34</f>
        <v>-2.6412325752017608E-2</v>
      </c>
    </row>
    <row r="35" spans="1:10" hidden="1" x14ac:dyDescent="0.25">
      <c r="A35" s="214">
        <v>2</v>
      </c>
      <c r="B35" s="37" t="str">
        <f>CONCATENATE("Ratio Electricité - ",'0_ENTREE'!B34)</f>
        <v>Ratio Electricité - GC - 277 - T2 - 53m²</v>
      </c>
      <c r="C35" s="417">
        <f t="shared" ref="C35:C46" si="0">(F35-E35)</f>
        <v>31.5</v>
      </c>
      <c r="D35" s="417">
        <f>'1_REFERENCE'!C104</f>
        <v>40</v>
      </c>
      <c r="E35" s="107">
        <f>'0_ENTREE'!M34</f>
        <v>1013.5</v>
      </c>
      <c r="F35" s="108">
        <f>'0_ENTREE'!N34</f>
        <v>1045</v>
      </c>
      <c r="G35" s="13"/>
      <c r="H35" s="417">
        <v>2764</v>
      </c>
      <c r="I35" s="417">
        <f>I34</f>
        <v>2726</v>
      </c>
      <c r="J35" s="364">
        <f t="shared" ref="J35:J46" si="1">(I35-H35)/I35</f>
        <v>-1.3939838591342627E-2</v>
      </c>
    </row>
    <row r="36" spans="1:10" hidden="1" x14ac:dyDescent="0.25">
      <c r="A36" s="214">
        <v>3</v>
      </c>
      <c r="B36" s="37" t="str">
        <f>CONCATENATE("Ratio Electricité - ",'0_ENTREE'!B35)</f>
        <v>Ratio Electricité - GC - 281 - T3 - 71m²</v>
      </c>
      <c r="C36" s="417">
        <f t="shared" si="0"/>
        <v>36.700000000000045</v>
      </c>
      <c r="D36" s="417">
        <f>'1_REFERENCE'!C105</f>
        <v>36.200000000000045</v>
      </c>
      <c r="E36" s="107">
        <f>'0_ENTREE'!M35</f>
        <v>1083.2</v>
      </c>
      <c r="F36" s="108">
        <f>'0_ENTREE'!N35</f>
        <v>1119.9000000000001</v>
      </c>
      <c r="G36" s="13"/>
      <c r="H36" s="417">
        <v>766</v>
      </c>
      <c r="I36" s="417">
        <f t="shared" ref="I36:I46" si="2">I35</f>
        <v>2726</v>
      </c>
      <c r="J36" s="364">
        <f t="shared" si="1"/>
        <v>0.71900220102714596</v>
      </c>
    </row>
    <row r="37" spans="1:10" hidden="1" x14ac:dyDescent="0.25">
      <c r="A37" s="214">
        <v>4</v>
      </c>
      <c r="B37" s="37" t="str">
        <f>CONCATENATE("Ratio Electricité - ",'0_ENTREE'!B36)</f>
        <v>Ratio Electricité - GC - 283 - T3 - 70m²</v>
      </c>
      <c r="C37" s="417">
        <f t="shared" si="0"/>
        <v>28</v>
      </c>
      <c r="D37" s="417">
        <f>'1_REFERENCE'!C106</f>
        <v>27.200000000000045</v>
      </c>
      <c r="E37" s="107">
        <f>'0_ENTREE'!M36</f>
        <v>771.5</v>
      </c>
      <c r="F37" s="108">
        <f>'0_ENTREE'!N36</f>
        <v>799.5</v>
      </c>
      <c r="G37" s="13"/>
      <c r="H37" s="417">
        <v>1599</v>
      </c>
      <c r="I37" s="417">
        <f t="shared" si="2"/>
        <v>2726</v>
      </c>
      <c r="J37" s="364">
        <f t="shared" si="1"/>
        <v>0.41342626559060897</v>
      </c>
    </row>
    <row r="38" spans="1:10" hidden="1" x14ac:dyDescent="0.25">
      <c r="A38" s="214">
        <v>5</v>
      </c>
      <c r="B38" s="37" t="str">
        <f>CONCATENATE("Ratio Electricité - ",'0_ENTREE'!B37)</f>
        <v>Ratio Electricité - GC - 285 - T3 - 64m²</v>
      </c>
      <c r="C38" s="417">
        <f t="shared" si="0"/>
        <v>37</v>
      </c>
      <c r="D38" s="417">
        <f>'1_REFERENCE'!C107</f>
        <v>39</v>
      </c>
      <c r="E38" s="107">
        <f>'0_ENTREE'!M37</f>
        <v>853</v>
      </c>
      <c r="F38" s="108">
        <f>'0_ENTREE'!N37</f>
        <v>890</v>
      </c>
      <c r="G38" s="13"/>
      <c r="H38" s="417">
        <v>2436</v>
      </c>
      <c r="I38" s="417">
        <f t="shared" si="2"/>
        <v>2726</v>
      </c>
      <c r="J38" s="364">
        <f t="shared" si="1"/>
        <v>0.10638297872340426</v>
      </c>
    </row>
    <row r="39" spans="1:10" hidden="1" x14ac:dyDescent="0.25">
      <c r="A39" s="214">
        <v>6</v>
      </c>
      <c r="B39" s="37" t="str">
        <f>CONCATENATE("Ratio Electricité - ",'0_ENTREE'!B38)</f>
        <v>Ratio Electricité - GC - 286 - T3 - 68m²</v>
      </c>
      <c r="C39" s="417">
        <f t="shared" si="0"/>
        <v>20.600000000000023</v>
      </c>
      <c r="D39" s="417">
        <f>'1_REFERENCE'!C108</f>
        <v>23.799999999999955</v>
      </c>
      <c r="E39" s="107">
        <f>'0_ENTREE'!M38</f>
        <v>925.5</v>
      </c>
      <c r="F39" s="108">
        <f>'0_ENTREE'!N38</f>
        <v>946.1</v>
      </c>
      <c r="G39" s="13"/>
      <c r="H39" s="417">
        <v>3108</v>
      </c>
      <c r="I39" s="417">
        <f t="shared" si="2"/>
        <v>2726</v>
      </c>
      <c r="J39" s="364">
        <f t="shared" si="1"/>
        <v>-0.1401320616287601</v>
      </c>
    </row>
    <row r="40" spans="1:10" hidden="1" x14ac:dyDescent="0.25">
      <c r="A40" s="214">
        <v>7</v>
      </c>
      <c r="B40" s="37" t="str">
        <f>CONCATENATE("Ratio Electricité - ",'0_ENTREE'!B39)</f>
        <v>Ratio Electricité - GC - 289 - T3 - 76m²</v>
      </c>
      <c r="C40" s="417">
        <f t="shared" si="0"/>
        <v>25.399999999999977</v>
      </c>
      <c r="D40" s="417">
        <f>'1_REFERENCE'!C109</f>
        <v>23.799999999999955</v>
      </c>
      <c r="E40" s="107">
        <f>'0_ENTREE'!M39</f>
        <v>659</v>
      </c>
      <c r="F40" s="108">
        <f>'0_ENTREE'!N39</f>
        <v>684.4</v>
      </c>
      <c r="G40" s="13"/>
      <c r="H40" s="417">
        <v>1310</v>
      </c>
      <c r="I40" s="417">
        <f t="shared" si="2"/>
        <v>2726</v>
      </c>
      <c r="J40" s="364">
        <f t="shared" si="1"/>
        <v>0.51944240645634632</v>
      </c>
    </row>
    <row r="41" spans="1:10" hidden="1" x14ac:dyDescent="0.25">
      <c r="A41" s="214">
        <v>8</v>
      </c>
      <c r="B41" s="37" t="str">
        <f>CONCATENATE("Ratio Electricité - ",'0_ENTREE'!B40)</f>
        <v>Ratio Electricité - GC - 303 - T4 - 81m²</v>
      </c>
      <c r="C41" s="417">
        <f t="shared" si="0"/>
        <v>73.299999999999955</v>
      </c>
      <c r="D41" s="417">
        <f>'1_REFERENCE'!C110</f>
        <v>93</v>
      </c>
      <c r="E41" s="107">
        <f>'0_ENTREE'!M40</f>
        <v>1856.9</v>
      </c>
      <c r="F41" s="108">
        <f>'0_ENTREE'!N40</f>
        <v>1930.2</v>
      </c>
      <c r="G41" s="13"/>
      <c r="H41" s="417">
        <v>3170</v>
      </c>
      <c r="I41" s="417">
        <f t="shared" si="2"/>
        <v>2726</v>
      </c>
      <c r="J41" s="364">
        <f t="shared" si="1"/>
        <v>-0.16287600880410857</v>
      </c>
    </row>
    <row r="42" spans="1:10" hidden="1" x14ac:dyDescent="0.25">
      <c r="A42" s="214">
        <v>9</v>
      </c>
      <c r="B42" s="37" t="str">
        <f>CONCATENATE("Ratio Electricité - ",'0_ENTREE'!B41)</f>
        <v>Ratio Electricité - GC - 304 - T3 - 66m²</v>
      </c>
      <c r="C42" s="417">
        <f t="shared" si="0"/>
        <v>23.5</v>
      </c>
      <c r="D42" s="417">
        <f>'1_REFERENCE'!C111</f>
        <v>21.400000000000091</v>
      </c>
      <c r="E42" s="107">
        <f>'0_ENTREE'!M41</f>
        <v>868.2</v>
      </c>
      <c r="F42" s="108">
        <f>'0_ENTREE'!N41</f>
        <v>891.7</v>
      </c>
      <c r="G42" s="13"/>
      <c r="H42" s="417">
        <v>1835</v>
      </c>
      <c r="I42" s="417">
        <f t="shared" si="2"/>
        <v>2726</v>
      </c>
      <c r="J42" s="364">
        <f t="shared" si="1"/>
        <v>0.32685253118121788</v>
      </c>
    </row>
    <row r="43" spans="1:10" hidden="1" x14ac:dyDescent="0.25">
      <c r="A43" s="214">
        <v>10</v>
      </c>
      <c r="B43" s="37" t="str">
        <f>CONCATENATE("Ratio Electricité - ",'0_ENTREE'!B42)</f>
        <v>Ratio Electricité - GC - 306 - T3 - 66m²</v>
      </c>
      <c r="C43" s="417">
        <f t="shared" si="0"/>
        <v>20.200000000000045</v>
      </c>
      <c r="D43" s="417">
        <f>'1_REFERENCE'!C112</f>
        <v>19.5</v>
      </c>
      <c r="E43" s="107">
        <f>'0_ENTREE'!M42</f>
        <v>685.4</v>
      </c>
      <c r="F43" s="108">
        <f>'0_ENTREE'!N42</f>
        <v>705.6</v>
      </c>
      <c r="G43" s="13"/>
      <c r="H43" s="417">
        <v>1214</v>
      </c>
      <c r="I43" s="417">
        <f t="shared" si="2"/>
        <v>2726</v>
      </c>
      <c r="J43" s="364">
        <f t="shared" si="1"/>
        <v>0.55465884079236982</v>
      </c>
    </row>
    <row r="44" spans="1:10" hidden="1" x14ac:dyDescent="0.25">
      <c r="A44" s="214">
        <v>11</v>
      </c>
      <c r="B44" s="37" t="str">
        <f>CONCATENATE("Ratio Electricité - ",'0_ENTREE'!B43)</f>
        <v>Ratio Electricité - GC - 307 - T3 - 66m²</v>
      </c>
      <c r="C44" s="417">
        <f t="shared" si="0"/>
        <v>45.900000000000091</v>
      </c>
      <c r="D44" s="417">
        <f>'1_REFERENCE'!C113</f>
        <v>56.900000000000091</v>
      </c>
      <c r="E44" s="107">
        <f>'0_ENTREE'!M43</f>
        <v>1553</v>
      </c>
      <c r="F44" s="108">
        <f>'0_ENTREE'!N43</f>
        <v>1598.9</v>
      </c>
      <c r="G44" s="13"/>
      <c r="H44" s="417">
        <v>5247</v>
      </c>
      <c r="I44" s="417">
        <f t="shared" si="2"/>
        <v>2726</v>
      </c>
      <c r="J44" s="364">
        <f t="shared" si="1"/>
        <v>-0.92479823917828319</v>
      </c>
    </row>
    <row r="45" spans="1:10" hidden="1" x14ac:dyDescent="0.25">
      <c r="A45" s="214">
        <v>12</v>
      </c>
      <c r="B45" s="37" t="str">
        <f>CONCATENATE("Ratio Electricité - ",'0_ENTREE'!B44)</f>
        <v>Ratio Electricité - GC - 308 - T3 - 66m²</v>
      </c>
      <c r="C45" s="417">
        <f t="shared" si="0"/>
        <v>22.199999999999818</v>
      </c>
      <c r="D45" s="417">
        <f>'1_REFERENCE'!C114</f>
        <v>25.100000000000136</v>
      </c>
      <c r="E45" s="107">
        <f>'0_ENTREE'!M44</f>
        <v>1026.4000000000001</v>
      </c>
      <c r="F45" s="108">
        <f>'0_ENTREE'!N44</f>
        <v>1048.5999999999999</v>
      </c>
      <c r="G45" s="13"/>
      <c r="H45" s="417">
        <v>129</v>
      </c>
      <c r="I45" s="417">
        <f t="shared" si="2"/>
        <v>2726</v>
      </c>
      <c r="J45" s="364">
        <f t="shared" si="1"/>
        <v>0.95267791636096844</v>
      </c>
    </row>
    <row r="46" spans="1:10" hidden="1" x14ac:dyDescent="0.25">
      <c r="A46" s="214">
        <v>13</v>
      </c>
      <c r="B46" s="37" t="str">
        <f>CONCATENATE("Ratio Electricité - ",'0_ENTREE'!B45)</f>
        <v>Ratio Electricité - GC - 314 - T4 - 75m²</v>
      </c>
      <c r="C46" s="417">
        <f t="shared" si="0"/>
        <v>113.20000000000027</v>
      </c>
      <c r="D46" s="417">
        <f>'1_REFERENCE'!C115</f>
        <v>120.29999999999973</v>
      </c>
      <c r="E46" s="107">
        <f>'0_ENTREE'!M45</f>
        <v>3209.6</v>
      </c>
      <c r="F46" s="108">
        <f>'0_ENTREE'!N45</f>
        <v>3322.8</v>
      </c>
      <c r="G46" s="13"/>
      <c r="H46" s="417">
        <v>5336</v>
      </c>
      <c r="I46" s="417">
        <f t="shared" si="2"/>
        <v>2726</v>
      </c>
      <c r="J46" s="364">
        <f t="shared" si="1"/>
        <v>-0.95744680851063835</v>
      </c>
    </row>
    <row r="47" spans="1:10" s="46" customFormat="1" ht="13.5" hidden="1" thickBot="1" x14ac:dyDescent="0.3">
      <c r="A47" s="214">
        <v>14</v>
      </c>
      <c r="B47" s="220" t="str">
        <f>CONCATENATE("Ratio Electricité - ",'0_ENTREE'!B46)</f>
        <v>Ratio Electricité - MOYENNE GC</v>
      </c>
      <c r="C47" s="418">
        <f>AVERAGE(C34:C46)</f>
        <v>40.961538461538481</v>
      </c>
      <c r="D47" s="418">
        <f>AVERAGE(D34:D46)</f>
        <v>44.661538461538456</v>
      </c>
      <c r="E47" s="218"/>
      <c r="F47" s="219"/>
      <c r="G47" s="28"/>
      <c r="H47" s="418"/>
      <c r="I47" s="418">
        <f>AVERAGE(I34:I46)</f>
        <v>2726</v>
      </c>
      <c r="J47" s="423"/>
    </row>
    <row r="48" spans="1:10" hidden="1" x14ac:dyDescent="0.25">
      <c r="A48" s="214">
        <v>15</v>
      </c>
      <c r="B48" s="47" t="str">
        <f>CONCATENATE("Ratio Electricité - ",'0_ENTREE'!B47)</f>
        <v>Ratio Electricité - GE2.1 - 275 - T3 - 74m²</v>
      </c>
      <c r="C48" s="419">
        <f>(F48-E48)</f>
        <v>55</v>
      </c>
      <c r="D48" s="419">
        <f>'1_REFERENCE'!C117</f>
        <v>59.100000000000136</v>
      </c>
      <c r="E48" s="109">
        <f>'0_ENTREE'!M47</f>
        <v>1566.9</v>
      </c>
      <c r="F48" s="110">
        <f>'0_ENTREE'!N47</f>
        <v>1621.9</v>
      </c>
      <c r="G48" s="13"/>
      <c r="H48" s="419">
        <v>3871</v>
      </c>
      <c r="I48" s="419">
        <f t="shared" ref="I48:I60" si="3">I47</f>
        <v>2726</v>
      </c>
      <c r="J48" s="422">
        <f t="shared" ref="J48:J60" si="4">(I48-H48)/I48</f>
        <v>-0.42002934702861333</v>
      </c>
    </row>
    <row r="49" spans="1:10" hidden="1" x14ac:dyDescent="0.25">
      <c r="A49" s="214">
        <v>16</v>
      </c>
      <c r="B49" s="37" t="str">
        <f>CONCATENATE("Ratio Electricité - ",'0_ENTREE'!B48)</f>
        <v>Ratio Electricité - GE2.1 - 278 - T2 - 57m²</v>
      </c>
      <c r="C49" s="417">
        <f t="shared" ref="C49:C60" si="5">(F49-E49)</f>
        <v>3</v>
      </c>
      <c r="D49" s="417">
        <f>'1_REFERENCE'!C118</f>
        <v>3.8999999999999773</v>
      </c>
      <c r="E49" s="107">
        <f>'0_ENTREE'!M48</f>
        <v>325.5</v>
      </c>
      <c r="F49" s="108">
        <f>'0_ENTREE'!N48</f>
        <v>328.5</v>
      </c>
      <c r="G49" s="13"/>
      <c r="H49" s="417">
        <v>115</v>
      </c>
      <c r="I49" s="417">
        <f t="shared" si="3"/>
        <v>2726</v>
      </c>
      <c r="J49" s="364">
        <f t="shared" si="4"/>
        <v>0.95781364636830524</v>
      </c>
    </row>
    <row r="50" spans="1:10" hidden="1" x14ac:dyDescent="0.25">
      <c r="A50" s="214">
        <v>17</v>
      </c>
      <c r="B50" s="37" t="str">
        <f>CONCATENATE("Ratio Electricité - ",'0_ENTREE'!B49)</f>
        <v>Ratio Electricité - GE2.1 - 280 - T3 - 66m²</v>
      </c>
      <c r="C50" s="417">
        <f t="shared" si="5"/>
        <v>0.39999999999999991</v>
      </c>
      <c r="D50" s="417">
        <f>'1_REFERENCE'!C119</f>
        <v>0.10000000000000009</v>
      </c>
      <c r="E50" s="107">
        <f>'0_ENTREE'!M49</f>
        <v>2.5</v>
      </c>
      <c r="F50" s="108">
        <f>'0_ENTREE'!N49</f>
        <v>2.9</v>
      </c>
      <c r="G50" s="13"/>
      <c r="H50" s="417"/>
      <c r="I50" s="417">
        <f t="shared" si="3"/>
        <v>2726</v>
      </c>
      <c r="J50" s="364">
        <f t="shared" si="4"/>
        <v>1</v>
      </c>
    </row>
    <row r="51" spans="1:10" hidden="1" x14ac:dyDescent="0.25">
      <c r="A51" s="214">
        <v>18</v>
      </c>
      <c r="B51" s="37" t="str">
        <f>CONCATENATE("Ratio Electricité - ",'0_ENTREE'!B50)</f>
        <v>Ratio Electricité - GE2.1 - 282 - T4 - 78m²</v>
      </c>
      <c r="C51" s="417">
        <f t="shared" si="5"/>
        <v>29.299999999999955</v>
      </c>
      <c r="D51" s="417">
        <f>'1_REFERENCE'!C120</f>
        <v>25.899999999999977</v>
      </c>
      <c r="E51" s="107">
        <f>'0_ENTREE'!M50</f>
        <v>729.1</v>
      </c>
      <c r="F51" s="108">
        <f>'0_ENTREE'!N50</f>
        <v>758.4</v>
      </c>
      <c r="G51" s="13"/>
      <c r="H51" s="417">
        <v>1870</v>
      </c>
      <c r="I51" s="417">
        <f t="shared" si="3"/>
        <v>2726</v>
      </c>
      <c r="J51" s="364">
        <f t="shared" si="4"/>
        <v>0.31401320616287604</v>
      </c>
    </row>
    <row r="52" spans="1:10" hidden="1" x14ac:dyDescent="0.25">
      <c r="A52" s="214">
        <v>19</v>
      </c>
      <c r="B52" s="37" t="str">
        <f>CONCATENATE("Ratio Electricité - ",'0_ENTREE'!B51)</f>
        <v>Ratio Electricité - GE2.1 - 292 - T3 - 63m²</v>
      </c>
      <c r="C52" s="417">
        <f t="shared" si="5"/>
        <v>35.5</v>
      </c>
      <c r="D52" s="417">
        <f>'1_REFERENCE'!C121</f>
        <v>34.199999999999932</v>
      </c>
      <c r="E52" s="107">
        <f>'0_ENTREE'!M51</f>
        <v>848.9</v>
      </c>
      <c r="F52" s="108">
        <f>'0_ENTREE'!N51</f>
        <v>884.4</v>
      </c>
      <c r="G52" s="13"/>
      <c r="H52" s="417">
        <v>2024</v>
      </c>
      <c r="I52" s="417">
        <f t="shared" si="3"/>
        <v>2726</v>
      </c>
      <c r="J52" s="364">
        <f t="shared" si="4"/>
        <v>0.2575201760821717</v>
      </c>
    </row>
    <row r="53" spans="1:10" hidden="1" x14ac:dyDescent="0.25">
      <c r="A53" s="214">
        <v>20</v>
      </c>
      <c r="B53" s="37" t="str">
        <f>CONCATENATE("Ratio Electricité - ",'0_ENTREE'!B52)</f>
        <v>Ratio Electricité - GE2.1 - 293 - T3 - 63m²</v>
      </c>
      <c r="C53" s="417">
        <f t="shared" si="5"/>
        <v>25.699999999999989</v>
      </c>
      <c r="D53" s="417">
        <f>'1_REFERENCE'!C122</f>
        <v>33.899999999999977</v>
      </c>
      <c r="E53" s="107">
        <f>'0_ENTREE'!M52</f>
        <v>477.7</v>
      </c>
      <c r="F53" s="108">
        <f>'0_ENTREE'!N52</f>
        <v>503.4</v>
      </c>
      <c r="G53" s="13"/>
      <c r="H53" s="417">
        <v>1331</v>
      </c>
      <c r="I53" s="417">
        <f t="shared" si="3"/>
        <v>2726</v>
      </c>
      <c r="J53" s="364">
        <f t="shared" si="4"/>
        <v>0.51173881144534117</v>
      </c>
    </row>
    <row r="54" spans="1:10" hidden="1" x14ac:dyDescent="0.25">
      <c r="A54" s="214">
        <v>21</v>
      </c>
      <c r="B54" s="37" t="str">
        <f>CONCATENATE("Ratio Electricité - ",'0_ENTREE'!B53)</f>
        <v>Ratio Electricité - GE2.1 - 295 - T3 - 63m²</v>
      </c>
      <c r="C54" s="417">
        <f t="shared" si="5"/>
        <v>48.599999999999909</v>
      </c>
      <c r="D54" s="417">
        <f>'1_REFERENCE'!C123</f>
        <v>49.299999999999955</v>
      </c>
      <c r="E54" s="107">
        <f>'0_ENTREE'!M53</f>
        <v>1103.5</v>
      </c>
      <c r="F54" s="108">
        <f>'0_ENTREE'!N53</f>
        <v>1152.0999999999999</v>
      </c>
      <c r="G54" s="13"/>
      <c r="H54" s="417">
        <v>2572</v>
      </c>
      <c r="I54" s="417">
        <f t="shared" si="3"/>
        <v>2726</v>
      </c>
      <c r="J54" s="364">
        <f t="shared" si="4"/>
        <v>5.6493030080704332E-2</v>
      </c>
    </row>
    <row r="55" spans="1:10" hidden="1" x14ac:dyDescent="0.25">
      <c r="A55" s="214">
        <v>22</v>
      </c>
      <c r="B55" s="37" t="str">
        <f>CONCATENATE("Ratio Electricité - ",'0_ENTREE'!B54)</f>
        <v>Ratio Electricité - GE2.1 - 296 - T4 - 78m²</v>
      </c>
      <c r="C55" s="417">
        <f t="shared" si="5"/>
        <v>27.700000000000045</v>
      </c>
      <c r="D55" s="417">
        <f>'1_REFERENCE'!C124</f>
        <v>31.100000000000023</v>
      </c>
      <c r="E55" s="107">
        <f>'0_ENTREE'!M54</f>
        <v>678.9</v>
      </c>
      <c r="F55" s="108">
        <f>'0_ENTREE'!N54</f>
        <v>706.6</v>
      </c>
      <c r="G55" s="13"/>
      <c r="H55" s="417">
        <v>1390</v>
      </c>
      <c r="I55" s="417">
        <f t="shared" si="3"/>
        <v>2726</v>
      </c>
      <c r="J55" s="364">
        <f t="shared" si="4"/>
        <v>0.4900953778429934</v>
      </c>
    </row>
    <row r="56" spans="1:10" hidden="1" x14ac:dyDescent="0.25">
      <c r="A56" s="214">
        <v>23</v>
      </c>
      <c r="B56" s="37" t="str">
        <f>CONCATENATE("Ratio Electricité - ",'0_ENTREE'!B55)</f>
        <v>Ratio Electricité - GE2.1 - 297 - T4 - 79m²</v>
      </c>
      <c r="C56" s="417">
        <f t="shared" si="5"/>
        <v>58.899999999999864</v>
      </c>
      <c r="D56" s="417">
        <f>'1_REFERENCE'!C125</f>
        <v>60</v>
      </c>
      <c r="E56" s="107">
        <f>'0_ENTREE'!M55</f>
        <v>1717.7</v>
      </c>
      <c r="F56" s="108">
        <f>'0_ENTREE'!N55</f>
        <v>1776.6</v>
      </c>
      <c r="G56" s="13"/>
      <c r="H56" s="417">
        <v>3066</v>
      </c>
      <c r="I56" s="417">
        <f t="shared" si="3"/>
        <v>2726</v>
      </c>
      <c r="J56" s="364">
        <f t="shared" si="4"/>
        <v>-0.12472487160674982</v>
      </c>
    </row>
    <row r="57" spans="1:10" hidden="1" x14ac:dyDescent="0.25">
      <c r="A57" s="214">
        <v>24</v>
      </c>
      <c r="B57" s="37" t="str">
        <f>CONCATENATE("Ratio Electricité - ",'0_ENTREE'!B56)</f>
        <v>Ratio Electricité - GE2.1 - 299 - T4 - 79m²</v>
      </c>
      <c r="C57" s="417">
        <f t="shared" si="5"/>
        <v>22.299999999999955</v>
      </c>
      <c r="D57" s="417">
        <f>'1_REFERENCE'!C126</f>
        <v>5.2000000000000455</v>
      </c>
      <c r="E57" s="107">
        <f>'0_ENTREE'!M56</f>
        <v>836.1</v>
      </c>
      <c r="F57" s="108">
        <f>'0_ENTREE'!N56</f>
        <v>858.4</v>
      </c>
      <c r="G57" s="13"/>
      <c r="H57" s="417">
        <v>1708</v>
      </c>
      <c r="I57" s="417">
        <f t="shared" si="3"/>
        <v>2726</v>
      </c>
      <c r="J57" s="364">
        <f t="shared" si="4"/>
        <v>0.3734409391049156</v>
      </c>
    </row>
    <row r="58" spans="1:10" hidden="1" x14ac:dyDescent="0.25">
      <c r="A58" s="214">
        <v>25</v>
      </c>
      <c r="B58" s="37" t="str">
        <f>CONCATENATE("Ratio Electricité - ",'0_ENTREE'!B57)</f>
        <v>Ratio Electricité - GE2.1 - 300 - T5 - 93m²</v>
      </c>
      <c r="C58" s="417">
        <f t="shared" si="5"/>
        <v>49</v>
      </c>
      <c r="D58" s="417">
        <f>'1_REFERENCE'!C127</f>
        <v>58.199999999999818</v>
      </c>
      <c r="E58" s="107">
        <f>'0_ENTREE'!M57</f>
        <v>1531.6</v>
      </c>
      <c r="F58" s="108">
        <f>'0_ENTREE'!N57</f>
        <v>1580.6</v>
      </c>
      <c r="G58" s="13"/>
      <c r="H58" s="417">
        <v>3119</v>
      </c>
      <c r="I58" s="417">
        <f t="shared" si="3"/>
        <v>2726</v>
      </c>
      <c r="J58" s="364">
        <f t="shared" si="4"/>
        <v>-0.14416727806309612</v>
      </c>
    </row>
    <row r="59" spans="1:10" hidden="1" x14ac:dyDescent="0.25">
      <c r="A59" s="214">
        <v>26</v>
      </c>
      <c r="B59" s="37" t="str">
        <f>CONCATENATE("Ratio Electricité - ",'0_ENTREE'!B58)</f>
        <v>Ratio Electricité - GE2.1 - 302 - T5 - 93m²</v>
      </c>
      <c r="C59" s="417">
        <f t="shared" si="5"/>
        <v>51.799999999999955</v>
      </c>
      <c r="D59" s="417">
        <f>'1_REFERENCE'!C128</f>
        <v>48.799999999999955</v>
      </c>
      <c r="E59" s="107">
        <f>'0_ENTREE'!M58</f>
        <v>1326.3</v>
      </c>
      <c r="F59" s="108">
        <f>'0_ENTREE'!N58</f>
        <v>1378.1</v>
      </c>
      <c r="G59" s="13"/>
      <c r="H59" s="417">
        <v>2329</v>
      </c>
      <c r="I59" s="417">
        <f t="shared" si="3"/>
        <v>2726</v>
      </c>
      <c r="J59" s="364">
        <f t="shared" si="4"/>
        <v>0.14563462949376377</v>
      </c>
    </row>
    <row r="60" spans="1:10" hidden="1" x14ac:dyDescent="0.25">
      <c r="A60" s="214">
        <v>27</v>
      </c>
      <c r="B60" s="37" t="str">
        <f>CONCATENATE("Ratio Electricité - ",'0_ENTREE'!B59)</f>
        <v>Ratio Electricité - GE2.1 - 312 - T4 - 75m²</v>
      </c>
      <c r="C60" s="417">
        <f t="shared" si="5"/>
        <v>31.799999999999272</v>
      </c>
      <c r="D60" s="417">
        <f>'1_REFERENCE'!C129</f>
        <v>30.299999999999272</v>
      </c>
      <c r="E60" s="107">
        <f>'0_ENTREE'!M59</f>
        <v>30617.3</v>
      </c>
      <c r="F60" s="108">
        <f>'0_ENTREE'!N59</f>
        <v>30649.1</v>
      </c>
      <c r="G60" s="13"/>
      <c r="H60" s="417">
        <v>1413</v>
      </c>
      <c r="I60" s="417">
        <f t="shared" si="3"/>
        <v>2726</v>
      </c>
      <c r="J60" s="364">
        <f t="shared" si="4"/>
        <v>0.48165810711665447</v>
      </c>
    </row>
    <row r="61" spans="1:10" s="46" customFormat="1" ht="13.5" hidden="1" thickBot="1" x14ac:dyDescent="0.3">
      <c r="A61" s="214">
        <v>28</v>
      </c>
      <c r="B61" s="220" t="str">
        <f>CONCATENATE("Ratio Electricité - ",'0_ENTREE'!B60)</f>
        <v>Ratio Electricité - MOYENNE GE2.1</v>
      </c>
      <c r="C61" s="418">
        <f>AVERAGE(C48:C60)</f>
        <v>33.769230769230688</v>
      </c>
      <c r="D61" s="418">
        <f>AVERAGE(D48:D60)</f>
        <v>33.846153846153776</v>
      </c>
      <c r="E61" s="218"/>
      <c r="F61" s="219"/>
      <c r="G61" s="28"/>
      <c r="H61" s="418"/>
      <c r="I61" s="418">
        <f>AVERAGE(I48:I60)</f>
        <v>2726</v>
      </c>
      <c r="J61" s="423"/>
    </row>
    <row r="62" spans="1:10" x14ac:dyDescent="0.25">
      <c r="A62" s="214">
        <v>29</v>
      </c>
      <c r="B62" s="47" t="str">
        <f>CONCATENATE("Ratio Electricité - ",'0_ENTREE'!B61)</f>
        <v>Ratio Electricité - GE2.2 - 271 - T3 - 74m²</v>
      </c>
      <c r="C62" s="419">
        <f>(F62-E62)</f>
        <v>31.800000000000068</v>
      </c>
      <c r="D62" s="419">
        <f>'1_REFERENCE'!C131</f>
        <v>26.199999999999932</v>
      </c>
      <c r="E62" s="109">
        <f>'0_ENTREE'!M61</f>
        <v>743.3</v>
      </c>
      <c r="F62" s="110">
        <f>'0_ENTREE'!N61</f>
        <v>775.1</v>
      </c>
      <c r="G62" s="13"/>
      <c r="H62" s="419">
        <v>1560</v>
      </c>
      <c r="I62" s="419">
        <f t="shared" ref="I62:I74" si="6">I61</f>
        <v>2726</v>
      </c>
      <c r="J62" s="422">
        <f t="shared" ref="J62:J74" si="7">(I62-H62)/I62</f>
        <v>0.42773294203961848</v>
      </c>
    </row>
    <row r="63" spans="1:10" x14ac:dyDescent="0.25">
      <c r="A63" s="214">
        <v>30</v>
      </c>
      <c r="B63" s="37" t="str">
        <f>CONCATENATE("Ratio Electricité - ",'0_ENTREE'!B62)</f>
        <v>Ratio Electricité - GE2.2 - 272 - T3 - 74m²</v>
      </c>
      <c r="C63" s="417">
        <f t="shared" ref="C63:C74" si="8">(F63-E63)</f>
        <v>72.700000000000273</v>
      </c>
      <c r="D63" s="417">
        <f>'1_REFERENCE'!C132</f>
        <v>78.5</v>
      </c>
      <c r="E63" s="107">
        <f>'0_ENTREE'!M62</f>
        <v>2893.1</v>
      </c>
      <c r="F63" s="108">
        <f>'0_ENTREE'!N62</f>
        <v>2965.8</v>
      </c>
      <c r="G63" s="13"/>
      <c r="H63" s="417">
        <v>1618</v>
      </c>
      <c r="I63" s="417">
        <f t="shared" si="6"/>
        <v>2726</v>
      </c>
      <c r="J63" s="364">
        <f t="shared" si="7"/>
        <v>0.40645634629493765</v>
      </c>
    </row>
    <row r="64" spans="1:10" x14ac:dyDescent="0.25">
      <c r="A64" s="214">
        <v>31</v>
      </c>
      <c r="B64" s="37" t="str">
        <f>CONCATENATE("Ratio Electricité - ",'0_ENTREE'!B63)</f>
        <v>Ratio Electricité - GE2.2 - 273 - T3 - 74m²</v>
      </c>
      <c r="C64" s="417">
        <f t="shared" si="8"/>
        <v>54.799999999999955</v>
      </c>
      <c r="D64" s="417">
        <f>'1_REFERENCE'!C133</f>
        <v>55.299999999999955</v>
      </c>
      <c r="E64" s="107">
        <f>'0_ENTREE'!M63</f>
        <v>1471.2</v>
      </c>
      <c r="F64" s="108">
        <f>'0_ENTREE'!N63</f>
        <v>1526</v>
      </c>
      <c r="G64" s="13"/>
      <c r="H64" s="417">
        <v>2760</v>
      </c>
      <c r="I64" s="417">
        <f t="shared" si="6"/>
        <v>2726</v>
      </c>
      <c r="J64" s="364">
        <f t="shared" si="7"/>
        <v>-1.2472487160674981E-2</v>
      </c>
    </row>
    <row r="65" spans="1:10" x14ac:dyDescent="0.25">
      <c r="A65" s="214">
        <v>32</v>
      </c>
      <c r="B65" s="37" t="str">
        <f>CONCATENATE("Ratio Electricité - ",'0_ENTREE'!B64)</f>
        <v>Ratio Electricité - GE2.2 - 276 - T4 - 83m²</v>
      </c>
      <c r="C65" s="417">
        <f t="shared" si="8"/>
        <v>85.699999999999818</v>
      </c>
      <c r="D65" s="417">
        <f>'1_REFERENCE'!C134</f>
        <v>89.299999999999955</v>
      </c>
      <c r="E65" s="107">
        <f>'0_ENTREE'!M64</f>
        <v>2071.5</v>
      </c>
      <c r="F65" s="108">
        <f>'0_ENTREE'!N64</f>
        <v>2157.1999999999998</v>
      </c>
      <c r="G65" s="13"/>
      <c r="H65" s="417">
        <v>4622</v>
      </c>
      <c r="I65" s="417">
        <f t="shared" si="6"/>
        <v>2726</v>
      </c>
      <c r="J65" s="364">
        <f t="shared" si="7"/>
        <v>-0.69552457813646373</v>
      </c>
    </row>
    <row r="66" spans="1:10" x14ac:dyDescent="0.25">
      <c r="A66" s="214">
        <v>33</v>
      </c>
      <c r="B66" s="37" t="str">
        <f>CONCATENATE("Ratio Electricité - ",'0_ENTREE'!B65)</f>
        <v>Ratio Electricité - GE2.2 - 279 - T3 - 70m²</v>
      </c>
      <c r="C66" s="417">
        <f t="shared" si="8"/>
        <v>41.700000000000045</v>
      </c>
      <c r="D66" s="417">
        <f>'1_REFERENCE'!C135</f>
        <v>39.299999999999955</v>
      </c>
      <c r="E66" s="107">
        <f>'0_ENTREE'!M65</f>
        <v>1082.5999999999999</v>
      </c>
      <c r="F66" s="108">
        <f>'0_ENTREE'!N65</f>
        <v>1124.3</v>
      </c>
      <c r="G66" s="13"/>
      <c r="H66" s="417">
        <v>2961</v>
      </c>
      <c r="I66" s="417">
        <f t="shared" si="6"/>
        <v>2726</v>
      </c>
      <c r="J66" s="364">
        <f t="shared" si="7"/>
        <v>-8.6206896551724144E-2</v>
      </c>
    </row>
    <row r="67" spans="1:10" x14ac:dyDescent="0.25">
      <c r="A67" s="214">
        <v>34</v>
      </c>
      <c r="B67" s="37" t="str">
        <f>CONCATENATE("Ratio Electricité - ",'0_ENTREE'!B66)</f>
        <v>Ratio Electricité - GE2.2 - 288 - T3 - 68m²</v>
      </c>
      <c r="C67" s="417">
        <f t="shared" si="8"/>
        <v>35.099999999999909</v>
      </c>
      <c r="D67" s="417">
        <f>'1_REFERENCE'!C136</f>
        <v>36.300000000000068</v>
      </c>
      <c r="E67" s="107">
        <f>'0_ENTREE'!M66</f>
        <v>743.7</v>
      </c>
      <c r="F67" s="108">
        <f>'0_ENTREE'!N66</f>
        <v>778.8</v>
      </c>
      <c r="G67" s="13"/>
      <c r="H67" s="417">
        <v>443</v>
      </c>
      <c r="I67" s="417">
        <f t="shared" si="6"/>
        <v>2726</v>
      </c>
      <c r="J67" s="364">
        <f t="shared" si="7"/>
        <v>0.83749082905355832</v>
      </c>
    </row>
    <row r="68" spans="1:10" x14ac:dyDescent="0.25">
      <c r="A68" s="214">
        <v>35</v>
      </c>
      <c r="B68" s="37" t="str">
        <f>CONCATENATE("Ratio Electricité - ",'0_ENTREE'!B67)</f>
        <v>Ratio Electricité - GE2.2 - 291 - T3 - 62m²</v>
      </c>
      <c r="C68" s="417">
        <f t="shared" si="8"/>
        <v>18.799999999999955</v>
      </c>
      <c r="D68" s="417">
        <f>'1_REFERENCE'!C137</f>
        <v>12.599999999999909</v>
      </c>
      <c r="E68" s="107">
        <f>'0_ENTREE'!M67</f>
        <v>1269.3</v>
      </c>
      <c r="F68" s="108">
        <f>'0_ENTREE'!N67</f>
        <v>1288.0999999999999</v>
      </c>
      <c r="G68" s="13"/>
      <c r="H68" s="417">
        <v>2433</v>
      </c>
      <c r="I68" s="417">
        <f t="shared" si="6"/>
        <v>2726</v>
      </c>
      <c r="J68" s="364">
        <f t="shared" si="7"/>
        <v>0.10748349229640498</v>
      </c>
    </row>
    <row r="69" spans="1:10" x14ac:dyDescent="0.25">
      <c r="A69" s="214">
        <v>36</v>
      </c>
      <c r="B69" s="37" t="str">
        <f>CONCATENATE("Ratio Electricité - ",'0_ENTREE'!B68)</f>
        <v>Ratio Electricité - GE2.2 - 294 - T3 - 63m²</v>
      </c>
      <c r="C69" s="417">
        <f t="shared" si="8"/>
        <v>59</v>
      </c>
      <c r="D69" s="417">
        <f>'1_REFERENCE'!C138</f>
        <v>56.700000000000273</v>
      </c>
      <c r="E69" s="107">
        <f>'0_ENTREE'!M68</f>
        <v>3124.8</v>
      </c>
      <c r="F69" s="108">
        <f>'0_ENTREE'!N68</f>
        <v>3183.8</v>
      </c>
      <c r="G69" s="13"/>
      <c r="H69" s="417">
        <v>5370</v>
      </c>
      <c r="I69" s="417">
        <f t="shared" si="6"/>
        <v>2726</v>
      </c>
      <c r="J69" s="364">
        <f t="shared" si="7"/>
        <v>-0.9699192956713133</v>
      </c>
    </row>
    <row r="70" spans="1:10" x14ac:dyDescent="0.25">
      <c r="A70" s="214">
        <v>37</v>
      </c>
      <c r="B70" s="37" t="str">
        <f>CONCATENATE("Ratio Electricité - ",'0_ENTREE'!B69)</f>
        <v>Ratio Electricité - GE2.2 - 298 - T5 - 93m²</v>
      </c>
      <c r="C70" s="417">
        <f t="shared" si="8"/>
        <v>70.700000000000045</v>
      </c>
      <c r="D70" s="417">
        <f>'1_REFERENCE'!C139</f>
        <v>74.599999999999909</v>
      </c>
      <c r="E70" s="107">
        <f>'0_ENTREE'!M69</f>
        <v>1896</v>
      </c>
      <c r="F70" s="108">
        <f>'0_ENTREE'!N69</f>
        <v>1966.7</v>
      </c>
      <c r="G70" s="13"/>
      <c r="H70" s="417">
        <v>3805</v>
      </c>
      <c r="I70" s="417">
        <f t="shared" si="6"/>
        <v>2726</v>
      </c>
      <c r="J70" s="364">
        <f t="shared" si="7"/>
        <v>-0.39581804842259721</v>
      </c>
    </row>
    <row r="71" spans="1:10" x14ac:dyDescent="0.25">
      <c r="A71" s="214">
        <v>38</v>
      </c>
      <c r="B71" s="37" t="str">
        <f>CONCATENATE("Ratio Electricité - ",'0_ENTREE'!B70)</f>
        <v>Ratio Electricité - GE2.2 - 301 - T4 - 79m²</v>
      </c>
      <c r="C71" s="417">
        <f t="shared" si="8"/>
        <v>65</v>
      </c>
      <c r="D71" s="417">
        <f>'1_REFERENCE'!C140</f>
        <v>76.400000000000091</v>
      </c>
      <c r="E71" s="107">
        <f>'0_ENTREE'!M70</f>
        <v>1911.4</v>
      </c>
      <c r="F71" s="108">
        <f>'0_ENTREE'!N70</f>
        <v>1976.4</v>
      </c>
      <c r="G71" s="13"/>
      <c r="H71" s="417">
        <v>4283</v>
      </c>
      <c r="I71" s="417">
        <f t="shared" si="6"/>
        <v>2726</v>
      </c>
      <c r="J71" s="364">
        <f t="shared" si="7"/>
        <v>-0.57116654438738079</v>
      </c>
    </row>
    <row r="72" spans="1:10" x14ac:dyDescent="0.25">
      <c r="A72" s="214">
        <v>39</v>
      </c>
      <c r="B72" s="37" t="str">
        <f>CONCATENATE("Ratio Electricité - ",'0_ENTREE'!B71)</f>
        <v>Ratio Electricité - GE2.2 - 311 - T4 - 74m²</v>
      </c>
      <c r="C72" s="417">
        <f t="shared" si="8"/>
        <v>36</v>
      </c>
      <c r="D72" s="417">
        <f>'1_REFERENCE'!C141</f>
        <v>32.799999999999955</v>
      </c>
      <c r="E72" s="107">
        <f>'0_ENTREE'!M71</f>
        <v>953.8</v>
      </c>
      <c r="F72" s="108">
        <f>'0_ENTREE'!N71</f>
        <v>989.8</v>
      </c>
      <c r="G72" s="13"/>
      <c r="H72" s="417">
        <v>2012</v>
      </c>
      <c r="I72" s="417">
        <f t="shared" si="6"/>
        <v>2726</v>
      </c>
      <c r="J72" s="364">
        <f t="shared" si="7"/>
        <v>0.26192223037417461</v>
      </c>
    </row>
    <row r="73" spans="1:10" x14ac:dyDescent="0.25">
      <c r="A73" s="214">
        <v>40</v>
      </c>
      <c r="B73" s="37" t="str">
        <f>CONCATENATE("Ratio Electricité - ",'0_ENTREE'!B72)</f>
        <v>Ratio Electricité - GE2.2 - 313 - T4 - 75m²</v>
      </c>
      <c r="C73" s="417">
        <f t="shared" si="8"/>
        <v>25.799999999999955</v>
      </c>
      <c r="D73" s="417">
        <f>'1_REFERENCE'!C142</f>
        <v>28.200000000000045</v>
      </c>
      <c r="E73" s="107">
        <f>'0_ENTREE'!M72</f>
        <v>788.6</v>
      </c>
      <c r="F73" s="108">
        <f>'0_ENTREE'!N72</f>
        <v>814.4</v>
      </c>
      <c r="G73" s="13"/>
      <c r="H73" s="417">
        <v>1772</v>
      </c>
      <c r="I73" s="417">
        <f t="shared" si="6"/>
        <v>2726</v>
      </c>
      <c r="J73" s="364">
        <f t="shared" si="7"/>
        <v>0.34996331621423332</v>
      </c>
    </row>
    <row r="74" spans="1:10" x14ac:dyDescent="0.25">
      <c r="A74" s="214">
        <v>41</v>
      </c>
      <c r="B74" s="37" t="str">
        <f>CONCATENATE("Ratio Electricité - ",'0_ENTREE'!B73)</f>
        <v>Ratio Electricité - GE2.2 - 315 - T4 - 75m²</v>
      </c>
      <c r="C74" s="417">
        <f t="shared" si="8"/>
        <v>49.799999999999955</v>
      </c>
      <c r="D74" s="417">
        <f>'1_REFERENCE'!C143</f>
        <v>53.100000000000136</v>
      </c>
      <c r="E74" s="107">
        <f>'0_ENTREE'!M73</f>
        <v>1262.2</v>
      </c>
      <c r="F74" s="108">
        <f>'0_ENTREE'!N73</f>
        <v>1312</v>
      </c>
      <c r="G74" s="13"/>
      <c r="H74" s="417">
        <v>2575</v>
      </c>
      <c r="I74" s="417">
        <f t="shared" si="6"/>
        <v>2726</v>
      </c>
      <c r="J74" s="364">
        <f t="shared" si="7"/>
        <v>5.5392516507703597E-2</v>
      </c>
    </row>
    <row r="75" spans="1:10" s="46" customFormat="1" ht="13.5" thickBot="1" x14ac:dyDescent="0.3">
      <c r="A75" s="214">
        <v>42</v>
      </c>
      <c r="B75" s="220" t="str">
        <f>CONCATENATE("Ratio Electricité - ",'0_ENTREE'!B74)</f>
        <v>Ratio Electricité - MOYENNE GE2.2</v>
      </c>
      <c r="C75" s="418">
        <f>AVERAGE(C62:C74)</f>
        <v>49.761538461538457</v>
      </c>
      <c r="D75" s="418">
        <f>AVERAGE(D62:D74)</f>
        <v>50.715384615384629</v>
      </c>
      <c r="E75" s="218"/>
      <c r="F75" s="219"/>
      <c r="G75" s="28"/>
      <c r="H75" s="418"/>
      <c r="I75" s="418">
        <f>AVERAGE(I62:I74)</f>
        <v>2726</v>
      </c>
      <c r="J75" s="423"/>
    </row>
    <row r="76" spans="1:10" x14ac:dyDescent="0.25">
      <c r="A76" s="214">
        <v>43</v>
      </c>
      <c r="B76" s="47" t="str">
        <f>CONCATENATE("Ratio Electricité - ",'0_ENTREE'!B75)</f>
        <v>Ratio Electricité - SO - 284 - T - 64m²</v>
      </c>
      <c r="C76" s="419">
        <f t="shared" ref="C76:C81" si="9">(F76-E76)</f>
        <v>63.400000000000091</v>
      </c>
      <c r="D76" s="419">
        <f>'1_REFERENCE'!C145</f>
        <v>64</v>
      </c>
      <c r="E76" s="109">
        <f>'0_ENTREE'!M75</f>
        <v>2250</v>
      </c>
      <c r="F76" s="110">
        <f>'0_ENTREE'!N75</f>
        <v>2313.4</v>
      </c>
      <c r="G76" s="13"/>
      <c r="H76" s="419">
        <v>3030</v>
      </c>
      <c r="I76" s="419">
        <f t="shared" ref="I76:I81" si="10">I75</f>
        <v>2726</v>
      </c>
      <c r="J76" s="422">
        <f t="shared" ref="J76:J81" si="11">(I76-H76)/I76</f>
        <v>-0.11151870873074102</v>
      </c>
    </row>
    <row r="77" spans="1:10" x14ac:dyDescent="0.25">
      <c r="A77" s="214">
        <v>44</v>
      </c>
      <c r="B77" s="37" t="str">
        <f>CONCATENATE("Ratio Electricité - ",'0_ENTREE'!B76)</f>
        <v>Ratio Electricité - SO - 287 - T - 81m²</v>
      </c>
      <c r="C77" s="417">
        <f t="shared" si="9"/>
        <v>35.600000000000136</v>
      </c>
      <c r="D77" s="417">
        <f>'1_REFERENCE'!C146</f>
        <v>34.399999999999864</v>
      </c>
      <c r="E77" s="107">
        <f>'0_ENTREE'!M76</f>
        <v>1079.5999999999999</v>
      </c>
      <c r="F77" s="108">
        <f>'0_ENTREE'!N76</f>
        <v>1115.2</v>
      </c>
      <c r="G77" s="13"/>
      <c r="H77" s="417">
        <v>1081</v>
      </c>
      <c r="I77" s="417">
        <f t="shared" si="10"/>
        <v>2726</v>
      </c>
      <c r="J77" s="364">
        <f t="shared" si="11"/>
        <v>0.60344827586206895</v>
      </c>
    </row>
    <row r="78" spans="1:10" x14ac:dyDescent="0.25">
      <c r="A78" s="214">
        <v>45</v>
      </c>
      <c r="B78" s="37" t="str">
        <f>CONCATENATE("Ratio Electricité - ",'0_ENTREE'!B77)</f>
        <v>Ratio Electricité - SO - 290 - T - 40m²</v>
      </c>
      <c r="C78" s="417">
        <f t="shared" si="9"/>
        <v>26.799999999999955</v>
      </c>
      <c r="D78" s="417">
        <f>'1_REFERENCE'!C147</f>
        <v>23</v>
      </c>
      <c r="E78" s="107">
        <f>'0_ENTREE'!M77</f>
        <v>534.5</v>
      </c>
      <c r="F78" s="108">
        <f>'0_ENTREE'!N77</f>
        <v>561.29999999999995</v>
      </c>
      <c r="G78" s="13"/>
      <c r="H78" s="417">
        <v>1188</v>
      </c>
      <c r="I78" s="417">
        <f t="shared" si="10"/>
        <v>2726</v>
      </c>
      <c r="J78" s="364">
        <f t="shared" si="11"/>
        <v>0.56419662509170942</v>
      </c>
    </row>
    <row r="79" spans="1:10" x14ac:dyDescent="0.25">
      <c r="A79" s="214">
        <v>46</v>
      </c>
      <c r="B79" s="37" t="str">
        <f>CONCATENATE("Ratio Electricité - ",'0_ENTREE'!B78)</f>
        <v>Ratio Electricité - SO - 305 - T - 66m²</v>
      </c>
      <c r="C79" s="417">
        <f t="shared" si="9"/>
        <v>43.799999999999955</v>
      </c>
      <c r="D79" s="417">
        <f>'1_REFERENCE'!C148</f>
        <v>40.700000000000045</v>
      </c>
      <c r="E79" s="107">
        <f>'0_ENTREE'!M78</f>
        <v>1035</v>
      </c>
      <c r="F79" s="108">
        <f>'0_ENTREE'!N78</f>
        <v>1078.8</v>
      </c>
      <c r="G79" s="13"/>
      <c r="H79" s="417">
        <v>2028</v>
      </c>
      <c r="I79" s="417">
        <f t="shared" si="10"/>
        <v>2726</v>
      </c>
      <c r="J79" s="364">
        <f t="shared" si="11"/>
        <v>0.25605282465150403</v>
      </c>
    </row>
    <row r="80" spans="1:10" x14ac:dyDescent="0.25">
      <c r="A80" s="214">
        <v>47</v>
      </c>
      <c r="B80" s="37" t="str">
        <f>CONCATENATE("Ratio Electricité - ",'0_ENTREE'!B79)</f>
        <v>Ratio Electricité - SO - 309 - T - 66m²</v>
      </c>
      <c r="C80" s="417">
        <f t="shared" si="9"/>
        <v>17</v>
      </c>
      <c r="D80" s="417">
        <f>'1_REFERENCE'!C149</f>
        <v>19.5</v>
      </c>
      <c r="E80" s="107">
        <f>'0_ENTREE'!M79</f>
        <v>605.79999999999995</v>
      </c>
      <c r="F80" s="108">
        <f>'0_ENTREE'!N79</f>
        <v>622.79999999999995</v>
      </c>
      <c r="G80" s="13"/>
      <c r="H80" s="417">
        <v>1241</v>
      </c>
      <c r="I80" s="417">
        <f t="shared" si="10"/>
        <v>2726</v>
      </c>
      <c r="J80" s="364">
        <f t="shared" si="11"/>
        <v>0.54475421863536322</v>
      </c>
    </row>
    <row r="81" spans="1:20" x14ac:dyDescent="0.25">
      <c r="A81" s="214">
        <v>48</v>
      </c>
      <c r="B81" s="37" t="str">
        <f>CONCATENATE("Ratio Electricité - ",'0_ENTREE'!B80)</f>
        <v>Ratio Electricité - SO - 310 - T - 54m²</v>
      </c>
      <c r="C81" s="417">
        <f t="shared" si="9"/>
        <v>15.299999999999955</v>
      </c>
      <c r="D81" s="417">
        <f>'1_REFERENCE'!C150</f>
        <v>35.200000000000045</v>
      </c>
      <c r="E81" s="107">
        <f>'0_ENTREE'!M80</f>
        <v>1460.8</v>
      </c>
      <c r="F81" s="108">
        <f>'0_ENTREE'!N80</f>
        <v>1476.1</v>
      </c>
      <c r="G81" s="13"/>
      <c r="H81" s="417">
        <v>1420</v>
      </c>
      <c r="I81" s="417">
        <f t="shared" si="10"/>
        <v>2726</v>
      </c>
      <c r="J81" s="364">
        <f t="shared" si="11"/>
        <v>0.47909024211298606</v>
      </c>
    </row>
    <row r="82" spans="1:20" s="46" customFormat="1" ht="13.5" thickBot="1" x14ac:dyDescent="0.3">
      <c r="A82" s="214">
        <v>49</v>
      </c>
      <c r="B82" s="220" t="str">
        <f>CONCATENATE("Ratio Electricité - ",'0_ENTREE'!B81)</f>
        <v>Ratio Electricité - MOYENNE SO</v>
      </c>
      <c r="C82" s="418">
        <f>AVERAGE(C76:C81)</f>
        <v>33.650000000000013</v>
      </c>
      <c r="D82" s="418">
        <f>AVERAGE(D76:D81)</f>
        <v>36.133333333333326</v>
      </c>
      <c r="E82" s="218"/>
      <c r="F82" s="219"/>
      <c r="G82" s="28"/>
      <c r="H82" s="418"/>
      <c r="I82" s="418">
        <f>AVERAGE(I69:I81)</f>
        <v>2726</v>
      </c>
      <c r="J82" s="423"/>
    </row>
    <row r="83" spans="1:20" s="4" customFormat="1" x14ac:dyDescent="0.25">
      <c r="A83" s="13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</sheetData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95" orientation="portrait" r:id="rId2"/>
  <headerFooter>
    <oddFooter>&amp;L&amp;F&amp;CSOLAIR&amp;R&amp;A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T87"/>
  <sheetViews>
    <sheetView topLeftCell="A28" zoomScaleNormal="100" workbookViewId="0">
      <selection activeCell="B89" sqref="B89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6" width="12.7109375" style="1" customWidth="1"/>
    <col min="17" max="20" width="13.28515625" style="1" customWidth="1"/>
    <col min="21" max="21" width="18.5703125" style="1" customWidth="1"/>
    <col min="22" max="16384" width="11.42578125" style="1"/>
  </cols>
  <sheetData>
    <row r="1" spans="1:18" s="18" customFormat="1" ht="30" customHeight="1" thickBot="1" x14ac:dyDescent="0.3">
      <c r="A1" s="465" t="str">
        <f>CONCATENATE("ENCERTICUS - ",B4," - ",B5," - ",B7)</f>
        <v>ENCERTICUS - TRAITEMENT EAU - 2014 - S23</v>
      </c>
      <c r="B1" s="466"/>
      <c r="C1" s="466"/>
      <c r="D1" s="467"/>
      <c r="E1" s="25"/>
      <c r="F1" s="185" t="s">
        <v>73</v>
      </c>
      <c r="G1" s="111" t="s">
        <v>74</v>
      </c>
      <c r="H1" s="25"/>
      <c r="I1" s="25"/>
    </row>
    <row r="2" spans="1:18" s="18" customFormat="1" ht="13.5" thickBot="1" x14ac:dyDescent="0.3">
      <c r="E2" s="23"/>
      <c r="F2" s="13"/>
      <c r="G2" s="102"/>
      <c r="H2" s="13"/>
      <c r="I2" s="25"/>
    </row>
    <row r="3" spans="1:18" s="18" customFormat="1" ht="25.5" x14ac:dyDescent="0.25">
      <c r="A3" s="305" t="s">
        <v>9</v>
      </c>
      <c r="B3" s="306" t="s">
        <v>10</v>
      </c>
      <c r="C3" s="341"/>
      <c r="I3" s="333" t="str">
        <f>'0_ENTREE'!I3</f>
        <v>DJU moyen</v>
      </c>
      <c r="J3" s="168" t="s">
        <v>183</v>
      </c>
      <c r="K3" s="339" t="str">
        <f>'0_ENTREE'!K3</f>
        <v>DJU REEL - 2011</v>
      </c>
      <c r="L3" s="339" t="str">
        <f>'0_ENTREE'!L3</f>
        <v>DJU REEL - 2012</v>
      </c>
      <c r="M3" s="339" t="str">
        <f>'0_ENTREE'!M3</f>
        <v>DJU REEL - 2013</v>
      </c>
      <c r="N3" s="339" t="str">
        <f>'0_ENTREE'!N3</f>
        <v>DJU REEL - 2014</v>
      </c>
      <c r="O3" s="339" t="str">
        <f>'0_ENTREE'!O3</f>
        <v>DJU REEL - 2015</v>
      </c>
      <c r="P3" s="339" t="str">
        <f>'0_ENTREE'!P3</f>
        <v>DJU REEL - 2016</v>
      </c>
      <c r="Q3" s="339" t="str">
        <f>'0_ENTREE'!Q3</f>
        <v>DJU REEL - 2017</v>
      </c>
    </row>
    <row r="4" spans="1:18" s="18" customFormat="1" x14ac:dyDescent="0.25">
      <c r="A4" s="96" t="s">
        <v>11</v>
      </c>
      <c r="B4" s="97" t="s">
        <v>243</v>
      </c>
      <c r="C4" s="341"/>
      <c r="E4" s="470" t="str">
        <f>'0_ENTREE'!E4:F4</f>
        <v>DJU Annuel Moyen</v>
      </c>
      <c r="F4" s="470"/>
      <c r="G4" s="335">
        <f>'0_ENTREE'!G4</f>
        <v>1519.8666666666668</v>
      </c>
      <c r="I4" s="359">
        <f>'0_ENTREE'!I4</f>
        <v>335.36666666666662</v>
      </c>
      <c r="J4" s="317" t="str">
        <f>'0_ENTREE'!J4</f>
        <v>Janvier</v>
      </c>
      <c r="K4" s="317">
        <f>'0_ENTREE'!K4</f>
        <v>339.1</v>
      </c>
      <c r="L4" s="317">
        <f>'0_ENTREE'!L4</f>
        <v>302.7</v>
      </c>
      <c r="M4" s="317">
        <f>'0_ENTREE'!M4</f>
        <v>364.3</v>
      </c>
      <c r="N4" s="317">
        <f>'0_ENTREE'!N4</f>
        <v>302.7</v>
      </c>
      <c r="O4" s="317">
        <f>'0_ENTREE'!O4</f>
        <v>0</v>
      </c>
      <c r="P4" s="317">
        <f>'0_ENTREE'!P4</f>
        <v>0</v>
      </c>
      <c r="Q4" s="155">
        <f>'1_REFERENCE'!O4</f>
        <v>0</v>
      </c>
    </row>
    <row r="5" spans="1:18" s="18" customFormat="1" x14ac:dyDescent="0.25">
      <c r="A5" s="96" t="s">
        <v>35</v>
      </c>
      <c r="B5" s="101">
        <f>'0_ENTREE'!B5</f>
        <v>2014</v>
      </c>
      <c r="C5" s="341">
        <f>'0_ENTREE'!C5</f>
        <v>6</v>
      </c>
      <c r="E5" s="470" t="str">
        <f>'0_ENTREE'!E5:F5</f>
        <v>DJU Annuel Réel - 2014</v>
      </c>
      <c r="F5" s="470"/>
      <c r="G5" s="335">
        <f>'0_ENTREE'!G5</f>
        <v>1548.4</v>
      </c>
      <c r="I5" s="359">
        <f>'0_ENTREE'!I5</f>
        <v>347.76666666666671</v>
      </c>
      <c r="J5" s="317" t="str">
        <f>'0_ENTREE'!J5</f>
        <v>Février</v>
      </c>
      <c r="K5" s="317">
        <f>'0_ENTREE'!K5</f>
        <v>266.60000000000002</v>
      </c>
      <c r="L5" s="317">
        <f>'0_ENTREE'!L5</f>
        <v>425.6</v>
      </c>
      <c r="M5" s="317">
        <f>'0_ENTREE'!M5</f>
        <v>351.1</v>
      </c>
      <c r="N5" s="317">
        <f>'0_ENTREE'!N5</f>
        <v>425.6</v>
      </c>
      <c r="O5" s="317">
        <f>'0_ENTREE'!O5</f>
        <v>0</v>
      </c>
      <c r="P5" s="317">
        <f>'0_ENTREE'!P5</f>
        <v>0</v>
      </c>
      <c r="Q5" s="155">
        <f>'1_REFERENCE'!O5</f>
        <v>0</v>
      </c>
    </row>
    <row r="6" spans="1:18" s="18" customFormat="1" x14ac:dyDescent="0.25">
      <c r="A6" s="96" t="s">
        <v>36</v>
      </c>
      <c r="B6" s="101" t="str">
        <f>'0_ENTREE'!B6</f>
        <v>Juin</v>
      </c>
      <c r="C6" s="341">
        <f>'0_ENTREE'!C6</f>
        <v>8</v>
      </c>
      <c r="E6" s="470" t="str">
        <f>'0_ENTREE'!E6:F6</f>
        <v>DJU Mensuel Moyen - Juin</v>
      </c>
      <c r="F6" s="470"/>
      <c r="G6" s="335">
        <f>'0_ENTREE'!G6</f>
        <v>0</v>
      </c>
      <c r="I6" s="359">
        <f>'0_ENTREE'!I6</f>
        <v>210.16666666666666</v>
      </c>
      <c r="J6" s="317" t="str">
        <f>'0_ENTREE'!J6</f>
        <v>Mars</v>
      </c>
      <c r="K6" s="317">
        <f>'0_ENTREE'!K6</f>
        <v>217.4</v>
      </c>
      <c r="L6" s="317">
        <f>'0_ENTREE'!L6</f>
        <v>183.6</v>
      </c>
      <c r="M6" s="317">
        <f>'0_ENTREE'!M6</f>
        <v>229.5</v>
      </c>
      <c r="N6" s="317">
        <f>'0_ENTREE'!N6</f>
        <v>183.6</v>
      </c>
      <c r="O6" s="317">
        <f>'0_ENTREE'!O6</f>
        <v>0</v>
      </c>
      <c r="P6" s="317">
        <f>'0_ENTREE'!P6</f>
        <v>0</v>
      </c>
      <c r="Q6" s="155">
        <f>'1_REFERENCE'!O6</f>
        <v>0</v>
      </c>
    </row>
    <row r="7" spans="1:18" s="18" customFormat="1" x14ac:dyDescent="0.25">
      <c r="A7" s="96" t="s">
        <v>57</v>
      </c>
      <c r="B7" s="101" t="str">
        <f>'0_ENTREE'!B7</f>
        <v>S23</v>
      </c>
      <c r="C7" s="341">
        <f>'0_ENTREE'!C7</f>
        <v>25</v>
      </c>
      <c r="E7" s="470" t="str">
        <f>'0_ENTREE'!E7:F7</f>
        <v>DJU Mensuel Réel - Juin</v>
      </c>
      <c r="F7" s="470"/>
      <c r="G7" s="335">
        <f>'0_ENTREE'!G7</f>
        <v>0</v>
      </c>
      <c r="I7" s="359">
        <f>'0_ENTREE'!I7</f>
        <v>106.96666666666665</v>
      </c>
      <c r="J7" s="317" t="str">
        <f>'0_ENTREE'!J7</f>
        <v>Avril</v>
      </c>
      <c r="K7" s="317">
        <f>'0_ENTREE'!K7</f>
        <v>69</v>
      </c>
      <c r="L7" s="317">
        <f>'0_ENTREE'!L7</f>
        <v>120.9</v>
      </c>
      <c r="M7" s="317">
        <f>'0_ENTREE'!M7</f>
        <v>131</v>
      </c>
      <c r="N7" s="317">
        <f>'0_ENTREE'!N7</f>
        <v>120.9</v>
      </c>
      <c r="O7" s="317">
        <f>'0_ENTREE'!O7</f>
        <v>0</v>
      </c>
      <c r="P7" s="317">
        <f>'0_ENTREE'!P7</f>
        <v>0</v>
      </c>
      <c r="Q7" s="155">
        <f>'1_REFERENCE'!O7</f>
        <v>0</v>
      </c>
    </row>
    <row r="8" spans="1:18" s="18" customFormat="1" ht="13.5" thickBot="1" x14ac:dyDescent="0.3">
      <c r="A8" s="98" t="s">
        <v>31</v>
      </c>
      <c r="B8" s="104" t="str">
        <f>'0_ENTREE'!B8</f>
        <v>Semaine</v>
      </c>
      <c r="C8" s="341">
        <f>'0_ENTREE'!C8</f>
        <v>0</v>
      </c>
      <c r="E8" s="470" t="str">
        <f>'0_ENTREE'!E8:F8</f>
        <v>DJU Hebdo Moyen - Juin</v>
      </c>
      <c r="F8" s="470"/>
      <c r="G8" s="335">
        <f>'0_ENTREE'!G8</f>
        <v>0</v>
      </c>
      <c r="I8" s="359">
        <f>'0_ENTREE'!I8</f>
        <v>31.966666666666669</v>
      </c>
      <c r="J8" s="317" t="str">
        <f>'0_ENTREE'!J8</f>
        <v>Mai</v>
      </c>
      <c r="K8" s="317">
        <f>'0_ENTREE'!K8</f>
        <v>7.9</v>
      </c>
      <c r="L8" s="317">
        <f>'0_ENTREE'!L8</f>
        <v>17.2</v>
      </c>
      <c r="M8" s="317">
        <f>'0_ENTREE'!M8</f>
        <v>70.8</v>
      </c>
      <c r="N8" s="317">
        <f>'0_ENTREE'!N8</f>
        <v>17.2</v>
      </c>
      <c r="O8" s="317">
        <f>'0_ENTREE'!O8</f>
        <v>0</v>
      </c>
      <c r="P8" s="317">
        <f>'0_ENTREE'!P8</f>
        <v>0</v>
      </c>
      <c r="Q8" s="155">
        <f>'1_REFERENCE'!O8</f>
        <v>0</v>
      </c>
    </row>
    <row r="9" spans="1:18" x14ac:dyDescent="0.25">
      <c r="A9" s="13"/>
      <c r="B9" s="16"/>
      <c r="C9" s="13"/>
      <c r="D9" s="18"/>
      <c r="E9" s="470" t="str">
        <f>'0_ENTREE'!E9:F9</f>
        <v>DJU Hebdo Réel - S23</v>
      </c>
      <c r="F9" s="470"/>
      <c r="G9" s="335">
        <f>'0_ENTREE'!G9</f>
        <v>0</v>
      </c>
      <c r="H9" s="18"/>
      <c r="I9" s="359">
        <f>'0_ENTREE'!I9</f>
        <v>0</v>
      </c>
      <c r="J9" s="317" t="str">
        <f>'0_ENTREE'!J9</f>
        <v>Juin</v>
      </c>
      <c r="K9" s="317">
        <f>'0_ENTREE'!K9</f>
        <v>0</v>
      </c>
      <c r="L9" s="317">
        <f>'0_ENTREE'!L9</f>
        <v>0</v>
      </c>
      <c r="M9" s="317">
        <f>'0_ENTREE'!M9</f>
        <v>0</v>
      </c>
      <c r="N9" s="317">
        <f>'0_ENTREE'!N9</f>
        <v>0</v>
      </c>
      <c r="O9" s="317">
        <f>'0_ENTREE'!O9</f>
        <v>0</v>
      </c>
      <c r="P9" s="317">
        <f>'0_ENTREE'!P9</f>
        <v>0</v>
      </c>
      <c r="Q9" s="155">
        <f>'1_REFERENCE'!O9</f>
        <v>0</v>
      </c>
      <c r="R9" s="18"/>
    </row>
    <row r="10" spans="1:18" x14ac:dyDescent="0.25">
      <c r="A10" s="13"/>
      <c r="B10" s="16"/>
      <c r="C10" s="13"/>
      <c r="D10" s="18"/>
      <c r="E10" s="18"/>
      <c r="F10" s="18"/>
      <c r="G10" s="18"/>
      <c r="H10" s="18"/>
      <c r="I10" s="359">
        <f>'0_ENTREE'!I10</f>
        <v>0</v>
      </c>
      <c r="J10" s="317" t="str">
        <f>'0_ENTREE'!J10</f>
        <v>Juillet</v>
      </c>
      <c r="K10" s="317">
        <f>'0_ENTREE'!K10</f>
        <v>0</v>
      </c>
      <c r="L10" s="317">
        <f>'0_ENTREE'!L10</f>
        <v>0</v>
      </c>
      <c r="M10" s="317">
        <f>'0_ENTREE'!M10</f>
        <v>0</v>
      </c>
      <c r="N10" s="317">
        <f>'0_ENTREE'!N10</f>
        <v>0</v>
      </c>
      <c r="O10" s="317">
        <f>'0_ENTREE'!O10</f>
        <v>0</v>
      </c>
      <c r="P10" s="317">
        <f>'0_ENTREE'!P10</f>
        <v>0</v>
      </c>
      <c r="Q10" s="155">
        <f>'1_REFERENCE'!O10</f>
        <v>0</v>
      </c>
      <c r="R10" s="20"/>
    </row>
    <row r="11" spans="1:18" x14ac:dyDescent="0.25">
      <c r="A11" s="13"/>
      <c r="B11" s="16"/>
      <c r="C11" s="13"/>
      <c r="D11" s="18"/>
      <c r="E11" s="18"/>
      <c r="F11" s="18"/>
      <c r="G11" s="18"/>
      <c r="H11" s="18"/>
      <c r="I11" s="359">
        <f>'0_ENTREE'!I11</f>
        <v>0</v>
      </c>
      <c r="J11" s="317" t="str">
        <f>'0_ENTREE'!J11</f>
        <v>Août</v>
      </c>
      <c r="K11" s="317">
        <f>'0_ENTREE'!K11</f>
        <v>0</v>
      </c>
      <c r="L11" s="317">
        <f>'0_ENTREE'!L11</f>
        <v>0</v>
      </c>
      <c r="M11" s="317">
        <f>'0_ENTREE'!M11</f>
        <v>0</v>
      </c>
      <c r="N11" s="317">
        <f>'0_ENTREE'!N11</f>
        <v>0</v>
      </c>
      <c r="O11" s="317">
        <f>'0_ENTREE'!O11</f>
        <v>0</v>
      </c>
      <c r="P11" s="317">
        <f>'0_ENTREE'!P11</f>
        <v>0</v>
      </c>
      <c r="Q11" s="155">
        <f>'1_REFERENCE'!O11</f>
        <v>0</v>
      </c>
      <c r="R11" s="18"/>
    </row>
    <row r="12" spans="1:18" ht="25.5" x14ac:dyDescent="0.25">
      <c r="A12" s="13"/>
      <c r="B12" s="310" t="s">
        <v>175</v>
      </c>
      <c r="C12" s="310" t="s">
        <v>53</v>
      </c>
      <c r="D12" s="471" t="s">
        <v>56</v>
      </c>
      <c r="E12" s="471"/>
      <c r="F12" s="310" t="s">
        <v>58</v>
      </c>
      <c r="G12" s="9"/>
      <c r="H12" s="9"/>
      <c r="I12" s="359">
        <f>'0_ENTREE'!I12</f>
        <v>0</v>
      </c>
      <c r="J12" s="317" t="str">
        <f>'0_ENTREE'!J12</f>
        <v>Septembre</v>
      </c>
      <c r="K12" s="317">
        <f>'0_ENTREE'!K12</f>
        <v>0</v>
      </c>
      <c r="L12" s="317">
        <f>'0_ENTREE'!L12</f>
        <v>0</v>
      </c>
      <c r="M12" s="317">
        <f>'0_ENTREE'!M12</f>
        <v>0</v>
      </c>
      <c r="N12" s="317">
        <f>'0_ENTREE'!N12</f>
        <v>0</v>
      </c>
      <c r="O12" s="317">
        <f>'0_ENTREE'!O12</f>
        <v>0</v>
      </c>
      <c r="P12" s="317">
        <f>'0_ENTREE'!P12</f>
        <v>0</v>
      </c>
      <c r="Q12" s="155">
        <f>'1_REFERENCE'!O12</f>
        <v>0</v>
      </c>
    </row>
    <row r="13" spans="1:18" x14ac:dyDescent="0.25">
      <c r="A13" s="13"/>
      <c r="B13" s="111" t="str">
        <f>'0_ENTREE'!B13</f>
        <v>Ratio de chauffage</v>
      </c>
      <c r="C13" s="314">
        <f>'0_ENTREE'!C13</f>
        <v>0</v>
      </c>
      <c r="D13" s="472" t="s">
        <v>34</v>
      </c>
      <c r="E13" s="472"/>
      <c r="F13" s="308"/>
      <c r="G13" s="9"/>
      <c r="H13" s="9"/>
      <c r="I13" s="359">
        <f>'0_ENTREE'!I13</f>
        <v>20</v>
      </c>
      <c r="J13" s="317" t="str">
        <f>'0_ENTREE'!J13</f>
        <v>Octobre</v>
      </c>
      <c r="K13" s="317">
        <f>'0_ENTREE'!K13</f>
        <v>9.6</v>
      </c>
      <c r="L13" s="317">
        <f>'0_ENTREE'!L13</f>
        <v>44.5</v>
      </c>
      <c r="M13" s="317">
        <f>'0_ENTREE'!M13</f>
        <v>5.9</v>
      </c>
      <c r="N13" s="317">
        <f>'0_ENTREE'!N13</f>
        <v>44.5</v>
      </c>
      <c r="O13" s="317">
        <f>'0_ENTREE'!O13</f>
        <v>0</v>
      </c>
      <c r="P13" s="317">
        <f>'0_ENTREE'!P13</f>
        <v>0</v>
      </c>
      <c r="Q13" s="155">
        <f>'1_REFERENCE'!O13</f>
        <v>0</v>
      </c>
    </row>
    <row r="14" spans="1:18" x14ac:dyDescent="0.25">
      <c r="A14" s="13"/>
      <c r="B14" s="405" t="str">
        <f>'0_ENTREE'!B14</f>
        <v>Ratio cuisson - semaine</v>
      </c>
      <c r="C14" s="315">
        <f>'0_ENTREE'!C14</f>
        <v>7</v>
      </c>
      <c r="D14" s="473" t="s">
        <v>54</v>
      </c>
      <c r="E14" s="473"/>
      <c r="F14" s="308"/>
      <c r="G14" s="9"/>
      <c r="H14" s="9"/>
      <c r="I14" s="359">
        <f>'0_ENTREE'!I14</f>
        <v>182.4</v>
      </c>
      <c r="J14" s="317" t="str">
        <f>'0_ENTREE'!J14</f>
        <v>Novembre</v>
      </c>
      <c r="K14" s="317">
        <f>'0_ENTREE'!K14</f>
        <v>172.7</v>
      </c>
      <c r="L14" s="317">
        <f>'0_ENTREE'!L14</f>
        <v>154</v>
      </c>
      <c r="M14" s="317">
        <f>'0_ENTREE'!M14</f>
        <v>220.5</v>
      </c>
      <c r="N14" s="317">
        <f>'0_ENTREE'!N14</f>
        <v>154</v>
      </c>
      <c r="O14" s="317">
        <f>'0_ENTREE'!O14</f>
        <v>0</v>
      </c>
      <c r="P14" s="317">
        <f>'0_ENTREE'!P14</f>
        <v>0</v>
      </c>
      <c r="Q14" s="155">
        <f>'1_REFERENCE'!O14</f>
        <v>0</v>
      </c>
    </row>
    <row r="15" spans="1:18" ht="14.25" x14ac:dyDescent="0.25">
      <c r="A15" s="13"/>
      <c r="B15" s="405" t="str">
        <f>'0_ENTREE'!B15</f>
        <v>Energie nécessaire ECS</v>
      </c>
      <c r="C15" s="315">
        <f>'0_ENTREE'!C15</f>
        <v>45.111111111111107</v>
      </c>
      <c r="D15" s="473" t="s">
        <v>282</v>
      </c>
      <c r="E15" s="473"/>
      <c r="F15" s="308" t="s">
        <v>32</v>
      </c>
      <c r="G15" s="9"/>
      <c r="H15" s="9"/>
      <c r="I15" s="359">
        <f>'0_ENTREE'!I15</f>
        <v>285.23333333333335</v>
      </c>
      <c r="J15" s="317" t="str">
        <f>'0_ENTREE'!J15</f>
        <v>Décembre</v>
      </c>
      <c r="K15" s="317">
        <f>'0_ENTREE'!K15</f>
        <v>271</v>
      </c>
      <c r="L15" s="317">
        <f>'0_ENTREE'!L15</f>
        <v>299.89999999999998</v>
      </c>
      <c r="M15" s="317">
        <f>'0_ENTREE'!M15</f>
        <v>284.8</v>
      </c>
      <c r="N15" s="317">
        <f>'0_ENTREE'!N15</f>
        <v>299.89999999999998</v>
      </c>
      <c r="O15" s="317">
        <f>'0_ENTREE'!O15</f>
        <v>0</v>
      </c>
      <c r="P15" s="317">
        <f>'0_ENTREE'!P15</f>
        <v>0</v>
      </c>
      <c r="Q15" s="155">
        <f>'1_REFERENCE'!O15</f>
        <v>0</v>
      </c>
    </row>
    <row r="16" spans="1:18" x14ac:dyDescent="0.25">
      <c r="A16" s="13"/>
      <c r="B16" s="405" t="str">
        <f>'0_ENTREE'!B16</f>
        <v>Volume ECS consommé jour</v>
      </c>
      <c r="C16" s="406">
        <f>'0_ENTREE'!C16</f>
        <v>35</v>
      </c>
      <c r="D16" s="473" t="s">
        <v>169</v>
      </c>
      <c r="E16" s="473"/>
      <c r="F16" s="308"/>
      <c r="G16" s="9"/>
      <c r="H16" s="9"/>
      <c r="I16" s="334"/>
      <c r="J16" s="349" t="str">
        <f>'0_ENTREE'!J16</f>
        <v>Année</v>
      </c>
      <c r="K16" s="349">
        <f>'0_ENTREE'!K16</f>
        <v>1353.3</v>
      </c>
      <c r="L16" s="349">
        <f>'0_ENTREE'!L16</f>
        <v>1548.4</v>
      </c>
      <c r="M16" s="349">
        <f>'0_ENTREE'!M16</f>
        <v>1657.9</v>
      </c>
      <c r="N16" s="349">
        <f>'0_ENTREE'!N16</f>
        <v>1548.4</v>
      </c>
      <c r="O16" s="349">
        <f>'0_ENTREE'!O16</f>
        <v>0</v>
      </c>
      <c r="P16" s="349">
        <f>'0_ENTREE'!P16</f>
        <v>0</v>
      </c>
      <c r="Q16" s="350">
        <f>'1_REFERENCE'!O16</f>
        <v>0</v>
      </c>
    </row>
    <row r="17" spans="1:15" x14ac:dyDescent="0.25">
      <c r="A17" s="13"/>
      <c r="B17" s="405" t="str">
        <f>'0_ENTREE'!B17</f>
        <v>Ratio ECS - jour</v>
      </c>
      <c r="C17" s="315">
        <f>'0_ENTREE'!C17</f>
        <v>1.5788888888888888</v>
      </c>
      <c r="D17" s="473" t="s">
        <v>168</v>
      </c>
      <c r="E17" s="473"/>
      <c r="F17" s="343"/>
      <c r="G17" s="9"/>
      <c r="H17" s="9"/>
      <c r="I17" s="9"/>
      <c r="J17" s="9"/>
      <c r="K17" s="9"/>
      <c r="L17" s="9"/>
      <c r="M17" s="10"/>
      <c r="N17" s="8"/>
    </row>
    <row r="18" spans="1:15" x14ac:dyDescent="0.25">
      <c r="A18" s="13"/>
      <c r="B18" s="405" t="str">
        <f>'0_ENTREE'!B18</f>
        <v>Ratio électrique - semaine</v>
      </c>
      <c r="C18" s="315">
        <f>'0_ENTREE'!C18</f>
        <v>52.42307692307692</v>
      </c>
      <c r="D18" s="473" t="s">
        <v>52</v>
      </c>
      <c r="E18" s="473"/>
      <c r="F18" s="308" t="s">
        <v>24</v>
      </c>
      <c r="G18" s="9"/>
      <c r="H18" s="9"/>
      <c r="I18" s="9"/>
      <c r="J18" s="9"/>
      <c r="K18" s="9"/>
      <c r="L18" s="9"/>
      <c r="M18" s="10"/>
      <c r="N18" s="8"/>
    </row>
    <row r="19" spans="1:15" x14ac:dyDescent="0.25">
      <c r="A19" s="13"/>
      <c r="B19" s="405" t="str">
        <f>'0_ENTREE'!B19</f>
        <v>Ratio eau (EF+ECS) - semaine</v>
      </c>
      <c r="C19" s="406">
        <f>'0_ENTREE'!C19</f>
        <v>1050</v>
      </c>
      <c r="D19" s="473" t="s">
        <v>55</v>
      </c>
      <c r="E19" s="473"/>
      <c r="F19" s="309" t="s">
        <v>26</v>
      </c>
      <c r="G19" s="9"/>
      <c r="H19" s="9"/>
      <c r="I19" s="9"/>
      <c r="J19" s="9"/>
      <c r="K19" s="9"/>
      <c r="L19" s="9"/>
      <c r="M19" s="10"/>
      <c r="N19" s="8"/>
    </row>
    <row r="20" spans="1:15" ht="25.5" x14ac:dyDescent="0.25">
      <c r="A20" s="13"/>
      <c r="B20" s="310" t="s">
        <v>176</v>
      </c>
      <c r="C20" s="310" t="s">
        <v>53</v>
      </c>
      <c r="D20" s="471" t="s">
        <v>56</v>
      </c>
      <c r="E20" s="471"/>
      <c r="F20" s="310" t="s">
        <v>58</v>
      </c>
      <c r="G20" s="9"/>
      <c r="H20" s="9"/>
      <c r="I20" s="9"/>
      <c r="J20" s="9"/>
      <c r="K20" s="9"/>
      <c r="L20" s="9"/>
      <c r="M20" s="10"/>
      <c r="N20" s="8"/>
    </row>
    <row r="21" spans="1:15" x14ac:dyDescent="0.25">
      <c r="A21" s="13"/>
      <c r="B21" s="27" t="str">
        <f>'0_ENTREE'!B21</f>
        <v>Nbre semaine par mois</v>
      </c>
      <c r="C21" s="307">
        <f>'0_ENTREE'!C21</f>
        <v>4.3452380952380958</v>
      </c>
      <c r="D21" s="474"/>
      <c r="E21" s="474"/>
      <c r="F21" s="308"/>
      <c r="G21" s="9"/>
      <c r="H21" s="9"/>
      <c r="I21" s="9"/>
      <c r="J21" s="9"/>
      <c r="K21" s="9"/>
      <c r="L21" s="9"/>
      <c r="M21" s="10"/>
      <c r="N21" s="8"/>
    </row>
    <row r="22" spans="1:15" x14ac:dyDescent="0.25">
      <c r="A22" s="13"/>
      <c r="B22" s="27" t="str">
        <f>'0_ENTREE'!B22</f>
        <v>Conversion GAZ (volume en kWh PCI)</v>
      </c>
      <c r="C22" s="307">
        <f>'0_ENTREE'!C22</f>
        <v>11.628</v>
      </c>
      <c r="D22" s="474" t="s">
        <v>29</v>
      </c>
      <c r="E22" s="474"/>
      <c r="F22" s="308"/>
      <c r="G22" s="9"/>
      <c r="H22" s="9"/>
      <c r="I22" s="9"/>
      <c r="J22" s="9"/>
      <c r="K22" s="9"/>
      <c r="L22" s="9"/>
      <c r="M22" s="10"/>
      <c r="N22" s="8"/>
    </row>
    <row r="23" spans="1:15" x14ac:dyDescent="0.25">
      <c r="A23" s="13"/>
      <c r="B23" s="27" t="str">
        <f>'0_ENTREE'!B23</f>
        <v>Conversion GAZ (PCS en PCI)</v>
      </c>
      <c r="C23" s="307">
        <f>'0_ENTREE'!C23</f>
        <v>0.9009009009009008</v>
      </c>
      <c r="D23" s="474" t="s">
        <v>15</v>
      </c>
      <c r="E23" s="474"/>
      <c r="F23" s="308"/>
      <c r="G23" s="9"/>
      <c r="H23" s="9"/>
      <c r="I23" s="9"/>
      <c r="J23" s="9"/>
      <c r="K23" s="9"/>
      <c r="L23" s="9"/>
      <c r="M23" s="10"/>
      <c r="N23" s="8"/>
    </row>
    <row r="24" spans="1:15" x14ac:dyDescent="0.25">
      <c r="A24" s="13"/>
      <c r="B24" s="27"/>
      <c r="C24" s="307"/>
      <c r="D24" s="474"/>
      <c r="E24" s="474"/>
      <c r="F24" s="308"/>
      <c r="G24" s="9"/>
      <c r="H24" s="9"/>
      <c r="I24" s="9"/>
      <c r="J24" s="9"/>
      <c r="K24" s="9"/>
      <c r="L24" s="9"/>
      <c r="M24" s="10"/>
      <c r="N24" s="8"/>
    </row>
    <row r="25" spans="1:15" x14ac:dyDescent="0.25">
      <c r="A25" s="13"/>
      <c r="B25" s="27" t="str">
        <f>'0_ENTREE'!B25</f>
        <v>Facteur travaux</v>
      </c>
      <c r="C25" s="307">
        <f>'0_ENTREE'!C25</f>
        <v>1</v>
      </c>
      <c r="D25" s="474"/>
      <c r="E25" s="474"/>
      <c r="F25" s="308"/>
      <c r="G25" s="9"/>
      <c r="H25" s="9"/>
      <c r="I25" s="9"/>
      <c r="J25" s="9"/>
      <c r="K25" s="9"/>
      <c r="L25" s="9"/>
      <c r="M25" s="10"/>
      <c r="N25" s="8"/>
    </row>
    <row r="26" spans="1:15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5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5" x14ac:dyDescent="0.25">
      <c r="A28" s="13"/>
      <c r="B28" s="319" t="s">
        <v>297</v>
      </c>
      <c r="C28" s="13"/>
      <c r="D28" s="22"/>
      <c r="G28" s="9"/>
      <c r="H28" s="9"/>
      <c r="I28" s="9"/>
      <c r="J28" s="9"/>
      <c r="K28" s="9"/>
      <c r="L28" s="9"/>
      <c r="M28" s="319" t="s">
        <v>288</v>
      </c>
    </row>
    <row r="29" spans="1:15" x14ac:dyDescent="0.25">
      <c r="A29" s="13"/>
      <c r="B29" s="16"/>
      <c r="C29" s="13"/>
      <c r="D29" s="22"/>
      <c r="G29" s="9"/>
      <c r="H29" s="9"/>
      <c r="I29" s="9"/>
      <c r="J29" s="9"/>
      <c r="K29" s="9"/>
      <c r="L29" s="9"/>
      <c r="M29" s="421" t="s">
        <v>298</v>
      </c>
      <c r="N29" s="421" t="s">
        <v>299</v>
      </c>
    </row>
    <row r="30" spans="1:15" x14ac:dyDescent="0.25">
      <c r="A30" s="13"/>
      <c r="B30" s="16"/>
      <c r="C30" s="13"/>
      <c r="D30" s="22"/>
      <c r="G30" s="9"/>
      <c r="H30" s="9"/>
      <c r="I30" s="9"/>
      <c r="J30" s="9"/>
      <c r="K30" s="8"/>
    </row>
    <row r="31" spans="1:15" s="51" customFormat="1" ht="25.5" x14ac:dyDescent="0.25">
      <c r="A31" s="48"/>
      <c r="B31" s="289" t="s">
        <v>70</v>
      </c>
      <c r="C31" s="290" t="s">
        <v>279</v>
      </c>
      <c r="D31" s="291" t="s">
        <v>164</v>
      </c>
      <c r="E31" s="296" t="s">
        <v>27</v>
      </c>
      <c r="F31" s="297" t="s">
        <v>27</v>
      </c>
      <c r="H31" s="369" t="s">
        <v>148</v>
      </c>
      <c r="I31" s="370" t="s">
        <v>276</v>
      </c>
      <c r="J31" s="448" t="s">
        <v>63</v>
      </c>
      <c r="K31" s="449" t="s">
        <v>63</v>
      </c>
      <c r="M31" s="290" t="s">
        <v>288</v>
      </c>
      <c r="N31" s="291" t="s">
        <v>289</v>
      </c>
      <c r="O31" s="297"/>
    </row>
    <row r="32" spans="1:15" s="2" customFormat="1" ht="25.5" x14ac:dyDescent="0.25">
      <c r="A32" s="215" t="s">
        <v>133</v>
      </c>
      <c r="B32" s="292" t="s">
        <v>64</v>
      </c>
      <c r="C32" s="293" t="str">
        <f>CONCATENATE(C31," - ",B7)</f>
        <v>EAU - S23</v>
      </c>
      <c r="D32" s="294" t="str">
        <f>CONCATENATE(D31," - ",B7)</f>
        <v>Ratio EAU réf - S23</v>
      </c>
      <c r="E32" s="76" t="str">
        <f>'0_ENTREE'!O31</f>
        <v>INDICE EAU
[N-1]</v>
      </c>
      <c r="F32" s="79" t="str">
        <f>'0_ENTREE'!P31</f>
        <v>INDICE EAU
[N]</v>
      </c>
      <c r="H32" s="371" t="str">
        <f>CONCATENATE(H31," - ",B7)</f>
        <v>ECS - S23</v>
      </c>
      <c r="I32" s="372" t="str">
        <f>CONCATENATE(I31," - ",B7)</f>
        <v>Ratio ECS réf - S23</v>
      </c>
      <c r="J32" s="78" t="str">
        <f>'0_ENTREE'!K31</f>
        <v>INDICE [N-1]</v>
      </c>
      <c r="K32" s="79" t="str">
        <f>'0_ENTREE'!L31</f>
        <v>INDICE [N]</v>
      </c>
      <c r="M32" s="293" t="str">
        <f>CONCATENATE(M31)</f>
        <v>ARBRE DE BASE</v>
      </c>
      <c r="N32" s="294" t="str">
        <f>CONCATENATE(N31)</f>
        <v>ARBRE BASE réf</v>
      </c>
      <c r="O32" s="79"/>
    </row>
    <row r="33" spans="1:15" s="3" customFormat="1" ht="15" thickBot="1" x14ac:dyDescent="0.3">
      <c r="A33" s="216"/>
      <c r="B33" s="295"/>
      <c r="C33" s="277" t="s">
        <v>280</v>
      </c>
      <c r="D33" s="261" t="s">
        <v>280</v>
      </c>
      <c r="E33" s="80" t="s">
        <v>33</v>
      </c>
      <c r="F33" s="83" t="s">
        <v>33</v>
      </c>
      <c r="H33" s="373" t="s">
        <v>22</v>
      </c>
      <c r="I33" s="374" t="s">
        <v>22</v>
      </c>
      <c r="J33" s="82" t="s">
        <v>33</v>
      </c>
      <c r="K33" s="83" t="s">
        <v>33</v>
      </c>
      <c r="M33" s="277" t="s">
        <v>290</v>
      </c>
      <c r="N33" s="261" t="s">
        <v>290</v>
      </c>
      <c r="O33" s="83" t="s">
        <v>28</v>
      </c>
    </row>
    <row r="34" spans="1:15" hidden="1" x14ac:dyDescent="0.25">
      <c r="A34" s="217">
        <v>1</v>
      </c>
      <c r="B34" s="47" t="str">
        <f>CONCATENATE("Ratio Eau - ",'0_ENTREE'!B33)</f>
        <v>Ratio Eau - GC - 274 - T4 - 83m²</v>
      </c>
      <c r="C34" s="222">
        <f>((F34-E34)*1000)</f>
        <v>2400.0000000000055</v>
      </c>
      <c r="D34" s="223">
        <f>'1_REFERENCE'!E103</f>
        <v>1899.9999999999986</v>
      </c>
      <c r="E34" s="84">
        <f>'0_ENTREE'!O33</f>
        <v>38.299999999999997</v>
      </c>
      <c r="F34" s="376">
        <f>'0_ENTREE'!P33</f>
        <v>40.700000000000003</v>
      </c>
      <c r="H34" s="379">
        <f>(K34-J34)*$C$15/'0_ENTREE'!F33</f>
        <v>0.43480589022757732</v>
      </c>
      <c r="I34" s="387">
        <f>'1_REFERENCE'!G103</f>
        <v>0.32610441767068249</v>
      </c>
      <c r="J34" s="138">
        <f>'2_CHAUFFAGE'!G34</f>
        <v>15.5</v>
      </c>
      <c r="K34" s="87">
        <f>'2_CHAUFFAGE'!H34</f>
        <v>16.3</v>
      </c>
      <c r="M34" s="222">
        <v>106.73</v>
      </c>
      <c r="N34" s="223">
        <f>($C$19*52)/1000*'0_ENTREE'!G33</f>
        <v>109.2</v>
      </c>
      <c r="O34" s="422">
        <f>(N34-M34)/N34</f>
        <v>2.2619047619047608E-2</v>
      </c>
    </row>
    <row r="35" spans="1:15" hidden="1" x14ac:dyDescent="0.25">
      <c r="A35" s="217">
        <v>2</v>
      </c>
      <c r="B35" s="37" t="str">
        <f>CONCATENATE("Ratio Eau - ",'0_ENTREE'!B34)</f>
        <v>Ratio Eau - GC - 277 - T2 - 53m²</v>
      </c>
      <c r="C35" s="224">
        <f>((F35-E35)*1000)</f>
        <v>500</v>
      </c>
      <c r="D35" s="224">
        <f>'1_REFERENCE'!E104</f>
        <v>1100.0000000000014</v>
      </c>
      <c r="E35" s="88">
        <f>'0_ENTREE'!O34</f>
        <v>22.6</v>
      </c>
      <c r="F35" s="377">
        <f>'0_ENTREE'!P34</f>
        <v>23.1</v>
      </c>
      <c r="H35" s="380">
        <f>(K35-J35)*$C$15/'0_ENTREE'!F34</f>
        <v>0.17023060796645642</v>
      </c>
      <c r="I35" s="380">
        <f>'1_REFERENCE'!G104</f>
        <v>0.34046121593291429</v>
      </c>
      <c r="J35" s="139">
        <f>'2_CHAUFFAGE'!G35</f>
        <v>9.8000000000000007</v>
      </c>
      <c r="K35" s="91">
        <f>'2_CHAUFFAGE'!H35</f>
        <v>10</v>
      </c>
      <c r="M35" s="224">
        <v>66.47</v>
      </c>
      <c r="N35" s="224">
        <f>($C$19*52)/1000*'0_ENTREE'!G34</f>
        <v>54.6</v>
      </c>
      <c r="O35" s="364">
        <f t="shared" ref="O35:O46" si="0">(N35-M35)/N35</f>
        <v>-0.21739926739926735</v>
      </c>
    </row>
    <row r="36" spans="1:15" hidden="1" x14ac:dyDescent="0.25">
      <c r="A36" s="217">
        <v>3</v>
      </c>
      <c r="B36" s="37" t="str">
        <f>CONCATENATE("Ratio Eau - ",'0_ENTREE'!B35)</f>
        <v>Ratio Eau - GC - 281 - T3 - 71m²</v>
      </c>
      <c r="C36" s="224">
        <f t="shared" ref="C36:C46" si="1">((F36-E36)*1000)</f>
        <v>2000</v>
      </c>
      <c r="D36" s="224">
        <f>'1_REFERENCE'!E105</f>
        <v>2800.0000000000041</v>
      </c>
      <c r="E36" s="88">
        <f>'0_ENTREE'!O35</f>
        <v>46.6</v>
      </c>
      <c r="F36" s="377">
        <f>'0_ENTREE'!P35</f>
        <v>48.6</v>
      </c>
      <c r="H36" s="380">
        <f>(K36-J36)*$C$15/'0_ENTREE'!F35</f>
        <v>0.63536776212832546</v>
      </c>
      <c r="I36" s="380">
        <f>'1_REFERENCE'!G105</f>
        <v>1.0801251956181528</v>
      </c>
      <c r="J36" s="139">
        <f>'2_CHAUFFAGE'!G36</f>
        <v>27.8</v>
      </c>
      <c r="K36" s="91">
        <f>'2_CHAUFFAGE'!H36</f>
        <v>28.8</v>
      </c>
      <c r="M36" s="224">
        <v>31.12</v>
      </c>
      <c r="N36" s="224">
        <f>($C$19*52)/1000*'0_ENTREE'!G35</f>
        <v>109.2</v>
      </c>
      <c r="O36" s="364">
        <f t="shared" si="0"/>
        <v>0.71501831501831503</v>
      </c>
    </row>
    <row r="37" spans="1:15" hidden="1" x14ac:dyDescent="0.25">
      <c r="A37" s="217">
        <v>4</v>
      </c>
      <c r="B37" s="37" t="str">
        <f>CONCATENATE("Ratio Eau - ",'0_ENTREE'!B36)</f>
        <v>Ratio Eau - GC - 283 - T3 - 70m²</v>
      </c>
      <c r="C37" s="224">
        <f t="shared" si="1"/>
        <v>1199.9999999999993</v>
      </c>
      <c r="D37" s="224">
        <f>'1_REFERENCE'!E106</f>
        <v>1000</v>
      </c>
      <c r="E37" s="88">
        <f>'0_ENTREE'!O36</f>
        <v>22.2</v>
      </c>
      <c r="F37" s="377">
        <f>'0_ENTREE'!P36</f>
        <v>23.4</v>
      </c>
      <c r="H37" s="380">
        <f>(K37-J37)*$C$15/'0_ENTREE'!F36</f>
        <v>0.128888888888889</v>
      </c>
      <c r="I37" s="380">
        <f>'1_REFERENCE'!G106</f>
        <v>0.19333333333333322</v>
      </c>
      <c r="J37" s="139">
        <f>'2_CHAUFFAGE'!G37</f>
        <v>7.7</v>
      </c>
      <c r="K37" s="91">
        <f>'2_CHAUFFAGE'!H37</f>
        <v>7.9</v>
      </c>
      <c r="M37" s="224">
        <v>49.85</v>
      </c>
      <c r="N37" s="224">
        <f>($C$19*52)/1000*'0_ENTREE'!G36</f>
        <v>109.2</v>
      </c>
      <c r="O37" s="364">
        <f t="shared" si="0"/>
        <v>0.54349816849816845</v>
      </c>
    </row>
    <row r="38" spans="1:15" hidden="1" x14ac:dyDescent="0.25">
      <c r="A38" s="217">
        <v>5</v>
      </c>
      <c r="B38" s="37" t="str">
        <f>CONCATENATE("Ratio Eau - ",'0_ENTREE'!B37)</f>
        <v>Ratio Eau - GC - 285 - T3 - 64m²</v>
      </c>
      <c r="C38" s="224">
        <f t="shared" si="1"/>
        <v>1600.0000000000014</v>
      </c>
      <c r="D38" s="224">
        <f>'1_REFERENCE'!E107</f>
        <v>1299.9999999999973</v>
      </c>
      <c r="E38" s="88">
        <f>'0_ENTREE'!O37</f>
        <v>23.9</v>
      </c>
      <c r="F38" s="377">
        <f>'0_ENTREE'!P37</f>
        <v>25.5</v>
      </c>
      <c r="H38" s="380">
        <f>(K38-J38)*$C$15/'0_ENTREE'!F37</f>
        <v>-0.35243055555555552</v>
      </c>
      <c r="I38" s="380">
        <f>'1_REFERENCE'!G107</f>
        <v>-0.21145833336615596</v>
      </c>
      <c r="J38" s="139">
        <f>'2_CHAUFFAGE'!G38</f>
        <v>999993.5</v>
      </c>
      <c r="K38" s="91">
        <f>'2_CHAUFFAGE'!H38</f>
        <v>999993</v>
      </c>
      <c r="M38" s="224">
        <v>84.43</v>
      </c>
      <c r="N38" s="224">
        <f>($C$19*52)/1000*'0_ENTREE'!G37</f>
        <v>163.80000000000001</v>
      </c>
      <c r="O38" s="364">
        <f t="shared" si="0"/>
        <v>0.48455433455433455</v>
      </c>
    </row>
    <row r="39" spans="1:15" hidden="1" x14ac:dyDescent="0.25">
      <c r="A39" s="217">
        <v>6</v>
      </c>
      <c r="B39" s="37" t="str">
        <f>CONCATENATE("Ratio Eau - ",'0_ENTREE'!B38)</f>
        <v>Ratio Eau - GC - 286 - T3 - 68m²</v>
      </c>
      <c r="C39" s="224">
        <f t="shared" si="1"/>
        <v>3500</v>
      </c>
      <c r="D39" s="224">
        <f>'1_REFERENCE'!E108</f>
        <v>3100.0000000000014</v>
      </c>
      <c r="E39" s="88">
        <f>'0_ENTREE'!O38</f>
        <v>67</v>
      </c>
      <c r="F39" s="377">
        <f>'0_ENTREE'!P38</f>
        <v>70.5</v>
      </c>
      <c r="H39" s="380">
        <f>(K39-J39)*$C$15/'0_ENTREE'!F38</f>
        <v>0.92875816993464178</v>
      </c>
      <c r="I39" s="380">
        <f>'1_REFERENCE'!G108</f>
        <v>0.86241830065359526</v>
      </c>
      <c r="J39" s="139">
        <f>'2_CHAUFFAGE'!G39</f>
        <v>28.2</v>
      </c>
      <c r="K39" s="91">
        <f>'2_CHAUFFAGE'!H39</f>
        <v>29.6</v>
      </c>
      <c r="M39" s="224">
        <v>76.459999999999994</v>
      </c>
      <c r="N39" s="224">
        <f>($C$19*52)/1000*'0_ENTREE'!G38</f>
        <v>163.80000000000001</v>
      </c>
      <c r="O39" s="364">
        <f t="shared" si="0"/>
        <v>0.53321123321123332</v>
      </c>
    </row>
    <row r="40" spans="1:15" hidden="1" x14ac:dyDescent="0.25">
      <c r="A40" s="217">
        <v>7</v>
      </c>
      <c r="B40" s="37" t="str">
        <f>CONCATENATE("Ratio Eau - ",'0_ENTREE'!B39)</f>
        <v>Ratio Eau - GC - 289 - T3 - 76m²</v>
      </c>
      <c r="C40" s="224">
        <f t="shared" si="1"/>
        <v>500</v>
      </c>
      <c r="D40" s="224">
        <f>'1_REFERENCE'!E109</f>
        <v>500</v>
      </c>
      <c r="E40" s="88">
        <f>'0_ENTREE'!O39</f>
        <v>12.8</v>
      </c>
      <c r="F40" s="377">
        <f>'0_ENTREE'!P39</f>
        <v>13.3</v>
      </c>
      <c r="H40" s="380">
        <f>(K40-J40)*$C$15/'0_ENTREE'!F39</f>
        <v>5.9356725146199142E-2</v>
      </c>
      <c r="I40" s="380">
        <f>'1_REFERENCE'!G109</f>
        <v>0.11871345029239724</v>
      </c>
      <c r="J40" s="139">
        <f>'2_CHAUFFAGE'!G40</f>
        <v>5.0999999999999996</v>
      </c>
      <c r="K40" s="91">
        <f>'2_CHAUFFAGE'!H40</f>
        <v>5.2</v>
      </c>
      <c r="M40" s="224">
        <v>44.22</v>
      </c>
      <c r="N40" s="224">
        <f>($C$19*52)/1000*'0_ENTREE'!G39</f>
        <v>54.6</v>
      </c>
      <c r="O40" s="364">
        <f t="shared" si="0"/>
        <v>0.19010989010989016</v>
      </c>
    </row>
    <row r="41" spans="1:15" hidden="1" x14ac:dyDescent="0.25">
      <c r="A41" s="217">
        <v>8</v>
      </c>
      <c r="B41" s="37" t="str">
        <f>CONCATENATE("Ratio Eau - ",'0_ENTREE'!B40)</f>
        <v>Ratio Eau - GC - 303 - T4 - 81m²</v>
      </c>
      <c r="C41" s="224">
        <f t="shared" si="1"/>
        <v>2100.0000000000014</v>
      </c>
      <c r="D41" s="224">
        <f>'1_REFERENCE'!E110</f>
        <v>2799.9999999999973</v>
      </c>
      <c r="E41" s="88">
        <f>'0_ENTREE'!O40</f>
        <v>39.799999999999997</v>
      </c>
      <c r="F41" s="377">
        <f>'0_ENTREE'!P40</f>
        <v>41.9</v>
      </c>
      <c r="H41" s="380">
        <f>(K41-J41)*$C$15/'0_ENTREE'!F40</f>
        <v>0.22277091906721555</v>
      </c>
      <c r="I41" s="380">
        <f>'1_REFERENCE'!G110</f>
        <v>0.33415637860082281</v>
      </c>
      <c r="J41" s="139">
        <f>'2_CHAUFFAGE'!G41</f>
        <v>11.1</v>
      </c>
      <c r="K41" s="91">
        <f>'2_CHAUFFAGE'!H41</f>
        <v>11.5</v>
      </c>
      <c r="M41" s="224">
        <v>102.72</v>
      </c>
      <c r="N41" s="224">
        <f>($C$19*52)/1000*'0_ENTREE'!G40</f>
        <v>54.6</v>
      </c>
      <c r="O41" s="364">
        <f t="shared" si="0"/>
        <v>-0.8813186813186813</v>
      </c>
    </row>
    <row r="42" spans="1:15" hidden="1" x14ac:dyDescent="0.25">
      <c r="A42" s="217">
        <v>9</v>
      </c>
      <c r="B42" s="37" t="str">
        <f>CONCATENATE("Ratio Eau - ",'0_ENTREE'!B41)</f>
        <v>Ratio Eau - GC - 304 - T3 - 66m²</v>
      </c>
      <c r="C42" s="224">
        <f t="shared" si="1"/>
        <v>1799.9999999999973</v>
      </c>
      <c r="D42" s="224">
        <f>'1_REFERENCE'!E111</f>
        <v>1899.9999999999986</v>
      </c>
      <c r="E42" s="88">
        <f>'0_ENTREE'!O41</f>
        <v>65.3</v>
      </c>
      <c r="F42" s="377">
        <f>'0_ENTREE'!P41</f>
        <v>67.099999999999994</v>
      </c>
      <c r="H42" s="380">
        <f>(K42-J42)*$C$15/'0_ENTREE'!F41</f>
        <v>0.47845117845118035</v>
      </c>
      <c r="I42" s="380">
        <f>'1_REFERENCE'!G111</f>
        <v>0.61515151515151412</v>
      </c>
      <c r="J42" s="139">
        <f>'2_CHAUFFAGE'!G42</f>
        <v>34.9</v>
      </c>
      <c r="K42" s="91">
        <f>'2_CHAUFFAGE'!H42</f>
        <v>35.6</v>
      </c>
      <c r="M42" s="224">
        <v>143.33000000000001</v>
      </c>
      <c r="N42" s="224">
        <f>($C$19*52)/1000*'0_ENTREE'!G41</f>
        <v>54.6</v>
      </c>
      <c r="O42" s="364">
        <f t="shared" si="0"/>
        <v>-1.6250915750915753</v>
      </c>
    </row>
    <row r="43" spans="1:15" hidden="1" x14ac:dyDescent="0.25">
      <c r="A43" s="217">
        <v>10</v>
      </c>
      <c r="B43" s="37" t="str">
        <f>CONCATENATE("Ratio Eau - ",'0_ENTREE'!B42)</f>
        <v>Ratio Eau - GC - 306 - T3 - 66m²</v>
      </c>
      <c r="C43" s="224">
        <f t="shared" si="1"/>
        <v>1600.0000000000014</v>
      </c>
      <c r="D43" s="224">
        <f>'1_REFERENCE'!E112</f>
        <v>1100.0000000000014</v>
      </c>
      <c r="E43" s="88">
        <f>'0_ENTREE'!O42</f>
        <v>21.5</v>
      </c>
      <c r="F43" s="377">
        <f>'0_ENTREE'!P42</f>
        <v>23.1</v>
      </c>
      <c r="H43" s="380">
        <f>(K43-J43)*$C$15/'0_ENTREE'!F42</f>
        <v>0.20505050505050551</v>
      </c>
      <c r="I43" s="380">
        <f>'1_REFERENCE'!G112</f>
        <v>0.27340067340067359</v>
      </c>
      <c r="J43" s="139">
        <f>'2_CHAUFFAGE'!G43</f>
        <v>9</v>
      </c>
      <c r="K43" s="91">
        <f>'2_CHAUFFAGE'!H43</f>
        <v>9.3000000000000007</v>
      </c>
      <c r="M43" s="224">
        <v>48.61</v>
      </c>
      <c r="N43" s="224">
        <f>($C$19*52)/1000*'0_ENTREE'!G42</f>
        <v>109.2</v>
      </c>
      <c r="O43" s="364">
        <f t="shared" si="0"/>
        <v>0.55485347985347988</v>
      </c>
    </row>
    <row r="44" spans="1:15" hidden="1" x14ac:dyDescent="0.25">
      <c r="A44" s="217">
        <v>11</v>
      </c>
      <c r="B44" s="37" t="str">
        <f>CONCATENATE("Ratio Eau - ",'0_ENTREE'!B43)</f>
        <v>Ratio Eau - GC - 307 - T3 - 66m²</v>
      </c>
      <c r="C44" s="224">
        <f t="shared" si="1"/>
        <v>3400.0000000000055</v>
      </c>
      <c r="D44" s="224">
        <f>'1_REFERENCE'!E113</f>
        <v>3099.9999999999945</v>
      </c>
      <c r="E44" s="88">
        <f>'0_ENTREE'!O43</f>
        <v>74</v>
      </c>
      <c r="F44" s="377">
        <f>'0_ENTREE'!P43</f>
        <v>77.400000000000006</v>
      </c>
      <c r="H44" s="380">
        <f>(K44-J44)*$C$15/'0_ENTREE'!F43</f>
        <v>0</v>
      </c>
      <c r="I44" s="380">
        <f>'1_REFERENCE'!G113</f>
        <v>0</v>
      </c>
      <c r="J44" s="139">
        <f>'2_CHAUFFAGE'!G44</f>
        <v>0</v>
      </c>
      <c r="K44" s="91">
        <f>'2_CHAUFFAGE'!H44</f>
        <v>0</v>
      </c>
      <c r="M44" s="224">
        <v>128.09</v>
      </c>
      <c r="N44" s="224">
        <f>($C$19*52)/1000*'0_ENTREE'!G43</f>
        <v>163.80000000000001</v>
      </c>
      <c r="O44" s="364">
        <f t="shared" si="0"/>
        <v>0.21800976800976804</v>
      </c>
    </row>
    <row r="45" spans="1:15" hidden="1" x14ac:dyDescent="0.25">
      <c r="A45" s="217">
        <v>12</v>
      </c>
      <c r="B45" s="37" t="str">
        <f>CONCATENATE("Ratio Eau - ",'0_ENTREE'!B44)</f>
        <v>Ratio Eau - GC - 308 - T3 - 66m²</v>
      </c>
      <c r="C45" s="224">
        <f t="shared" si="1"/>
        <v>1500</v>
      </c>
      <c r="D45" s="224">
        <f>'1_REFERENCE'!E114</f>
        <v>2699.9999999999991</v>
      </c>
      <c r="E45" s="88">
        <f>'0_ENTREE'!O44</f>
        <v>34.5</v>
      </c>
      <c r="F45" s="377">
        <f>'0_ENTREE'!P44</f>
        <v>36</v>
      </c>
      <c r="H45" s="380">
        <f>(K45-J45)*$C$15/'0_ENTREE'!F44</f>
        <v>0.34175084175084169</v>
      </c>
      <c r="I45" s="380">
        <f>'1_REFERENCE'!G114</f>
        <v>0.68350168350168339</v>
      </c>
      <c r="J45" s="139">
        <f>'2_CHAUFFAGE'!G45</f>
        <v>12.7</v>
      </c>
      <c r="K45" s="91">
        <f>'2_CHAUFFAGE'!H45</f>
        <v>13.2</v>
      </c>
      <c r="M45" s="224">
        <v>110.62</v>
      </c>
      <c r="N45" s="224">
        <f>($C$19*52)/1000*'0_ENTREE'!G44</f>
        <v>109.2</v>
      </c>
      <c r="O45" s="364">
        <f t="shared" si="0"/>
        <v>-1.3003663003663018E-2</v>
      </c>
    </row>
    <row r="46" spans="1:15" hidden="1" x14ac:dyDescent="0.25">
      <c r="A46" s="217">
        <v>13</v>
      </c>
      <c r="B46" s="37" t="str">
        <f>CONCATENATE("Ratio Eau - ",'0_ENTREE'!B45)</f>
        <v>Ratio Eau - GC - 314 - T4 - 75m²</v>
      </c>
      <c r="C46" s="224">
        <f t="shared" si="1"/>
        <v>4400.0000000000055</v>
      </c>
      <c r="D46" s="224">
        <f>'1_REFERENCE'!E115</f>
        <v>4899.9999999999918</v>
      </c>
      <c r="E46" s="88">
        <f>'0_ENTREE'!O45</f>
        <v>82.3</v>
      </c>
      <c r="F46" s="377">
        <f>'0_ENTREE'!P45</f>
        <v>86.7</v>
      </c>
      <c r="H46" s="380">
        <f>(K46-J46)*$C$15/'0_ENTREE'!F45</f>
        <v>1.3232592592592609</v>
      </c>
      <c r="I46" s="380">
        <f>'1_REFERENCE'!G115</f>
        <v>1.5638518518518527</v>
      </c>
      <c r="J46" s="139">
        <f>'2_CHAUFFAGE'!G46</f>
        <v>40.4</v>
      </c>
      <c r="K46" s="91">
        <f>'2_CHAUFFAGE'!H46</f>
        <v>42.6</v>
      </c>
      <c r="M46" s="224">
        <v>186.2</v>
      </c>
      <c r="N46" s="224">
        <f>($C$19*52)/1000*'0_ENTREE'!G45</f>
        <v>273</v>
      </c>
      <c r="O46" s="364">
        <f t="shared" si="0"/>
        <v>0.31794871794871798</v>
      </c>
    </row>
    <row r="47" spans="1:15" s="46" customFormat="1" ht="13.5" hidden="1" thickBot="1" x14ac:dyDescent="0.3">
      <c r="A47" s="217">
        <v>14</v>
      </c>
      <c r="B47" s="299" t="str">
        <f>CONCATENATE("Ratio Eau - ",'0_ENTREE'!B46)</f>
        <v>Ratio Eau - MOYENNE GC</v>
      </c>
      <c r="C47" s="298">
        <f>AVERAGE(C34:C46)</f>
        <v>2038.4615384615395</v>
      </c>
      <c r="D47" s="298">
        <f t="shared" ref="D47" si="2">AVERAGE(D34:D46)</f>
        <v>2169.2307692307681</v>
      </c>
      <c r="E47" s="208"/>
      <c r="F47" s="378"/>
      <c r="H47" s="386">
        <f>AVERAGE(H34:H46)</f>
        <v>0.35202001479350287</v>
      </c>
      <c r="I47" s="386">
        <f t="shared" ref="I47" si="3">AVERAGE(I34:I46)</f>
        <v>0.47536612943395889</v>
      </c>
      <c r="J47" s="221"/>
      <c r="K47" s="211"/>
      <c r="M47" s="298"/>
      <c r="N47" s="298"/>
      <c r="O47" s="423"/>
    </row>
    <row r="48" spans="1:15" hidden="1" x14ac:dyDescent="0.25">
      <c r="A48" s="217">
        <v>15</v>
      </c>
      <c r="B48" s="47" t="str">
        <f>CONCATENATE("Ratio Eau - ",'0_ENTREE'!B47)</f>
        <v>Ratio Eau - GE2.1 - 275 - T3 - 74m²</v>
      </c>
      <c r="C48" s="225">
        <f t="shared" ref="C48:C60" si="4">((F48-E48)*1000)</f>
        <v>2300.0000000000041</v>
      </c>
      <c r="D48" s="223">
        <f>'1_REFERENCE'!E117</f>
        <v>2699.9999999999959</v>
      </c>
      <c r="E48" s="84">
        <f>'0_ENTREE'!O47</f>
        <v>34.9</v>
      </c>
      <c r="F48" s="376">
        <f>'0_ENTREE'!P47</f>
        <v>37.200000000000003</v>
      </c>
      <c r="H48" s="379">
        <f>(K48-J48)*$C$15/'0_ENTREE'!F47</f>
        <v>0.60960960960960953</v>
      </c>
      <c r="I48" s="387">
        <f>'1_REFERENCE'!G117</f>
        <v>0.91441441441441429</v>
      </c>
      <c r="J48" s="138">
        <f>'2_CHAUFFAGE'!G48</f>
        <v>18.5</v>
      </c>
      <c r="K48" s="87">
        <f>'2_CHAUFFAGE'!H48</f>
        <v>19.5</v>
      </c>
      <c r="M48" s="225">
        <v>71.650000000000006</v>
      </c>
      <c r="N48" s="223">
        <f>($C$19*52)/1000*'0_ENTREE'!G47</f>
        <v>109.2</v>
      </c>
      <c r="O48" s="422">
        <f t="shared" ref="O48:O60" si="5">(N48-M48)/N48</f>
        <v>0.34386446886446881</v>
      </c>
    </row>
    <row r="49" spans="1:15" hidden="1" x14ac:dyDescent="0.25">
      <c r="A49" s="217">
        <v>16</v>
      </c>
      <c r="B49" s="37" t="str">
        <f>CONCATENATE("Ratio Eau - ",'0_ENTREE'!B48)</f>
        <v>Ratio Eau - GE2.1 - 278 - T2 - 57m²</v>
      </c>
      <c r="C49" s="224">
        <f t="shared" si="4"/>
        <v>400.00000000000034</v>
      </c>
      <c r="D49" s="224">
        <f>'1_REFERENCE'!E118</f>
        <v>300.00000000000068</v>
      </c>
      <c r="E49" s="88">
        <f>'0_ENTREE'!O48</f>
        <v>9.5</v>
      </c>
      <c r="F49" s="377">
        <f>'0_ENTREE'!P48</f>
        <v>9.9</v>
      </c>
      <c r="H49" s="380">
        <f>(K49-J49)*$C$15/'0_ENTREE'!F48</f>
        <v>7.9142300194931833E-2</v>
      </c>
      <c r="I49" s="380">
        <f>'1_REFERENCE'!G118</f>
        <v>7.9142300194931833E-2</v>
      </c>
      <c r="J49" s="139">
        <f>'2_CHAUFFAGE'!G49</f>
        <v>2.6</v>
      </c>
      <c r="K49" s="91">
        <f>'2_CHAUFFAGE'!H49</f>
        <v>2.7</v>
      </c>
      <c r="M49" s="224">
        <v>20.49</v>
      </c>
      <c r="N49" s="224">
        <f>($C$19*52)/1000*'0_ENTREE'!G48</f>
        <v>54.6</v>
      </c>
      <c r="O49" s="364">
        <f t="shared" si="5"/>
        <v>0.62472527472527473</v>
      </c>
    </row>
    <row r="50" spans="1:15" hidden="1" x14ac:dyDescent="0.25">
      <c r="A50" s="217">
        <v>17</v>
      </c>
      <c r="B50" s="37" t="str">
        <f>CONCATENATE("Ratio Eau - ",'0_ENTREE'!B49)</f>
        <v>Ratio Eau - GE2.1 - 280 - T3 - 66m²</v>
      </c>
      <c r="C50" s="224">
        <f t="shared" si="4"/>
        <v>300.00000000000006</v>
      </c>
      <c r="D50" s="224">
        <f>'1_REFERENCE'!E119</f>
        <v>0</v>
      </c>
      <c r="E50" s="88">
        <f>'0_ENTREE'!O49</f>
        <v>1.3</v>
      </c>
      <c r="F50" s="377">
        <f>'0_ENTREE'!P49</f>
        <v>1.6</v>
      </c>
      <c r="H50" s="380">
        <f>(K50-J50)*$C$15/'0_ENTREE'!F49</f>
        <v>6.8350168350168369E-2</v>
      </c>
      <c r="I50" s="380">
        <f>'1_REFERENCE'!G119</f>
        <v>0</v>
      </c>
      <c r="J50" s="139">
        <f>'2_CHAUFFAGE'!G50</f>
        <v>0.3</v>
      </c>
      <c r="K50" s="91">
        <f>'2_CHAUFFAGE'!H50</f>
        <v>0.4</v>
      </c>
      <c r="M50" s="224">
        <v>58.2</v>
      </c>
      <c r="N50" s="224">
        <f>($C$19*52)/1000*'0_ENTREE'!G49</f>
        <v>163.80000000000001</v>
      </c>
      <c r="O50" s="364">
        <f t="shared" si="5"/>
        <v>0.64468864468864473</v>
      </c>
    </row>
    <row r="51" spans="1:15" hidden="1" x14ac:dyDescent="0.25">
      <c r="A51" s="217">
        <v>18</v>
      </c>
      <c r="B51" s="37" t="str">
        <f>CONCATENATE("Ratio Eau - ",'0_ENTREE'!B50)</f>
        <v>Ratio Eau - GE2.1 - 282 - T4 - 78m²</v>
      </c>
      <c r="C51" s="224">
        <f t="shared" si="4"/>
        <v>699.99999999999932</v>
      </c>
      <c r="D51" s="224">
        <f>'1_REFERENCE'!E120</f>
        <v>599.99999999999966</v>
      </c>
      <c r="E51" s="88">
        <f>'0_ENTREE'!O50</f>
        <v>14.5</v>
      </c>
      <c r="F51" s="377">
        <f>'0_ENTREE'!P50</f>
        <v>15.2</v>
      </c>
      <c r="H51" s="380">
        <f>(K51-J51)*$C$15/'0_ENTREE'!F50</f>
        <v>0.17350427350427339</v>
      </c>
      <c r="I51" s="380">
        <f>'1_REFERENCE'!G120</f>
        <v>0.17350427350427389</v>
      </c>
      <c r="J51" s="139">
        <f>'2_CHAUFFAGE'!G51</f>
        <v>6.4</v>
      </c>
      <c r="K51" s="91">
        <f>'2_CHAUFFAGE'!H51</f>
        <v>6.7</v>
      </c>
      <c r="M51" s="224">
        <v>47.54</v>
      </c>
      <c r="N51" s="224">
        <f>($C$19*52)/1000*'0_ENTREE'!G50</f>
        <v>163.80000000000001</v>
      </c>
      <c r="O51" s="364">
        <f t="shared" si="5"/>
        <v>0.7097680097680098</v>
      </c>
    </row>
    <row r="52" spans="1:15" hidden="1" x14ac:dyDescent="0.25">
      <c r="A52" s="217">
        <v>19</v>
      </c>
      <c r="B52" s="37" t="str">
        <f>CONCATENATE("Ratio Eau - ",'0_ENTREE'!B51)</f>
        <v>Ratio Eau - GE2.1 - 292 - T3 - 63m²</v>
      </c>
      <c r="C52" s="224">
        <f t="shared" si="4"/>
        <v>1000</v>
      </c>
      <c r="D52" s="224">
        <f>'1_REFERENCE'!E121</f>
        <v>899.99999999999864</v>
      </c>
      <c r="E52" s="88">
        <f>'0_ENTREE'!O51</f>
        <v>18.5</v>
      </c>
      <c r="F52" s="377">
        <f>'0_ENTREE'!P51</f>
        <v>19.5</v>
      </c>
      <c r="H52" s="380">
        <f>(K52-J52)*$C$15/'0_ENTREE'!F51</f>
        <v>0.28641975308641998</v>
      </c>
      <c r="I52" s="380">
        <f>'1_REFERENCE'!G121</f>
        <v>0.28641975308641998</v>
      </c>
      <c r="J52" s="139">
        <f>'2_CHAUFFAGE'!G52</f>
        <v>9.1</v>
      </c>
      <c r="K52" s="91">
        <f>'2_CHAUFFAGE'!H52</f>
        <v>9.5</v>
      </c>
      <c r="M52" s="224">
        <v>55.44</v>
      </c>
      <c r="N52" s="224">
        <f>($C$19*52)/1000*'0_ENTREE'!G51</f>
        <v>54.6</v>
      </c>
      <c r="O52" s="364">
        <f t="shared" si="5"/>
        <v>-1.5384615384615316E-2</v>
      </c>
    </row>
    <row r="53" spans="1:15" hidden="1" x14ac:dyDescent="0.25">
      <c r="A53" s="217">
        <v>20</v>
      </c>
      <c r="B53" s="37" t="str">
        <f>CONCATENATE("Ratio Eau - ",'0_ENTREE'!B52)</f>
        <v>Ratio Eau - GE2.1 - 293 - T3 - 63m²</v>
      </c>
      <c r="C53" s="224">
        <f t="shared" si="4"/>
        <v>2699.9999999999959</v>
      </c>
      <c r="D53" s="224">
        <f>'1_REFERENCE'!E122</f>
        <v>3100.0000000000014</v>
      </c>
      <c r="E53" s="88">
        <f>'0_ENTREE'!O52</f>
        <v>40.6</v>
      </c>
      <c r="F53" s="377">
        <f>'0_ENTREE'!P52</f>
        <v>43.3</v>
      </c>
      <c r="H53" s="380">
        <f>(K53-J53)*$C$15/'0_ENTREE'!F52</f>
        <v>0.57283950617283996</v>
      </c>
      <c r="I53" s="380">
        <f>'1_REFERENCE'!G122</f>
        <v>0.93086419753086469</v>
      </c>
      <c r="J53" s="139">
        <f>'2_CHAUFFAGE'!G53</f>
        <v>18.2</v>
      </c>
      <c r="K53" s="91">
        <f>'2_CHAUFFAGE'!H53</f>
        <v>19</v>
      </c>
      <c r="M53" s="224">
        <v>84.36</v>
      </c>
      <c r="N53" s="224">
        <f>($C$19*52)/1000*'0_ENTREE'!G52</f>
        <v>109.2</v>
      </c>
      <c r="O53" s="364">
        <f t="shared" si="5"/>
        <v>0.2274725274725275</v>
      </c>
    </row>
    <row r="54" spans="1:15" hidden="1" x14ac:dyDescent="0.25">
      <c r="A54" s="217">
        <v>21</v>
      </c>
      <c r="B54" s="37" t="str">
        <f>CONCATENATE("Ratio Eau - ",'0_ENTREE'!B53)</f>
        <v>Ratio Eau - GE2.1 - 295 - T3 - 63m²</v>
      </c>
      <c r="C54" s="224">
        <f t="shared" si="4"/>
        <v>4100.0000000000082</v>
      </c>
      <c r="D54" s="224">
        <f>'1_REFERENCE'!E123</f>
        <v>3700.0000000000027</v>
      </c>
      <c r="E54" s="88">
        <f>'0_ENTREE'!O53</f>
        <v>78.8</v>
      </c>
      <c r="F54" s="377">
        <f>'0_ENTREE'!P53</f>
        <v>82.9</v>
      </c>
      <c r="H54" s="380">
        <f>(K54-J54)*$C$15/'0_ENTREE'!F53</f>
        <v>1.1456790123456799</v>
      </c>
      <c r="I54" s="380">
        <f>'1_REFERENCE'!G123</f>
        <v>1.145679012345675</v>
      </c>
      <c r="J54" s="139">
        <f>'2_CHAUFFAGE'!G54</f>
        <v>38.299999999999997</v>
      </c>
      <c r="K54" s="91">
        <f>'2_CHAUFFAGE'!H54</f>
        <v>39.9</v>
      </c>
      <c r="M54" s="224">
        <v>158.44</v>
      </c>
      <c r="N54" s="224">
        <f>($C$19*52)/1000*'0_ENTREE'!G53</f>
        <v>109.2</v>
      </c>
      <c r="O54" s="364">
        <f t="shared" si="5"/>
        <v>-0.45091575091575087</v>
      </c>
    </row>
    <row r="55" spans="1:15" hidden="1" x14ac:dyDescent="0.25">
      <c r="A55" s="217">
        <v>22</v>
      </c>
      <c r="B55" s="37" t="str">
        <f>CONCATENATE("Ratio Eau - ",'0_ENTREE'!B54)</f>
        <v>Ratio Eau - GE2.1 - 296 - T4 - 78m²</v>
      </c>
      <c r="C55" s="224">
        <f t="shared" si="4"/>
        <v>1000</v>
      </c>
      <c r="D55" s="224">
        <f>'1_REFERENCE'!E124</f>
        <v>1199.9999999999957</v>
      </c>
      <c r="E55" s="88">
        <f>'0_ENTREE'!O54</f>
        <v>35.299999999999997</v>
      </c>
      <c r="F55" s="377">
        <f>'0_ENTREE'!P54</f>
        <v>36.299999999999997</v>
      </c>
      <c r="H55" s="380">
        <f>(K55-J55)*$C$15/'0_ENTREE'!F54</f>
        <v>0.28917378917378916</v>
      </c>
      <c r="I55" s="380">
        <f>'1_REFERENCE'!G124</f>
        <v>0.34700854700854677</v>
      </c>
      <c r="J55" s="139">
        <f>'2_CHAUFFAGE'!G55</f>
        <v>10.7</v>
      </c>
      <c r="K55" s="91">
        <f>'2_CHAUFFAGE'!H55</f>
        <v>11.2</v>
      </c>
      <c r="M55" s="224">
        <v>82.05</v>
      </c>
      <c r="N55" s="224">
        <f>($C$19*52)/1000*'0_ENTREE'!G54</f>
        <v>218.4</v>
      </c>
      <c r="O55" s="364">
        <f t="shared" si="5"/>
        <v>0.62431318681318693</v>
      </c>
    </row>
    <row r="56" spans="1:15" hidden="1" x14ac:dyDescent="0.25">
      <c r="A56" s="217">
        <v>23</v>
      </c>
      <c r="B56" s="37" t="str">
        <f>CONCATENATE("Ratio Eau - ",'0_ENTREE'!B55)</f>
        <v>Ratio Eau - GE2.1 - 297 - T4 - 79m²</v>
      </c>
      <c r="C56" s="224">
        <f t="shared" si="4"/>
        <v>4599.9999999999945</v>
      </c>
      <c r="D56" s="224">
        <f>'1_REFERENCE'!E125</f>
        <v>5000</v>
      </c>
      <c r="E56" s="88">
        <f>'0_ENTREE'!O55</f>
        <v>110.5</v>
      </c>
      <c r="F56" s="377">
        <f>'0_ENTREE'!P55</f>
        <v>115.1</v>
      </c>
      <c r="H56" s="380">
        <f>(K56-J56)*$C$15/'0_ENTREE'!F55</f>
        <v>0.91364275668073203</v>
      </c>
      <c r="I56" s="380">
        <f>'1_REFERENCE'!G125</f>
        <v>1.256258790436003</v>
      </c>
      <c r="J56" s="139">
        <f>'2_CHAUFFAGE'!G56</f>
        <v>53.3</v>
      </c>
      <c r="K56" s="91">
        <f>'2_CHAUFFAGE'!H56</f>
        <v>54.9</v>
      </c>
      <c r="M56" s="224">
        <v>201.16</v>
      </c>
      <c r="N56" s="224">
        <f>($C$19*52)/1000*'0_ENTREE'!G55</f>
        <v>54.6</v>
      </c>
      <c r="O56" s="364">
        <f t="shared" si="5"/>
        <v>-2.684249084249084</v>
      </c>
    </row>
    <row r="57" spans="1:15" hidden="1" x14ac:dyDescent="0.25">
      <c r="A57" s="217">
        <v>24</v>
      </c>
      <c r="B57" s="37" t="str">
        <f>CONCATENATE("Ratio Eau - ",'0_ENTREE'!B56)</f>
        <v>Ratio Eau - GE2.1 - 299 - T4 - 79m²</v>
      </c>
      <c r="C57" s="224">
        <f t="shared" si="4"/>
        <v>800.00000000000068</v>
      </c>
      <c r="D57" s="224">
        <f>'1_REFERENCE'!E126</f>
        <v>0</v>
      </c>
      <c r="E57" s="88">
        <f>'0_ENTREE'!O56</f>
        <v>28.5</v>
      </c>
      <c r="F57" s="377">
        <f>'0_ENTREE'!P56</f>
        <v>29.3</v>
      </c>
      <c r="H57" s="380">
        <f>(K57-J57)*$C$15/'0_ENTREE'!F56</f>
        <v>0.11420534458509203</v>
      </c>
      <c r="I57" s="380">
        <f>'1_REFERENCE'!G126</f>
        <v>0</v>
      </c>
      <c r="J57" s="139">
        <f>'2_CHAUFFAGE'!G57</f>
        <v>14.1</v>
      </c>
      <c r="K57" s="91">
        <f>'2_CHAUFFAGE'!H57</f>
        <v>14.3</v>
      </c>
      <c r="M57" s="224">
        <v>70.180000000000007</v>
      </c>
      <c r="N57" s="224">
        <f>($C$19*52)/1000*'0_ENTREE'!G56</f>
        <v>163.80000000000001</v>
      </c>
      <c r="O57" s="364">
        <f t="shared" si="5"/>
        <v>0.57155067155067152</v>
      </c>
    </row>
    <row r="58" spans="1:15" hidden="1" x14ac:dyDescent="0.25">
      <c r="A58" s="217">
        <v>25</v>
      </c>
      <c r="B58" s="37" t="str">
        <f>CONCATENATE("Ratio Eau - ",'0_ENTREE'!B57)</f>
        <v>Ratio Eau - GE2.1 - 300 - T5 - 93m²</v>
      </c>
      <c r="C58" s="224">
        <f t="shared" si="4"/>
        <v>2500</v>
      </c>
      <c r="D58" s="224">
        <f>'1_REFERENCE'!E127</f>
        <v>2399.9999999999986</v>
      </c>
      <c r="E58" s="88">
        <f>'0_ENTREE'!O57</f>
        <v>53.9</v>
      </c>
      <c r="F58" s="377">
        <f>'0_ENTREE'!P57</f>
        <v>56.4</v>
      </c>
      <c r="H58" s="380">
        <f>(K58-J58)*$C$15/'0_ENTREE'!F57</f>
        <v>0.48506571087216244</v>
      </c>
      <c r="I58" s="380">
        <f>'1_REFERENCE'!G127</f>
        <v>0.53357228195937945</v>
      </c>
      <c r="J58" s="139">
        <f>'2_CHAUFFAGE'!G58</f>
        <v>26.3</v>
      </c>
      <c r="K58" s="91">
        <f>'2_CHAUFFAGE'!H58</f>
        <v>27.3</v>
      </c>
      <c r="M58" s="224">
        <v>98.08</v>
      </c>
      <c r="N58" s="224">
        <f>($C$19*52)/1000*'0_ENTREE'!G57</f>
        <v>218.4</v>
      </c>
      <c r="O58" s="364">
        <f t="shared" si="5"/>
        <v>0.55091575091575096</v>
      </c>
    </row>
    <row r="59" spans="1:15" hidden="1" x14ac:dyDescent="0.25">
      <c r="A59" s="217">
        <v>26</v>
      </c>
      <c r="B59" s="37" t="str">
        <f>CONCATENATE("Ratio Eau - ",'0_ENTREE'!B58)</f>
        <v>Ratio Eau - GE2.1 - 302 - T5 - 93m²</v>
      </c>
      <c r="C59" s="224">
        <f t="shared" si="4"/>
        <v>2100.0000000000014</v>
      </c>
      <c r="D59" s="224">
        <f>'1_REFERENCE'!E128</f>
        <v>1899.9999999999986</v>
      </c>
      <c r="E59" s="88">
        <f>'0_ENTREE'!O58</f>
        <v>42.8</v>
      </c>
      <c r="F59" s="377">
        <f>'0_ENTREE'!P58</f>
        <v>44.9</v>
      </c>
      <c r="H59" s="380">
        <f>(K59-J59)*$C$15/'0_ENTREE'!F58</f>
        <v>0.29103942652329812</v>
      </c>
      <c r="I59" s="380">
        <f>'1_REFERENCE'!G128</f>
        <v>0.29103942652329812</v>
      </c>
      <c r="J59" s="139">
        <f>'2_CHAUFFAGE'!G59</f>
        <v>17</v>
      </c>
      <c r="K59" s="91">
        <f>'2_CHAUFFAGE'!H59</f>
        <v>17.600000000000001</v>
      </c>
      <c r="M59" s="224">
        <v>86.01</v>
      </c>
      <c r="N59" s="224">
        <f>($C$19*52)/1000*'0_ENTREE'!G58</f>
        <v>163.80000000000001</v>
      </c>
      <c r="O59" s="364">
        <f t="shared" si="5"/>
        <v>0.47490842490842489</v>
      </c>
    </row>
    <row r="60" spans="1:15" hidden="1" x14ac:dyDescent="0.25">
      <c r="A60" s="217">
        <v>27</v>
      </c>
      <c r="B60" s="37" t="str">
        <f>CONCATENATE("Ratio Eau - ",'0_ENTREE'!B59)</f>
        <v>Ratio Eau - GE2.1 - 312 - T4 - 75m²</v>
      </c>
      <c r="C60" s="224">
        <f t="shared" si="4"/>
        <v>1100.0000000000014</v>
      </c>
      <c r="D60" s="224">
        <f>'1_REFERENCE'!E129</f>
        <v>799.99999999999716</v>
      </c>
      <c r="E60" s="88">
        <f>'0_ENTREE'!O59</f>
        <v>46.8</v>
      </c>
      <c r="F60" s="377">
        <f>'0_ENTREE'!P59</f>
        <v>47.9</v>
      </c>
      <c r="H60" s="380">
        <f>(K60-J60)*$C$15/'0_ENTREE'!F59</f>
        <v>0.3007407407407407</v>
      </c>
      <c r="I60" s="380">
        <f>'1_REFERENCE'!G129</f>
        <v>0.24059259259259386</v>
      </c>
      <c r="J60" s="139">
        <f>'2_CHAUFFAGE'!G60</f>
        <v>25.1</v>
      </c>
      <c r="K60" s="91">
        <f>'2_CHAUFFAGE'!H60</f>
        <v>25.6</v>
      </c>
      <c r="M60" s="224">
        <v>82.52</v>
      </c>
      <c r="N60" s="224">
        <f>($C$19*52)/1000*'0_ENTREE'!G59</f>
        <v>109.2</v>
      </c>
      <c r="O60" s="364">
        <f t="shared" si="5"/>
        <v>0.24432234432234437</v>
      </c>
    </row>
    <row r="61" spans="1:15" s="46" customFormat="1" ht="13.5" hidden="1" thickBot="1" x14ac:dyDescent="0.3">
      <c r="A61" s="217">
        <v>28</v>
      </c>
      <c r="B61" s="299" t="str">
        <f>CONCATENATE("Ratio Eau - ",'0_ENTREE'!B60)</f>
        <v>Ratio Eau - MOYENNE GE2.1</v>
      </c>
      <c r="C61" s="298">
        <f>AVERAGE(C48:C60)</f>
        <v>1815.3846153846155</v>
      </c>
      <c r="D61" s="298">
        <f t="shared" ref="D61" si="6">AVERAGE(D48:D60)</f>
        <v>1738.4615384615379</v>
      </c>
      <c r="E61" s="208"/>
      <c r="F61" s="378"/>
      <c r="H61" s="386">
        <f>AVERAGE(H48:H60)</f>
        <v>0.40995479937228751</v>
      </c>
      <c r="I61" s="386">
        <f t="shared" ref="I61" si="7">AVERAGE(I48:I60)</f>
        <v>0.47680735304587701</v>
      </c>
      <c r="J61" s="221"/>
      <c r="K61" s="211"/>
      <c r="M61" s="298"/>
      <c r="N61" s="298"/>
      <c r="O61" s="423"/>
    </row>
    <row r="62" spans="1:15" x14ac:dyDescent="0.25">
      <c r="A62" s="217">
        <v>29</v>
      </c>
      <c r="B62" s="47" t="str">
        <f>CONCATENATE("Ratio Eau - ",'0_ENTREE'!B61)</f>
        <v>Ratio Eau - GE2.2 - 271 - T3 - 74m²</v>
      </c>
      <c r="C62" s="225">
        <f t="shared" ref="C62:C74" si="8">((F62-E62)*1000)</f>
        <v>1800.0000000000043</v>
      </c>
      <c r="D62" s="223">
        <f>'1_REFERENCE'!E131</f>
        <v>1399.9999999999986</v>
      </c>
      <c r="E62" s="84">
        <f>'0_ENTREE'!O61</f>
        <v>38.799999999999997</v>
      </c>
      <c r="F62" s="376">
        <f>'0_ENTREE'!P61</f>
        <v>40.6</v>
      </c>
      <c r="H62" s="379">
        <f>(K62-J62)*$C$15/'0_ENTREE'!F61</f>
        <v>0.73153153153153105</v>
      </c>
      <c r="I62" s="387">
        <f>'1_REFERENCE'!G131</f>
        <v>0.54864864864864771</v>
      </c>
      <c r="J62" s="138">
        <f>'2_CHAUFFAGE'!G62</f>
        <v>26.7</v>
      </c>
      <c r="K62" s="87">
        <f>'2_CHAUFFAGE'!H62</f>
        <v>27.9</v>
      </c>
      <c r="M62" s="225">
        <v>75.14</v>
      </c>
      <c r="N62" s="223">
        <f>($C$19*52)/1000*'0_ENTREE'!G61</f>
        <v>109.2</v>
      </c>
      <c r="O62" s="422">
        <f t="shared" ref="O62:O74" si="9">(N62-M62)/N62</f>
        <v>0.31190476190476191</v>
      </c>
    </row>
    <row r="63" spans="1:15" x14ac:dyDescent="0.25">
      <c r="A63" s="217">
        <v>30</v>
      </c>
      <c r="B63" s="37" t="str">
        <f>CONCATENATE("Ratio Eau - ",'0_ENTREE'!B62)</f>
        <v>Ratio Eau - GE2.2 - 272 - T3 - 74m²</v>
      </c>
      <c r="C63" s="224">
        <f t="shared" si="8"/>
        <v>1799.9999999999973</v>
      </c>
      <c r="D63" s="224">
        <f>'1_REFERENCE'!E132</f>
        <v>1899.9999999999986</v>
      </c>
      <c r="E63" s="88">
        <f>'0_ENTREE'!O62</f>
        <v>42</v>
      </c>
      <c r="F63" s="377">
        <f>'0_ENTREE'!P62</f>
        <v>43.8</v>
      </c>
      <c r="H63" s="380">
        <f>(K63-J63)*$C$15/'0_ENTREE'!F62</f>
        <v>6.0960960960961007E-2</v>
      </c>
      <c r="I63" s="380">
        <f>'1_REFERENCE'!G132</f>
        <v>0.12192192192192175</v>
      </c>
      <c r="J63" s="139">
        <f>'2_CHAUFFAGE'!G63</f>
        <v>3.9</v>
      </c>
      <c r="K63" s="91">
        <f>'2_CHAUFFAGE'!H63</f>
        <v>4</v>
      </c>
      <c r="M63" s="224">
        <v>128.03</v>
      </c>
      <c r="N63" s="224">
        <f>($C$19*52)/1000*'0_ENTREE'!G62</f>
        <v>54.6</v>
      </c>
      <c r="O63" s="364">
        <f t="shared" si="9"/>
        <v>-1.344871794871795</v>
      </c>
    </row>
    <row r="64" spans="1:15" x14ac:dyDescent="0.25">
      <c r="A64" s="217">
        <v>31</v>
      </c>
      <c r="B64" s="37" t="str">
        <f>CONCATENATE("Ratio Eau - ",'0_ENTREE'!B63)</f>
        <v>Ratio Eau - GE2.2 - 273 - T3 - 74m²</v>
      </c>
      <c r="C64" s="224">
        <f t="shared" si="8"/>
        <v>2000</v>
      </c>
      <c r="D64" s="224">
        <f>'1_REFERENCE'!E133</f>
        <v>2500</v>
      </c>
      <c r="E64" s="88">
        <f>'0_ENTREE'!O63</f>
        <v>38.200000000000003</v>
      </c>
      <c r="F64" s="377">
        <f>'0_ENTREE'!P63</f>
        <v>40.200000000000003</v>
      </c>
      <c r="H64" s="380">
        <f>(K64-J64)*$C$15/'0_ENTREE'!F63</f>
        <v>0.54864864864864771</v>
      </c>
      <c r="I64" s="380">
        <f>'1_REFERENCE'!G133</f>
        <v>0.54864864864864993</v>
      </c>
      <c r="J64" s="139">
        <f>'2_CHAUFFAGE'!G64</f>
        <v>18.8</v>
      </c>
      <c r="K64" s="91">
        <f>'2_CHAUFFAGE'!H64</f>
        <v>19.7</v>
      </c>
      <c r="M64" s="224">
        <v>91.22</v>
      </c>
      <c r="N64" s="224">
        <f>($C$19*52)/1000*'0_ENTREE'!G63</f>
        <v>109.2</v>
      </c>
      <c r="O64" s="364">
        <f t="shared" si="9"/>
        <v>0.16465201465201468</v>
      </c>
    </row>
    <row r="65" spans="1:15" x14ac:dyDescent="0.25">
      <c r="A65" s="217">
        <v>32</v>
      </c>
      <c r="B65" s="37" t="str">
        <f>CONCATENATE("Ratio Eau - ",'0_ENTREE'!B64)</f>
        <v>Ratio Eau - GE2.2 - 276 - T4 - 83m²</v>
      </c>
      <c r="C65" s="224">
        <f t="shared" si="8"/>
        <v>2100.0000000000014</v>
      </c>
      <c r="D65" s="224">
        <f>'1_REFERENCE'!E134</f>
        <v>2299.9999999999973</v>
      </c>
      <c r="E65" s="88">
        <f>'0_ENTREE'!O64</f>
        <v>41.9</v>
      </c>
      <c r="F65" s="377">
        <f>'0_ENTREE'!P64</f>
        <v>44</v>
      </c>
      <c r="H65" s="380">
        <f>(K65-J65)*$C$15/'0_ENTREE'!F64</f>
        <v>0.38045515394912943</v>
      </c>
      <c r="I65" s="380">
        <f>'1_REFERENCE'!G134</f>
        <v>0.43480589022757732</v>
      </c>
      <c r="J65" s="139">
        <f>'2_CHAUFFAGE'!G65</f>
        <v>18.7</v>
      </c>
      <c r="K65" s="91">
        <f>'2_CHAUFFAGE'!H65</f>
        <v>19.399999999999999</v>
      </c>
      <c r="M65" s="224">
        <v>95.5</v>
      </c>
      <c r="N65" s="224">
        <f>($C$19*52)/1000*'0_ENTREE'!G64</f>
        <v>109.2</v>
      </c>
      <c r="O65" s="364">
        <f t="shared" si="9"/>
        <v>0.12545787545787548</v>
      </c>
    </row>
    <row r="66" spans="1:15" x14ac:dyDescent="0.25">
      <c r="A66" s="217">
        <v>33</v>
      </c>
      <c r="B66" s="37" t="str">
        <f>CONCATENATE("Ratio Eau - ",'0_ENTREE'!B65)</f>
        <v>Ratio Eau - GE2.2 - 279 - T3 - 70m²</v>
      </c>
      <c r="C66" s="224">
        <f t="shared" si="8"/>
        <v>1800.0000000000007</v>
      </c>
      <c r="D66" s="224">
        <f>'1_REFERENCE'!E135</f>
        <v>1300.0000000000007</v>
      </c>
      <c r="E66" s="88">
        <f>'0_ENTREE'!O65</f>
        <v>28</v>
      </c>
      <c r="F66" s="377">
        <f>'0_ENTREE'!P65</f>
        <v>29.8</v>
      </c>
      <c r="H66" s="380">
        <f>(K66-J66)*$C$15/'0_ENTREE'!F65</f>
        <v>0.57999999999999896</v>
      </c>
      <c r="I66" s="380">
        <f>'1_REFERENCE'!G135</f>
        <v>0.38666666666666755</v>
      </c>
      <c r="J66" s="139">
        <f>'2_CHAUFFAGE'!G66</f>
        <v>15.3</v>
      </c>
      <c r="K66" s="91">
        <f>'2_CHAUFFAGE'!H66</f>
        <v>16.2</v>
      </c>
      <c r="M66" s="224">
        <v>16.690000000000001</v>
      </c>
      <c r="N66" s="224">
        <f>($C$19*52)/1000*'0_ENTREE'!G65</f>
        <v>109.2</v>
      </c>
      <c r="O66" s="364">
        <f t="shared" si="9"/>
        <v>0.84716117216117215</v>
      </c>
    </row>
    <row r="67" spans="1:15" x14ac:dyDescent="0.25">
      <c r="A67" s="217">
        <v>34</v>
      </c>
      <c r="B67" s="37" t="str">
        <f>CONCATENATE("Ratio Eau - ",'0_ENTREE'!B66)</f>
        <v>Ratio Eau - GE2.2 - 288 - T3 - 68m²</v>
      </c>
      <c r="C67" s="224">
        <f t="shared" si="8"/>
        <v>900.00000000000216</v>
      </c>
      <c r="D67" s="224">
        <f>'1_REFERENCE'!E136</f>
        <v>1000</v>
      </c>
      <c r="E67" s="88">
        <f>'0_ENTREE'!O66</f>
        <v>18.899999999999999</v>
      </c>
      <c r="F67" s="377">
        <f>'0_ENTREE'!P66</f>
        <v>19.8</v>
      </c>
      <c r="H67" s="380">
        <f>(K67-J67)*$C$15/'0_ENTREE'!F66</f>
        <v>6.6339869281045516E-2</v>
      </c>
      <c r="I67" s="380">
        <f>'1_REFERENCE'!G136</f>
        <v>6.6339869281045807E-2</v>
      </c>
      <c r="J67" s="139">
        <f>'2_CHAUFFAGE'!G67</f>
        <v>3.7</v>
      </c>
      <c r="K67" s="91">
        <f>'2_CHAUFFAGE'!H67</f>
        <v>3.8</v>
      </c>
      <c r="M67" s="224">
        <v>34.770000000000003</v>
      </c>
      <c r="N67" s="224">
        <f>($C$19*52)/1000*'0_ENTREE'!G66</f>
        <v>218.4</v>
      </c>
      <c r="O67" s="364">
        <f t="shared" si="9"/>
        <v>0.84079670329670331</v>
      </c>
    </row>
    <row r="68" spans="1:15" x14ac:dyDescent="0.25">
      <c r="A68" s="217">
        <v>35</v>
      </c>
      <c r="B68" s="37" t="str">
        <f>CONCATENATE("Ratio Eau - ",'0_ENTREE'!B67)</f>
        <v>Ratio Eau - GE2.2 - 291 - T3 - 62m²</v>
      </c>
      <c r="C68" s="224">
        <f t="shared" si="8"/>
        <v>399.99999999999858</v>
      </c>
      <c r="D68" s="224">
        <f>'1_REFERENCE'!E137</f>
        <v>100.00000000000142</v>
      </c>
      <c r="E68" s="88">
        <f>'0_ENTREE'!O67</f>
        <v>31.3</v>
      </c>
      <c r="F68" s="377">
        <f>'0_ENTREE'!P67</f>
        <v>31.7</v>
      </c>
      <c r="H68" s="380">
        <f>(K68-J68)*$C$15/'0_ENTREE'!F67</f>
        <v>0</v>
      </c>
      <c r="I68" s="380">
        <f>'1_REFERENCE'!G137</f>
        <v>0</v>
      </c>
      <c r="J68" s="139">
        <f>'2_CHAUFFAGE'!G68</f>
        <v>0</v>
      </c>
      <c r="K68" s="91">
        <f>'2_CHAUFFAGE'!H68</f>
        <v>0</v>
      </c>
      <c r="M68" s="224">
        <v>79.739999999999995</v>
      </c>
      <c r="N68" s="224">
        <f>($C$19*52)/1000*'0_ENTREE'!G67</f>
        <v>109.2</v>
      </c>
      <c r="O68" s="364">
        <f t="shared" si="9"/>
        <v>0.26978021978021982</v>
      </c>
    </row>
    <row r="69" spans="1:15" x14ac:dyDescent="0.25">
      <c r="A69" s="217">
        <v>36</v>
      </c>
      <c r="B69" s="37" t="str">
        <f>CONCATENATE("Ratio Eau - ",'0_ENTREE'!B68)</f>
        <v>Ratio Eau - GE2.2 - 294 - T3 - 63m²</v>
      </c>
      <c r="C69" s="224">
        <f t="shared" si="8"/>
        <v>1399.9999999999986</v>
      </c>
      <c r="D69" s="224">
        <f>'1_REFERENCE'!E138</f>
        <v>1199.9999999999993</v>
      </c>
      <c r="E69" s="88">
        <f>'0_ENTREE'!O68</f>
        <v>31.9</v>
      </c>
      <c r="F69" s="377">
        <f>'0_ENTREE'!P68</f>
        <v>33.299999999999997</v>
      </c>
      <c r="H69" s="380">
        <f>(K69-J69)*$C$15/'0_ENTREE'!F68</f>
        <v>0.28641975308641998</v>
      </c>
      <c r="I69" s="380">
        <f>'1_REFERENCE'!G138</f>
        <v>7.160493827160469E-2</v>
      </c>
      <c r="J69" s="139">
        <f>'2_CHAUFFAGE'!G69</f>
        <v>8.1999999999999993</v>
      </c>
      <c r="K69" s="91">
        <f>'2_CHAUFFAGE'!H69</f>
        <v>8.6</v>
      </c>
      <c r="M69" s="224">
        <v>117.39</v>
      </c>
      <c r="N69" s="224">
        <f>($C$19*52)/1000*'0_ENTREE'!G68</f>
        <v>54.6</v>
      </c>
      <c r="O69" s="364">
        <f t="shared" si="9"/>
        <v>-1.1499999999999999</v>
      </c>
    </row>
    <row r="70" spans="1:15" x14ac:dyDescent="0.25">
      <c r="A70" s="217">
        <v>37</v>
      </c>
      <c r="B70" s="37" t="str">
        <f>CONCATENATE("Ratio Eau - ",'0_ENTREE'!B69)</f>
        <v>Ratio Eau - GE2.2 - 298 - T5 - 93m²</v>
      </c>
      <c r="C70" s="224">
        <f t="shared" si="8"/>
        <v>4700.0000000000027</v>
      </c>
      <c r="D70" s="224">
        <f>'1_REFERENCE'!E139</f>
        <v>5299.9999999999973</v>
      </c>
      <c r="E70" s="88">
        <f>'0_ENTREE'!O69</f>
        <v>88.7</v>
      </c>
      <c r="F70" s="377">
        <f>'0_ENTREE'!P69</f>
        <v>93.4</v>
      </c>
      <c r="H70" s="380">
        <f>(K70-J70)*$C$15/'0_ENTREE'!F69</f>
        <v>0.6305854241338098</v>
      </c>
      <c r="I70" s="380">
        <f>'1_REFERENCE'!G139</f>
        <v>0.87311827956989452</v>
      </c>
      <c r="J70" s="139">
        <f>'2_CHAUFFAGE'!G70</f>
        <v>38.200000000000003</v>
      </c>
      <c r="K70" s="91">
        <f>'2_CHAUFFAGE'!H70</f>
        <v>39.5</v>
      </c>
      <c r="M70" s="224">
        <v>184.51</v>
      </c>
      <c r="N70" s="224">
        <f>($C$19*52)/1000*'0_ENTREE'!G69</f>
        <v>54.6</v>
      </c>
      <c r="O70" s="364">
        <f t="shared" si="9"/>
        <v>-2.3793040293040293</v>
      </c>
    </row>
    <row r="71" spans="1:15" x14ac:dyDescent="0.25">
      <c r="A71" s="217">
        <v>38</v>
      </c>
      <c r="B71" s="37" t="str">
        <f>CONCATENATE("Ratio Eau - ",'0_ENTREE'!B70)</f>
        <v>Ratio Eau - GE2.2 - 301 - T4 - 79m²</v>
      </c>
      <c r="C71" s="224">
        <f t="shared" si="8"/>
        <v>1500</v>
      </c>
      <c r="D71" s="224">
        <f>'1_REFERENCE'!E140</f>
        <v>2699.9999999999959</v>
      </c>
      <c r="E71" s="88">
        <f>'0_ENTREE'!O70</f>
        <v>43.3</v>
      </c>
      <c r="F71" s="377">
        <f>'0_ENTREE'!P70</f>
        <v>44.8</v>
      </c>
      <c r="H71" s="380">
        <f>(K71-J71)*$C$15/'0_ENTREE'!F70</f>
        <v>0.28551336146272854</v>
      </c>
      <c r="I71" s="380">
        <f>'1_REFERENCE'!G140</f>
        <v>0.45682137834036601</v>
      </c>
      <c r="J71" s="139">
        <f>'2_CHAUFFAGE'!G71</f>
        <v>16.100000000000001</v>
      </c>
      <c r="K71" s="91">
        <f>'2_CHAUFFAGE'!H71</f>
        <v>16.600000000000001</v>
      </c>
      <c r="M71" s="224">
        <v>124.25</v>
      </c>
      <c r="N71" s="224">
        <f>($C$19*52)/1000*'0_ENTREE'!G70</f>
        <v>163.80000000000001</v>
      </c>
      <c r="O71" s="364">
        <f t="shared" si="9"/>
        <v>0.24145299145299151</v>
      </c>
    </row>
    <row r="72" spans="1:15" x14ac:dyDescent="0.25">
      <c r="A72" s="217">
        <v>39</v>
      </c>
      <c r="B72" s="37" t="str">
        <f>CONCATENATE("Ratio Eau - ",'0_ENTREE'!B71)</f>
        <v>Ratio Eau - GE2.2 - 311 - T4 - 74m²</v>
      </c>
      <c r="C72" s="224">
        <f t="shared" si="8"/>
        <v>2000</v>
      </c>
      <c r="D72" s="224">
        <f>'1_REFERENCE'!E141</f>
        <v>1900.0000000000057</v>
      </c>
      <c r="E72" s="88">
        <f>'0_ENTREE'!O71</f>
        <v>49.2</v>
      </c>
      <c r="F72" s="377">
        <f>'0_ENTREE'!P71</f>
        <v>51.2</v>
      </c>
      <c r="H72" s="380">
        <f>(K72-J72)*$C$15/'0_ENTREE'!F71</f>
        <v>0.48768768768768805</v>
      </c>
      <c r="I72" s="380">
        <f>'1_REFERENCE'!G141</f>
        <v>0.48768768768768805</v>
      </c>
      <c r="J72" s="139">
        <f>'2_CHAUFFAGE'!G72</f>
        <v>20.5</v>
      </c>
      <c r="K72" s="91">
        <f>'2_CHAUFFAGE'!H72</f>
        <v>21.3</v>
      </c>
      <c r="M72" s="224">
        <v>96.23</v>
      </c>
      <c r="N72" s="224">
        <f>($C$19*52)/1000*'0_ENTREE'!G71</f>
        <v>109.2</v>
      </c>
      <c r="O72" s="364">
        <f t="shared" si="9"/>
        <v>0.11877289377289375</v>
      </c>
    </row>
    <row r="73" spans="1:15" x14ac:dyDescent="0.25">
      <c r="A73" s="217">
        <v>40</v>
      </c>
      <c r="B73" s="37" t="str">
        <f>CONCATENATE("Ratio Eau - ",'0_ENTREE'!B72)</f>
        <v>Ratio Eau - GE2.2 - 313 - T4 - 75m²</v>
      </c>
      <c r="C73" s="224">
        <f t="shared" si="8"/>
        <v>899.99999999999864</v>
      </c>
      <c r="D73" s="224">
        <f>'1_REFERENCE'!E142</f>
        <v>1000</v>
      </c>
      <c r="E73" s="88">
        <f>'0_ENTREE'!O72</f>
        <v>21.6</v>
      </c>
      <c r="F73" s="377">
        <f>'0_ENTREE'!P72</f>
        <v>22.5</v>
      </c>
      <c r="H73" s="380">
        <f>(K73-J73)*$C$15/'0_ENTREE'!F72</f>
        <v>0.24059259259259175</v>
      </c>
      <c r="I73" s="380">
        <f>'1_REFERENCE'!G142</f>
        <v>0.24059259259259277</v>
      </c>
      <c r="J73" s="139">
        <f>'2_CHAUFFAGE'!G73</f>
        <v>10.3</v>
      </c>
      <c r="K73" s="91">
        <f>'2_CHAUFFAGE'!H73</f>
        <v>10.7</v>
      </c>
      <c r="M73" s="224">
        <v>56.91</v>
      </c>
      <c r="N73" s="224">
        <f>($C$19*52)/1000*'0_ENTREE'!G72</f>
        <v>109.2</v>
      </c>
      <c r="O73" s="364">
        <f t="shared" si="9"/>
        <v>0.47884615384615387</v>
      </c>
    </row>
    <row r="74" spans="1:15" x14ac:dyDescent="0.25">
      <c r="A74" s="217">
        <v>41</v>
      </c>
      <c r="B74" s="37" t="str">
        <f>CONCATENATE("Ratio Eau - ",'0_ENTREE'!B73)</f>
        <v>Ratio Eau - GE2.2 - 315 - T4 - 75m²</v>
      </c>
      <c r="C74" s="224">
        <f t="shared" si="8"/>
        <v>2600.0000000000014</v>
      </c>
      <c r="D74" s="224">
        <f>'1_REFERENCE'!E143</f>
        <v>2899.9999999999986</v>
      </c>
      <c r="E74" s="88">
        <f>'0_ENTREE'!O73</f>
        <v>48.4</v>
      </c>
      <c r="F74" s="377">
        <f>'0_ENTREE'!P73</f>
        <v>51</v>
      </c>
      <c r="H74" s="380">
        <f>(K74-J74)*$C$15/'0_ENTREE'!F73</f>
        <v>0.60148148148148139</v>
      </c>
      <c r="I74" s="380">
        <f>'1_REFERENCE'!G143</f>
        <v>0.8420740740740732</v>
      </c>
      <c r="J74" s="139">
        <f>'2_CHAUFFAGE'!G74</f>
        <v>22.2</v>
      </c>
      <c r="K74" s="91">
        <f>'2_CHAUFFAGE'!H74</f>
        <v>23.2</v>
      </c>
      <c r="M74" s="224">
        <v>128.55000000000001</v>
      </c>
      <c r="N74" s="224">
        <f>($C$19*52)/1000*'0_ENTREE'!G73</f>
        <v>54.6</v>
      </c>
      <c r="O74" s="364">
        <f t="shared" si="9"/>
        <v>-1.3543956043956047</v>
      </c>
    </row>
    <row r="75" spans="1:15" s="46" customFormat="1" ht="13.5" thickBot="1" x14ac:dyDescent="0.3">
      <c r="A75" s="217">
        <v>42</v>
      </c>
      <c r="B75" s="299" t="str">
        <f>CONCATENATE("Ratio Eau - ",'0_ENTREE'!B74)</f>
        <v>Ratio Eau - MOYENNE GE2.2</v>
      </c>
      <c r="C75" s="298">
        <f>AVERAGE(C62:C74)</f>
        <v>1838.4615384615388</v>
      </c>
      <c r="D75" s="298">
        <f t="shared" ref="D75" si="10">AVERAGE(D62:D74)</f>
        <v>1961.5384615384612</v>
      </c>
      <c r="E75" s="208"/>
      <c r="F75" s="378"/>
      <c r="H75" s="386">
        <f>AVERAGE(H62:H74)</f>
        <v>0.37693972806277171</v>
      </c>
      <c r="I75" s="386">
        <f t="shared" ref="I75" si="11">AVERAGE(I62:I74)</f>
        <v>0.3906869689177484</v>
      </c>
      <c r="J75" s="221"/>
      <c r="K75" s="211"/>
      <c r="M75" s="298"/>
      <c r="N75" s="298"/>
      <c r="O75" s="423"/>
    </row>
    <row r="76" spans="1:15" x14ac:dyDescent="0.25">
      <c r="A76" s="217">
        <v>43</v>
      </c>
      <c r="B76" s="47" t="str">
        <f>CONCATENATE("Ratio Eau - ",'0_ENTREE'!B75)</f>
        <v>Ratio Eau - SO - 284 - T - 64m²</v>
      </c>
      <c r="C76" s="225">
        <f t="shared" ref="C76:C81" si="12">((F76-E76)*1000)</f>
        <v>199.99999999999929</v>
      </c>
      <c r="D76" s="223">
        <f>'1_REFERENCE'!E145</f>
        <v>300.00000000000068</v>
      </c>
      <c r="E76" s="84">
        <f>'0_ENTREE'!O75</f>
        <v>6.4</v>
      </c>
      <c r="F76" s="376">
        <f>'0_ENTREE'!P75</f>
        <v>6.6</v>
      </c>
      <c r="H76" s="379">
        <f>(K76-J76)*$C$15/'0_ENTREE'!F75</f>
        <v>0</v>
      </c>
      <c r="I76" s="387">
        <f>'1_REFERENCE'!G145</f>
        <v>0</v>
      </c>
      <c r="J76" s="138">
        <f>'2_CHAUFFAGE'!G76</f>
        <v>1.2</v>
      </c>
      <c r="K76" s="87">
        <f>'2_CHAUFFAGE'!H76</f>
        <v>1.2</v>
      </c>
      <c r="M76" s="225">
        <v>23.21</v>
      </c>
      <c r="N76" s="223">
        <f>($C$19*52)/1000*'0_ENTREE'!G75</f>
        <v>54.6</v>
      </c>
      <c r="O76" s="422">
        <f t="shared" ref="O76:O81" si="13">(N76-M76)/N76</f>
        <v>0.57490842490842486</v>
      </c>
    </row>
    <row r="77" spans="1:15" x14ac:dyDescent="0.25">
      <c r="A77" s="217">
        <v>44</v>
      </c>
      <c r="B77" s="37" t="str">
        <f>CONCATENATE("Ratio Eau - ",'0_ENTREE'!B76)</f>
        <v>Ratio Eau - SO - 287 - T - 81m²</v>
      </c>
      <c r="C77" s="224">
        <f t="shared" si="12"/>
        <v>1199.9999999999957</v>
      </c>
      <c r="D77" s="224">
        <f>'1_REFERENCE'!E146</f>
        <v>1200.0000000000027</v>
      </c>
      <c r="E77" s="88">
        <f>'0_ENTREE'!O76</f>
        <v>32.1</v>
      </c>
      <c r="F77" s="377">
        <f>'0_ENTREE'!P76</f>
        <v>33.299999999999997</v>
      </c>
      <c r="H77" s="380">
        <f>(K77-J77)*$C$15/'0_ENTREE'!F76</f>
        <v>0.16707818930041191</v>
      </c>
      <c r="I77" s="380">
        <f>'1_REFERENCE'!G146</f>
        <v>0.16707818930041091</v>
      </c>
      <c r="J77" s="139">
        <f>'2_CHAUFFAGE'!G77</f>
        <v>13.2</v>
      </c>
      <c r="K77" s="91">
        <f>'2_CHAUFFAGE'!H77</f>
        <v>13.5</v>
      </c>
      <c r="M77" s="224">
        <v>74.69</v>
      </c>
      <c r="N77" s="224">
        <f>($C$19*52)/1000*'0_ENTREE'!G76</f>
        <v>54.6</v>
      </c>
      <c r="O77" s="364">
        <f t="shared" si="13"/>
        <v>-0.36794871794871786</v>
      </c>
    </row>
    <row r="78" spans="1:15" x14ac:dyDescent="0.25">
      <c r="A78" s="217">
        <v>45</v>
      </c>
      <c r="B78" s="37" t="str">
        <f>CONCATENATE("Ratio Eau - ",'0_ENTREE'!B77)</f>
        <v>Ratio Eau - SO - 290 - T - 40m²</v>
      </c>
      <c r="C78" s="224">
        <f t="shared" si="12"/>
        <v>1099.999999999998</v>
      </c>
      <c r="D78" s="224">
        <f>'1_REFERENCE'!E147</f>
        <v>700.00000000000284</v>
      </c>
      <c r="E78" s="88">
        <f>'0_ENTREE'!O77</f>
        <v>19.600000000000001</v>
      </c>
      <c r="F78" s="377">
        <f>'0_ENTREE'!P77</f>
        <v>20.7</v>
      </c>
      <c r="H78" s="380">
        <f>(K78-J78)*$C$15/'0_ENTREE'!F77</f>
        <v>0</v>
      </c>
      <c r="I78" s="380">
        <f>'1_REFERENCE'!G147</f>
        <v>0</v>
      </c>
      <c r="J78" s="139">
        <f>'2_CHAUFFAGE'!G78</f>
        <v>0</v>
      </c>
      <c r="K78" s="91">
        <f>'2_CHAUFFAGE'!H78</f>
        <v>0</v>
      </c>
      <c r="M78" s="224">
        <v>44.39</v>
      </c>
      <c r="N78" s="224">
        <f>($C$19*52)/1000*'0_ENTREE'!G77</f>
        <v>54.6</v>
      </c>
      <c r="O78" s="364">
        <f t="shared" si="13"/>
        <v>0.186996336996337</v>
      </c>
    </row>
    <row r="79" spans="1:15" x14ac:dyDescent="0.25">
      <c r="A79" s="217">
        <v>46</v>
      </c>
      <c r="B79" s="37" t="str">
        <f>CONCATENATE("Ratio Eau - ",'0_ENTREE'!B78)</f>
        <v>Ratio Eau - SO - 305 - T - 66m²</v>
      </c>
      <c r="C79" s="224">
        <f t="shared" si="12"/>
        <v>2000</v>
      </c>
      <c r="D79" s="224">
        <f>'1_REFERENCE'!E148</f>
        <v>2000</v>
      </c>
      <c r="E79" s="88">
        <f>'0_ENTREE'!O78</f>
        <v>23.6</v>
      </c>
      <c r="F79" s="377">
        <f>'0_ENTREE'!P78</f>
        <v>25.6</v>
      </c>
      <c r="H79" s="380">
        <f>(K79-J79)*$C$15/'0_ENTREE'!F78</f>
        <v>0</v>
      </c>
      <c r="I79" s="380">
        <f>'1_REFERENCE'!G148</f>
        <v>0</v>
      </c>
      <c r="J79" s="139">
        <f>'2_CHAUFFAGE'!G79</f>
        <v>0</v>
      </c>
      <c r="K79" s="91">
        <f>'2_CHAUFFAGE'!H79</f>
        <v>0</v>
      </c>
      <c r="M79" s="224">
        <v>85.36</v>
      </c>
      <c r="N79" s="224">
        <f>($C$19*52)/1000*'0_ENTREE'!G78</f>
        <v>163.80000000000001</v>
      </c>
      <c r="O79" s="364">
        <f t="shared" si="13"/>
        <v>0.4788766788766789</v>
      </c>
    </row>
    <row r="80" spans="1:15" x14ac:dyDescent="0.25">
      <c r="A80" s="217">
        <v>47</v>
      </c>
      <c r="B80" s="37" t="str">
        <f>CONCATENATE("Ratio Eau - ",'0_ENTREE'!B79)</f>
        <v>Ratio Eau - SO - 309 - T - 66m²</v>
      </c>
      <c r="C80" s="224">
        <f t="shared" si="12"/>
        <v>1500</v>
      </c>
      <c r="D80" s="224">
        <f>'1_REFERENCE'!E149</f>
        <v>1100.0000000000014</v>
      </c>
      <c r="E80" s="88">
        <f>'0_ENTREE'!O79</f>
        <v>23.6</v>
      </c>
      <c r="F80" s="377">
        <f>'0_ENTREE'!P79</f>
        <v>25.1</v>
      </c>
      <c r="H80" s="380">
        <f>(K80-J80)*$C$15/'0_ENTREE'!F79</f>
        <v>0.34175084175084169</v>
      </c>
      <c r="I80" s="380">
        <f>'1_REFERENCE'!G149</f>
        <v>0.34175084175084169</v>
      </c>
      <c r="J80" s="139">
        <f>'2_CHAUFFAGE'!G80</f>
        <v>12.7</v>
      </c>
      <c r="K80" s="91">
        <f>'2_CHAUFFAGE'!H80</f>
        <v>13.2</v>
      </c>
      <c r="M80" s="224">
        <v>42.76</v>
      </c>
      <c r="N80" s="224">
        <f>($C$19*52)/1000*'0_ENTREE'!G79</f>
        <v>54.6</v>
      </c>
      <c r="O80" s="364">
        <f t="shared" si="13"/>
        <v>0.21684981684981691</v>
      </c>
    </row>
    <row r="81" spans="1:20" x14ac:dyDescent="0.25">
      <c r="A81" s="217">
        <v>48</v>
      </c>
      <c r="B81" s="37" t="str">
        <f>CONCATENATE("Ratio Eau - ",'0_ENTREE'!B80)</f>
        <v>Ratio Eau - SO - 310 - T - 54m²</v>
      </c>
      <c r="C81" s="224">
        <f t="shared" si="12"/>
        <v>1599.9999999999943</v>
      </c>
      <c r="D81" s="224">
        <f>'1_REFERENCE'!E150</f>
        <v>1700.0000000000027</v>
      </c>
      <c r="E81" s="88">
        <f>'0_ENTREE'!O80</f>
        <v>33.200000000000003</v>
      </c>
      <c r="F81" s="377">
        <f>'0_ENTREE'!P80</f>
        <v>34.799999999999997</v>
      </c>
      <c r="H81" s="380">
        <f>(K81-J81)*$C$15/'0_ENTREE'!F80</f>
        <v>0.25061728395061711</v>
      </c>
      <c r="I81" s="380">
        <f>'1_REFERENCE'!G150</f>
        <v>0.33415637860082331</v>
      </c>
      <c r="J81" s="139">
        <f>'2_CHAUFFAGE'!G81</f>
        <v>6.9</v>
      </c>
      <c r="K81" s="91">
        <f>'2_CHAUFFAGE'!H81</f>
        <v>7.2</v>
      </c>
      <c r="M81" s="224">
        <v>82.13</v>
      </c>
      <c r="N81" s="224">
        <f>($C$19*52)/1000*'0_ENTREE'!G80</f>
        <v>54.6</v>
      </c>
      <c r="O81" s="364">
        <f t="shared" si="13"/>
        <v>-0.50421245421245409</v>
      </c>
    </row>
    <row r="82" spans="1:20" s="46" customFormat="1" ht="13.5" thickBot="1" x14ac:dyDescent="0.3">
      <c r="A82" s="217">
        <v>49</v>
      </c>
      <c r="B82" s="299" t="str">
        <f>CONCATENATE("Ratio Eau - ",'0_ENTREE'!B81)</f>
        <v>Ratio Eau - MOYENNE SO</v>
      </c>
      <c r="C82" s="298">
        <f>AVERAGE(C76:C81)</f>
        <v>1266.6666666666645</v>
      </c>
      <c r="D82" s="298">
        <f>AVERAGE(D76:D81)</f>
        <v>1166.6666666666683</v>
      </c>
      <c r="E82" s="221"/>
      <c r="F82" s="211"/>
      <c r="H82" s="386">
        <f>AVERAGE(H76:H81)</f>
        <v>0.12657438583364511</v>
      </c>
      <c r="I82" s="386">
        <f>AVERAGE(I76:I81)</f>
        <v>0.14049756827534599</v>
      </c>
      <c r="J82" s="221"/>
      <c r="K82" s="211"/>
      <c r="M82" s="298"/>
      <c r="N82" s="298"/>
      <c r="O82" s="423"/>
    </row>
    <row r="83" spans="1:20" s="4" customFormat="1" x14ac:dyDescent="0.25">
      <c r="A83" s="13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s="4" customFormat="1" x14ac:dyDescent="0.25"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</sheetData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90" orientation="portrait" r:id="rId2"/>
  <headerFooter>
    <oddFooter>&amp;L&amp;F&amp;CSOLAIR&amp;R&amp;A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4"/>
  <sheetViews>
    <sheetView tabSelected="1" topLeftCell="A29" zoomScaleNormal="100" workbookViewId="0">
      <selection activeCell="B74" sqref="B74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7" width="12.7109375" style="18" customWidth="1"/>
    <col min="18" max="16384" width="15.7109375" style="18"/>
  </cols>
  <sheetData>
    <row r="1" spans="1:18" ht="30" customHeight="1" thickBot="1" x14ac:dyDescent="0.3">
      <c r="A1" s="465" t="str">
        <f>CONCATENATE("ENCERTICUS - ",B4," - ",B5," - ",B7)</f>
        <v>ENCERTICUS - SORTIE logiciel - 2014 - S23</v>
      </c>
      <c r="B1" s="466"/>
      <c r="C1" s="466"/>
      <c r="D1" s="467"/>
      <c r="E1" s="25"/>
      <c r="F1" s="185" t="s">
        <v>73</v>
      </c>
      <c r="G1" s="111" t="s">
        <v>74</v>
      </c>
      <c r="H1" s="25"/>
      <c r="I1" s="25"/>
    </row>
    <row r="2" spans="1:18" ht="13.5" thickBot="1" x14ac:dyDescent="0.3">
      <c r="E2" s="23"/>
      <c r="F2" s="13"/>
      <c r="G2" s="102"/>
      <c r="H2" s="13"/>
      <c r="I2" s="25"/>
    </row>
    <row r="3" spans="1:18" ht="25.5" x14ac:dyDescent="0.25">
      <c r="A3" s="305" t="s">
        <v>9</v>
      </c>
      <c r="B3" s="306" t="s">
        <v>10</v>
      </c>
      <c r="C3" s="186"/>
      <c r="I3" s="333" t="str">
        <f>'0_ENTREE'!I3</f>
        <v>DJU moyen</v>
      </c>
      <c r="J3" s="168" t="s">
        <v>183</v>
      </c>
      <c r="K3" s="339" t="str">
        <f>'0_ENTREE'!K3</f>
        <v>DJU REEL - 2011</v>
      </c>
      <c r="L3" s="339" t="str">
        <f>'0_ENTREE'!L3</f>
        <v>DJU REEL - 2012</v>
      </c>
      <c r="M3" s="339" t="str">
        <f>'0_ENTREE'!M3</f>
        <v>DJU REEL - 2013</v>
      </c>
      <c r="N3" s="339" t="str">
        <f>'0_ENTREE'!N3</f>
        <v>DJU REEL - 2014</v>
      </c>
      <c r="O3" s="339" t="str">
        <f>'0_ENTREE'!O3</f>
        <v>DJU REEL - 2015</v>
      </c>
      <c r="P3" s="339" t="str">
        <f>'0_ENTREE'!P3</f>
        <v>DJU REEL - 2016</v>
      </c>
      <c r="Q3" s="339" t="str">
        <f>'0_ENTREE'!Q3</f>
        <v>DJU REEL - 2017</v>
      </c>
    </row>
    <row r="4" spans="1:18" x14ac:dyDescent="0.25">
      <c r="A4" s="96" t="s">
        <v>11</v>
      </c>
      <c r="B4" s="97" t="s">
        <v>77</v>
      </c>
      <c r="C4" s="186"/>
      <c r="E4" s="470" t="str">
        <f>'0_ENTREE'!E4:F4</f>
        <v>DJU Annuel Moyen</v>
      </c>
      <c r="F4" s="470"/>
      <c r="G4" s="335">
        <f>'0_ENTREE'!G4</f>
        <v>1519.8666666666668</v>
      </c>
      <c r="I4" s="359">
        <f>'0_ENTREE'!I4</f>
        <v>335.36666666666662</v>
      </c>
      <c r="J4" s="317" t="str">
        <f>'0_ENTREE'!J4</f>
        <v>Janvier</v>
      </c>
      <c r="K4" s="317">
        <f>'0_ENTREE'!K4</f>
        <v>339.1</v>
      </c>
      <c r="L4" s="317">
        <f>'0_ENTREE'!L4</f>
        <v>302.7</v>
      </c>
      <c r="M4" s="317">
        <f>'0_ENTREE'!M4</f>
        <v>364.3</v>
      </c>
      <c r="N4" s="317">
        <f>'0_ENTREE'!N4</f>
        <v>302.7</v>
      </c>
      <c r="O4" s="317">
        <f>'0_ENTREE'!O4</f>
        <v>0</v>
      </c>
      <c r="P4" s="317">
        <f>'0_ENTREE'!P4</f>
        <v>0</v>
      </c>
      <c r="Q4" s="155">
        <f>'1_REFERENCE'!O4</f>
        <v>0</v>
      </c>
    </row>
    <row r="5" spans="1:18" x14ac:dyDescent="0.25">
      <c r="A5" s="96" t="s">
        <v>35</v>
      </c>
      <c r="B5" s="103">
        <f>'0_ENTREE'!B5</f>
        <v>2014</v>
      </c>
      <c r="C5" s="186">
        <f>'0_ENTREE'!C5</f>
        <v>6</v>
      </c>
      <c r="E5" s="470" t="str">
        <f>'0_ENTREE'!E5:F5</f>
        <v>DJU Annuel Réel - 2014</v>
      </c>
      <c r="F5" s="470"/>
      <c r="G5" s="335">
        <f>'0_ENTREE'!G5</f>
        <v>1548.4</v>
      </c>
      <c r="I5" s="359">
        <f>'0_ENTREE'!I5</f>
        <v>347.76666666666671</v>
      </c>
      <c r="J5" s="317" t="str">
        <f>'0_ENTREE'!J5</f>
        <v>Février</v>
      </c>
      <c r="K5" s="317">
        <f>'0_ENTREE'!K5</f>
        <v>266.60000000000002</v>
      </c>
      <c r="L5" s="317">
        <f>'0_ENTREE'!L5</f>
        <v>425.6</v>
      </c>
      <c r="M5" s="317">
        <f>'0_ENTREE'!M5</f>
        <v>351.1</v>
      </c>
      <c r="N5" s="317">
        <f>'0_ENTREE'!N5</f>
        <v>425.6</v>
      </c>
      <c r="O5" s="317">
        <f>'0_ENTREE'!O5</f>
        <v>0</v>
      </c>
      <c r="P5" s="317">
        <f>'0_ENTREE'!P5</f>
        <v>0</v>
      </c>
      <c r="Q5" s="155">
        <f>'1_REFERENCE'!O5</f>
        <v>0</v>
      </c>
    </row>
    <row r="6" spans="1:18" x14ac:dyDescent="0.25">
      <c r="A6" s="96" t="s">
        <v>36</v>
      </c>
      <c r="B6" s="103" t="str">
        <f>'0_ENTREE'!B6</f>
        <v>Juin</v>
      </c>
      <c r="C6" s="186">
        <f>'0_ENTREE'!C6</f>
        <v>8</v>
      </c>
      <c r="E6" s="470" t="str">
        <f>'0_ENTREE'!E6:F6</f>
        <v>DJU Mensuel Moyen - Juin</v>
      </c>
      <c r="F6" s="470"/>
      <c r="G6" s="335">
        <f>'0_ENTREE'!G6</f>
        <v>0</v>
      </c>
      <c r="I6" s="359">
        <f>'0_ENTREE'!I6</f>
        <v>210.16666666666666</v>
      </c>
      <c r="J6" s="317" t="str">
        <f>'0_ENTREE'!J6</f>
        <v>Mars</v>
      </c>
      <c r="K6" s="317">
        <f>'0_ENTREE'!K6</f>
        <v>217.4</v>
      </c>
      <c r="L6" s="317">
        <f>'0_ENTREE'!L6</f>
        <v>183.6</v>
      </c>
      <c r="M6" s="317">
        <f>'0_ENTREE'!M6</f>
        <v>229.5</v>
      </c>
      <c r="N6" s="317">
        <f>'0_ENTREE'!N6</f>
        <v>183.6</v>
      </c>
      <c r="O6" s="317">
        <f>'0_ENTREE'!O6</f>
        <v>0</v>
      </c>
      <c r="P6" s="317">
        <f>'0_ENTREE'!P6</f>
        <v>0</v>
      </c>
      <c r="Q6" s="155">
        <f>'1_REFERENCE'!O6</f>
        <v>0</v>
      </c>
    </row>
    <row r="7" spans="1:18" x14ac:dyDescent="0.25">
      <c r="A7" s="96" t="s">
        <v>57</v>
      </c>
      <c r="B7" s="103" t="str">
        <f>'0_ENTREE'!B7</f>
        <v>S23</v>
      </c>
      <c r="C7" s="186">
        <f>'0_ENTREE'!C7</f>
        <v>25</v>
      </c>
      <c r="E7" s="470" t="str">
        <f>'0_ENTREE'!E7:F7</f>
        <v>DJU Mensuel Réel - Juin</v>
      </c>
      <c r="F7" s="470"/>
      <c r="G7" s="335">
        <f>'0_ENTREE'!G7</f>
        <v>0</v>
      </c>
      <c r="I7" s="359">
        <f>'0_ENTREE'!I7</f>
        <v>106.96666666666665</v>
      </c>
      <c r="J7" s="317" t="str">
        <f>'0_ENTREE'!J7</f>
        <v>Avril</v>
      </c>
      <c r="K7" s="317">
        <f>'0_ENTREE'!K7</f>
        <v>69</v>
      </c>
      <c r="L7" s="317">
        <f>'0_ENTREE'!L7</f>
        <v>120.9</v>
      </c>
      <c r="M7" s="317">
        <f>'0_ENTREE'!M7</f>
        <v>131</v>
      </c>
      <c r="N7" s="317">
        <f>'0_ENTREE'!N7</f>
        <v>120.9</v>
      </c>
      <c r="O7" s="317">
        <f>'0_ENTREE'!O7</f>
        <v>0</v>
      </c>
      <c r="P7" s="317">
        <f>'0_ENTREE'!P7</f>
        <v>0</v>
      </c>
      <c r="Q7" s="155">
        <f>'1_REFERENCE'!O7</f>
        <v>0</v>
      </c>
    </row>
    <row r="8" spans="1:18" ht="13.5" thickBot="1" x14ac:dyDescent="0.3">
      <c r="A8" s="98" t="s">
        <v>31</v>
      </c>
      <c r="B8" s="104" t="str">
        <f>'0_ENTREE'!B8</f>
        <v>Semaine</v>
      </c>
      <c r="C8" s="186">
        <f>'0_ENTREE'!C8</f>
        <v>0</v>
      </c>
      <c r="E8" s="470" t="str">
        <f>'0_ENTREE'!E8:F8</f>
        <v>DJU Hebdo Moyen - Juin</v>
      </c>
      <c r="F8" s="470"/>
      <c r="G8" s="335">
        <f>'0_ENTREE'!G8</f>
        <v>0</v>
      </c>
      <c r="I8" s="359">
        <f>'0_ENTREE'!I8</f>
        <v>31.966666666666669</v>
      </c>
      <c r="J8" s="317" t="str">
        <f>'0_ENTREE'!J8</f>
        <v>Mai</v>
      </c>
      <c r="K8" s="317">
        <f>'0_ENTREE'!K8</f>
        <v>7.9</v>
      </c>
      <c r="L8" s="317">
        <f>'0_ENTREE'!L8</f>
        <v>17.2</v>
      </c>
      <c r="M8" s="317">
        <f>'0_ENTREE'!M8</f>
        <v>70.8</v>
      </c>
      <c r="N8" s="317">
        <f>'0_ENTREE'!N8</f>
        <v>17.2</v>
      </c>
      <c r="O8" s="317">
        <f>'0_ENTREE'!O8</f>
        <v>0</v>
      </c>
      <c r="P8" s="317">
        <f>'0_ENTREE'!P8</f>
        <v>0</v>
      </c>
      <c r="Q8" s="155">
        <f>'1_REFERENCE'!O8</f>
        <v>0</v>
      </c>
    </row>
    <row r="9" spans="1:18" x14ac:dyDescent="0.25">
      <c r="E9" s="470" t="str">
        <f>'0_ENTREE'!E9:F9</f>
        <v>DJU Hebdo Réel - S23</v>
      </c>
      <c r="F9" s="470"/>
      <c r="G9" s="335">
        <f>'0_ENTREE'!G9</f>
        <v>0</v>
      </c>
      <c r="I9" s="359">
        <f>'0_ENTREE'!I9</f>
        <v>0</v>
      </c>
      <c r="J9" s="317" t="str">
        <f>'0_ENTREE'!J9</f>
        <v>Juin</v>
      </c>
      <c r="K9" s="317">
        <f>'0_ENTREE'!K9</f>
        <v>0</v>
      </c>
      <c r="L9" s="317">
        <f>'0_ENTREE'!L9</f>
        <v>0</v>
      </c>
      <c r="M9" s="317">
        <f>'0_ENTREE'!M9</f>
        <v>0</v>
      </c>
      <c r="N9" s="317">
        <f>'0_ENTREE'!N9</f>
        <v>0</v>
      </c>
      <c r="O9" s="317">
        <f>'0_ENTREE'!O9</f>
        <v>0</v>
      </c>
      <c r="P9" s="317">
        <f>'0_ENTREE'!P9</f>
        <v>0</v>
      </c>
      <c r="Q9" s="155">
        <f>'1_REFERENCE'!O9</f>
        <v>0</v>
      </c>
    </row>
    <row r="10" spans="1:18" x14ac:dyDescent="0.25">
      <c r="I10" s="359">
        <f>'0_ENTREE'!I10</f>
        <v>0</v>
      </c>
      <c r="J10" s="317" t="str">
        <f>'0_ENTREE'!J10</f>
        <v>Juillet</v>
      </c>
      <c r="K10" s="317">
        <f>'0_ENTREE'!K10</f>
        <v>0</v>
      </c>
      <c r="L10" s="317">
        <f>'0_ENTREE'!L10</f>
        <v>0</v>
      </c>
      <c r="M10" s="317">
        <f>'0_ENTREE'!M10</f>
        <v>0</v>
      </c>
      <c r="N10" s="317">
        <f>'0_ENTREE'!N10</f>
        <v>0</v>
      </c>
      <c r="O10" s="317">
        <f>'0_ENTREE'!O10</f>
        <v>0</v>
      </c>
      <c r="P10" s="317">
        <f>'0_ENTREE'!P10</f>
        <v>0</v>
      </c>
      <c r="Q10" s="155">
        <f>'1_REFERENCE'!O10</f>
        <v>0</v>
      </c>
      <c r="R10" s="20"/>
    </row>
    <row r="11" spans="1:18" x14ac:dyDescent="0.25">
      <c r="I11" s="359">
        <f>'0_ENTREE'!I11</f>
        <v>0</v>
      </c>
      <c r="J11" s="317" t="str">
        <f>'0_ENTREE'!J11</f>
        <v>Août</v>
      </c>
      <c r="K11" s="317">
        <f>'0_ENTREE'!K11</f>
        <v>0</v>
      </c>
      <c r="L11" s="317">
        <f>'0_ENTREE'!L11</f>
        <v>0</v>
      </c>
      <c r="M11" s="317">
        <f>'0_ENTREE'!M11</f>
        <v>0</v>
      </c>
      <c r="N11" s="317">
        <f>'0_ENTREE'!N11</f>
        <v>0</v>
      </c>
      <c r="O11" s="317">
        <f>'0_ENTREE'!O11</f>
        <v>0</v>
      </c>
      <c r="P11" s="317">
        <f>'0_ENTREE'!P11</f>
        <v>0</v>
      </c>
      <c r="Q11" s="155">
        <f>'1_REFERENCE'!O11</f>
        <v>0</v>
      </c>
    </row>
    <row r="12" spans="1:18" ht="25.5" x14ac:dyDescent="0.25">
      <c r="B12" s="310" t="s">
        <v>175</v>
      </c>
      <c r="C12" s="310" t="s">
        <v>53</v>
      </c>
      <c r="D12" s="471" t="s">
        <v>56</v>
      </c>
      <c r="E12" s="471"/>
      <c r="F12" s="310" t="s">
        <v>58</v>
      </c>
      <c r="I12" s="359">
        <f>'0_ENTREE'!I12</f>
        <v>0</v>
      </c>
      <c r="J12" s="317" t="str">
        <f>'0_ENTREE'!J12</f>
        <v>Septembre</v>
      </c>
      <c r="K12" s="317">
        <f>'0_ENTREE'!K12</f>
        <v>0</v>
      </c>
      <c r="L12" s="317">
        <f>'0_ENTREE'!L12</f>
        <v>0</v>
      </c>
      <c r="M12" s="317">
        <f>'0_ENTREE'!M12</f>
        <v>0</v>
      </c>
      <c r="N12" s="317">
        <f>'0_ENTREE'!N12</f>
        <v>0</v>
      </c>
      <c r="O12" s="317">
        <f>'0_ENTREE'!O12</f>
        <v>0</v>
      </c>
      <c r="P12" s="317">
        <f>'0_ENTREE'!P12</f>
        <v>0</v>
      </c>
      <c r="Q12" s="155">
        <f>'1_REFERENCE'!O12</f>
        <v>0</v>
      </c>
    </row>
    <row r="13" spans="1:18" x14ac:dyDescent="0.25">
      <c r="B13" s="111" t="str">
        <f>'0_ENTREE'!B13</f>
        <v>Ratio de chauffage</v>
      </c>
      <c r="C13" s="314">
        <f>'0_ENTREE'!C13</f>
        <v>0</v>
      </c>
      <c r="D13" s="472" t="s">
        <v>34</v>
      </c>
      <c r="E13" s="472"/>
      <c r="F13" s="308"/>
      <c r="I13" s="359">
        <f>'0_ENTREE'!I13</f>
        <v>20</v>
      </c>
      <c r="J13" s="317" t="str">
        <f>'0_ENTREE'!J13</f>
        <v>Octobre</v>
      </c>
      <c r="K13" s="317">
        <f>'0_ENTREE'!K13</f>
        <v>9.6</v>
      </c>
      <c r="L13" s="317">
        <f>'0_ENTREE'!L13</f>
        <v>44.5</v>
      </c>
      <c r="M13" s="317">
        <f>'0_ENTREE'!M13</f>
        <v>5.9</v>
      </c>
      <c r="N13" s="317">
        <f>'0_ENTREE'!N13</f>
        <v>44.5</v>
      </c>
      <c r="O13" s="317">
        <f>'0_ENTREE'!O13</f>
        <v>0</v>
      </c>
      <c r="P13" s="317">
        <f>'0_ENTREE'!P13</f>
        <v>0</v>
      </c>
      <c r="Q13" s="155">
        <f>'1_REFERENCE'!O13</f>
        <v>0</v>
      </c>
    </row>
    <row r="14" spans="1:18" x14ac:dyDescent="0.25">
      <c r="B14" s="405" t="str">
        <f>'0_ENTREE'!B14</f>
        <v>Ratio cuisson - semaine</v>
      </c>
      <c r="C14" s="315">
        <f>'0_ENTREE'!C14</f>
        <v>7</v>
      </c>
      <c r="D14" s="473" t="s">
        <v>54</v>
      </c>
      <c r="E14" s="473"/>
      <c r="F14" s="308"/>
      <c r="I14" s="359">
        <f>'0_ENTREE'!I14</f>
        <v>182.4</v>
      </c>
      <c r="J14" s="317" t="str">
        <f>'0_ENTREE'!J14</f>
        <v>Novembre</v>
      </c>
      <c r="K14" s="317">
        <f>'0_ENTREE'!K14</f>
        <v>172.7</v>
      </c>
      <c r="L14" s="317">
        <f>'0_ENTREE'!L14</f>
        <v>154</v>
      </c>
      <c r="M14" s="317">
        <f>'0_ENTREE'!M14</f>
        <v>220.5</v>
      </c>
      <c r="N14" s="317">
        <f>'0_ENTREE'!N14</f>
        <v>154</v>
      </c>
      <c r="O14" s="317">
        <f>'0_ENTREE'!O14</f>
        <v>0</v>
      </c>
      <c r="P14" s="317">
        <f>'0_ENTREE'!P14</f>
        <v>0</v>
      </c>
      <c r="Q14" s="155">
        <f>'1_REFERENCE'!O14</f>
        <v>0</v>
      </c>
    </row>
    <row r="15" spans="1:18" ht="14.25" x14ac:dyDescent="0.25">
      <c r="B15" s="405" t="str">
        <f>'0_ENTREE'!B15</f>
        <v>Energie nécessaire ECS</v>
      </c>
      <c r="C15" s="315">
        <f>'0_ENTREE'!C15</f>
        <v>45.111111111111107</v>
      </c>
      <c r="D15" s="473" t="s">
        <v>282</v>
      </c>
      <c r="E15" s="473"/>
      <c r="F15" s="308" t="s">
        <v>32</v>
      </c>
      <c r="I15" s="359">
        <f>'0_ENTREE'!I15</f>
        <v>285.23333333333335</v>
      </c>
      <c r="J15" s="317" t="str">
        <f>'0_ENTREE'!J15</f>
        <v>Décembre</v>
      </c>
      <c r="K15" s="317">
        <f>'0_ENTREE'!K15</f>
        <v>271</v>
      </c>
      <c r="L15" s="317">
        <f>'0_ENTREE'!L15</f>
        <v>299.89999999999998</v>
      </c>
      <c r="M15" s="317">
        <f>'0_ENTREE'!M15</f>
        <v>284.8</v>
      </c>
      <c r="N15" s="317">
        <f>'0_ENTREE'!N15</f>
        <v>299.89999999999998</v>
      </c>
      <c r="O15" s="317">
        <f>'0_ENTREE'!O15</f>
        <v>0</v>
      </c>
      <c r="P15" s="317">
        <f>'0_ENTREE'!P15</f>
        <v>0</v>
      </c>
      <c r="Q15" s="155">
        <f>'1_REFERENCE'!O15</f>
        <v>0</v>
      </c>
    </row>
    <row r="16" spans="1:18" x14ac:dyDescent="0.25">
      <c r="B16" s="405" t="str">
        <f>'0_ENTREE'!B16</f>
        <v>Volume ECS consommé jour</v>
      </c>
      <c r="C16" s="406">
        <f>'0_ENTREE'!C16</f>
        <v>35</v>
      </c>
      <c r="D16" s="473" t="s">
        <v>169</v>
      </c>
      <c r="E16" s="473"/>
      <c r="F16" s="308"/>
      <c r="I16" s="334"/>
      <c r="J16" s="349" t="str">
        <f>'0_ENTREE'!J16</f>
        <v>Année</v>
      </c>
      <c r="K16" s="349">
        <f>'0_ENTREE'!K16</f>
        <v>1353.3</v>
      </c>
      <c r="L16" s="349">
        <f>'0_ENTREE'!L16</f>
        <v>1548.4</v>
      </c>
      <c r="M16" s="349">
        <f>'0_ENTREE'!M16</f>
        <v>1657.9</v>
      </c>
      <c r="N16" s="349">
        <f>'0_ENTREE'!N16</f>
        <v>1548.4</v>
      </c>
      <c r="O16" s="349">
        <f>'0_ENTREE'!O16</f>
        <v>0</v>
      </c>
      <c r="P16" s="349">
        <f>'0_ENTREE'!P16</f>
        <v>0</v>
      </c>
      <c r="Q16" s="350">
        <f>'1_REFERENCE'!O16</f>
        <v>0</v>
      </c>
    </row>
    <row r="17" spans="1:15" x14ac:dyDescent="0.25">
      <c r="B17" s="405" t="str">
        <f>'0_ENTREE'!B17</f>
        <v>Ratio ECS - jour</v>
      </c>
      <c r="C17" s="315">
        <f>'0_ENTREE'!C17</f>
        <v>1.5788888888888888</v>
      </c>
      <c r="D17" s="473" t="s">
        <v>168</v>
      </c>
      <c r="E17" s="473"/>
      <c r="F17" s="343"/>
    </row>
    <row r="18" spans="1:15" x14ac:dyDescent="0.25">
      <c r="B18" s="405" t="str">
        <f>'0_ENTREE'!B18</f>
        <v>Ratio électrique - semaine</v>
      </c>
      <c r="C18" s="315">
        <f>'0_ENTREE'!C18</f>
        <v>52.42307692307692</v>
      </c>
      <c r="D18" s="473" t="s">
        <v>52</v>
      </c>
      <c r="E18" s="473"/>
      <c r="F18" s="308" t="s">
        <v>24</v>
      </c>
    </row>
    <row r="19" spans="1:15" x14ac:dyDescent="0.25">
      <c r="B19" s="405" t="str">
        <f>'0_ENTREE'!B19</f>
        <v>Ratio eau (EF+ECS) - semaine</v>
      </c>
      <c r="C19" s="406">
        <f>'0_ENTREE'!C19</f>
        <v>1050</v>
      </c>
      <c r="D19" s="473" t="s">
        <v>55</v>
      </c>
      <c r="E19" s="473"/>
      <c r="F19" s="309" t="s">
        <v>26</v>
      </c>
    </row>
    <row r="20" spans="1:15" ht="25.5" x14ac:dyDescent="0.25">
      <c r="B20" s="310" t="s">
        <v>176</v>
      </c>
      <c r="C20" s="310" t="s">
        <v>53</v>
      </c>
      <c r="D20" s="471" t="s">
        <v>56</v>
      </c>
      <c r="E20" s="471"/>
      <c r="F20" s="310" t="s">
        <v>58</v>
      </c>
    </row>
    <row r="21" spans="1:15" x14ac:dyDescent="0.25">
      <c r="B21" s="27" t="str">
        <f>'0_ENTREE'!B21</f>
        <v>Nbre semaine par mois</v>
      </c>
      <c r="C21" s="307">
        <f>'0_ENTREE'!C21</f>
        <v>4.3452380952380958</v>
      </c>
      <c r="D21" s="474"/>
      <c r="E21" s="474"/>
      <c r="F21" s="308"/>
    </row>
    <row r="22" spans="1:15" x14ac:dyDescent="0.25">
      <c r="B22" s="27" t="str">
        <f>'0_ENTREE'!B22</f>
        <v>Conversion GAZ (volume en kWh PCI)</v>
      </c>
      <c r="C22" s="307">
        <f>'0_ENTREE'!C22</f>
        <v>11.628</v>
      </c>
      <c r="D22" s="474" t="s">
        <v>29</v>
      </c>
      <c r="E22" s="474"/>
      <c r="F22" s="308"/>
    </row>
    <row r="23" spans="1:15" x14ac:dyDescent="0.25">
      <c r="B23" s="27" t="str">
        <f>'0_ENTREE'!B23</f>
        <v>Conversion GAZ (PCS en PCI)</v>
      </c>
      <c r="C23" s="307">
        <f>'0_ENTREE'!C23</f>
        <v>0.9009009009009008</v>
      </c>
      <c r="D23" s="474" t="s">
        <v>15</v>
      </c>
      <c r="E23" s="474"/>
      <c r="F23" s="308"/>
    </row>
    <row r="24" spans="1:15" x14ac:dyDescent="0.25">
      <c r="B24" s="27"/>
      <c r="C24" s="307"/>
      <c r="D24" s="474"/>
      <c r="E24" s="474"/>
      <c r="F24" s="308"/>
    </row>
    <row r="25" spans="1:15" x14ac:dyDescent="0.25">
      <c r="B25" s="27" t="str">
        <f>'0_ENTREE'!B25</f>
        <v>Facteur travaux</v>
      </c>
      <c r="C25" s="307">
        <f>'0_ENTREE'!C25</f>
        <v>1</v>
      </c>
      <c r="D25" s="474"/>
      <c r="E25" s="474"/>
      <c r="F25" s="308"/>
    </row>
    <row r="28" spans="1:15" s="17" customFormat="1" x14ac:dyDescent="0.25">
      <c r="B28" s="120" t="str">
        <f>CONCATENATE("BILAN - ",B5," - ",B6," - ",B7)</f>
        <v>BILAN - 2014 - Juin - S23</v>
      </c>
    </row>
    <row r="29" spans="1:15" s="17" customFormat="1" x14ac:dyDescent="0.25">
      <c r="B29" s="32"/>
      <c r="C29" s="166"/>
      <c r="D29" s="66"/>
      <c r="E29" s="66"/>
      <c r="F29" s="167"/>
      <c r="G29" s="66"/>
      <c r="H29" s="66"/>
      <c r="I29" s="167"/>
      <c r="J29" s="66"/>
      <c r="K29" s="66"/>
      <c r="L29" s="167"/>
    </row>
    <row r="30" spans="1:15" s="17" customFormat="1" ht="38.25" x14ac:dyDescent="0.25">
      <c r="B30" s="32"/>
      <c r="C30" s="66" t="s">
        <v>69</v>
      </c>
      <c r="D30" s="66" t="s">
        <v>67</v>
      </c>
      <c r="E30" s="66" t="s">
        <v>152</v>
      </c>
      <c r="F30" s="236"/>
      <c r="G30" s="66" t="str">
        <f>D30</f>
        <v>Données relevé</v>
      </c>
      <c r="H30" s="66" t="s">
        <v>153</v>
      </c>
      <c r="I30" s="236"/>
      <c r="J30" s="66" t="str">
        <f>G30</f>
        <v>Données relevé</v>
      </c>
      <c r="K30" s="66" t="str">
        <f>H30</f>
        <v>semaine précédente</v>
      </c>
      <c r="L30" s="236"/>
    </row>
    <row r="31" spans="1:15" s="4" customFormat="1" ht="38.25" x14ac:dyDescent="0.25">
      <c r="A31" s="32"/>
      <c r="B31" s="121" t="str">
        <f>'2_CHAUFFAGE'!B32</f>
        <v>NOM DE LA DONNEES</v>
      </c>
      <c r="C31" s="127" t="s">
        <v>68</v>
      </c>
      <c r="D31" s="226" t="str">
        <f>'2_CHAUFFAGE'!C32</f>
        <v>CHAUFFAGE corrigé - S23</v>
      </c>
      <c r="E31" s="227" t="str">
        <f>'2_CHAUFFAGE'!D32</f>
        <v>Ratio CHAUFFAGE réf - Juin</v>
      </c>
      <c r="F31" s="122" t="s">
        <v>79</v>
      </c>
      <c r="G31" s="249" t="str">
        <f>'2_ELECTRICITE'!C32</f>
        <v>ELECTRICTE - S23</v>
      </c>
      <c r="H31" s="250" t="str">
        <f>'2_ELECTRICITE'!D32</f>
        <v>Ratio ELECTRICTE réf - S23</v>
      </c>
      <c r="I31" s="122" t="s">
        <v>81</v>
      </c>
      <c r="J31" s="275" t="str">
        <f>'2_EAU'!C32</f>
        <v>EAU - S23</v>
      </c>
      <c r="K31" s="276" t="str">
        <f>'2_EAU'!D32</f>
        <v>Ratio EAU réf - S23</v>
      </c>
      <c r="L31" s="122" t="s">
        <v>80</v>
      </c>
      <c r="M31" s="382" t="str">
        <f>'2_EAU'!H32</f>
        <v>ECS - S23</v>
      </c>
      <c r="N31" s="383" t="str">
        <f>'2_EAU'!I32</f>
        <v>Ratio ECS réf - S23</v>
      </c>
      <c r="O31" s="122" t="s">
        <v>281</v>
      </c>
    </row>
    <row r="32" spans="1:15" s="4" customFormat="1" ht="25.5" x14ac:dyDescent="0.25">
      <c r="A32" s="33"/>
      <c r="B32" s="125"/>
      <c r="C32" s="128" t="s">
        <v>28</v>
      </c>
      <c r="D32" s="228" t="str">
        <f>'2_CHAUFFAGE'!C33</f>
        <v>kWh PCI / m²</v>
      </c>
      <c r="E32" s="229" t="str">
        <f>'2_CHAUFFAGE'!D33</f>
        <v>kWh PCI / m²</v>
      </c>
      <c r="F32" s="123" t="s">
        <v>28</v>
      </c>
      <c r="G32" s="251" t="str">
        <f>'2_ELECTRICITE'!C33</f>
        <v>kWh / lgt</v>
      </c>
      <c r="H32" s="252" t="str">
        <f>'2_ELECTRICITE'!D33</f>
        <v>kWh / lgt</v>
      </c>
      <c r="I32" s="123" t="s">
        <v>28</v>
      </c>
      <c r="J32" s="277" t="str">
        <f>'2_EAU'!C33</f>
        <v>litres / lgt</v>
      </c>
      <c r="K32" s="261" t="str">
        <f>'2_EAU'!D33</f>
        <v>litres / lgt</v>
      </c>
      <c r="L32" s="123" t="s">
        <v>28</v>
      </c>
      <c r="M32" s="384" t="str">
        <f>'2_EAU'!H33</f>
        <v>kWh / m²</v>
      </c>
      <c r="N32" s="385" t="str">
        <f>'2_EAU'!I33</f>
        <v>kWh / m²</v>
      </c>
      <c r="O32" s="123" t="s">
        <v>28</v>
      </c>
    </row>
    <row r="33" spans="1:15" s="4" customFormat="1" hidden="1" x14ac:dyDescent="0.25">
      <c r="A33" s="53"/>
      <c r="B33" s="126" t="str">
        <f>CONCATENATE("Ratio - ",'0_ENTREE'!B33," - ",$B$5," - ",$B$7)</f>
        <v>Ratio - GC - 274 - T4 - 83m² - 2014 - S23</v>
      </c>
      <c r="C33" s="129">
        <f t="shared" ref="C33:C45" si="0">AVERAGE(I33,L33)</f>
        <v>-0.13709365325077713</v>
      </c>
      <c r="D33" s="237" t="e">
        <f>'2_CHAUFFAGE'!C34</f>
        <v>#DIV/0!</v>
      </c>
      <c r="E33" s="238" t="e">
        <f>'2_CHAUFFAGE'!D34</f>
        <v>#DIV/0!</v>
      </c>
      <c r="F33" s="365" t="e">
        <f t="shared" ref="F33:F45" si="1">(E33-D33)/E33</f>
        <v>#DIV/0!</v>
      </c>
      <c r="G33" s="233">
        <f>'2_ELECTRICITE'!C34</f>
        <v>55</v>
      </c>
      <c r="H33" s="234">
        <f>'2_ELECTRICITE'!D34</f>
        <v>54.399999999999864</v>
      </c>
      <c r="I33" s="124">
        <f t="shared" ref="I33:I45" si="2">(H33-G33)/H33</f>
        <v>-1.1029411764708417E-2</v>
      </c>
      <c r="J33" s="434">
        <f>'2_EAU'!C34</f>
        <v>2400.0000000000055</v>
      </c>
      <c r="K33" s="435">
        <f>'2_EAU'!D34</f>
        <v>1899.9999999999986</v>
      </c>
      <c r="L33" s="124">
        <f t="shared" ref="L33:L45" si="3">(K33-J33)/K33</f>
        <v>-0.26315789473684587</v>
      </c>
      <c r="M33" s="442">
        <f>'2_EAU'!H34</f>
        <v>0.43480589022757732</v>
      </c>
      <c r="N33" s="389">
        <f>'2_EAU'!I34</f>
        <v>0.32610441767068249</v>
      </c>
      <c r="O33" s="124">
        <f t="shared" ref="O33:O45" si="4">(N33-M33)/N33</f>
        <v>-0.33333333333333537</v>
      </c>
    </row>
    <row r="34" spans="1:15" s="4" customFormat="1" hidden="1" x14ac:dyDescent="0.25">
      <c r="A34" s="53"/>
      <c r="B34" s="126" t="str">
        <f>CONCATENATE("Ratio - ",'0_ENTREE'!B34," - ",$B$5," - ",$B$7)</f>
        <v>Ratio - GC - 277 - T2 - 53m² - 2014 - S23</v>
      </c>
      <c r="C34" s="129">
        <f t="shared" si="0"/>
        <v>0.378977272727273</v>
      </c>
      <c r="D34" s="237" t="e">
        <f>'2_CHAUFFAGE'!C35</f>
        <v>#DIV/0!</v>
      </c>
      <c r="E34" s="238" t="e">
        <f>'2_CHAUFFAGE'!D35</f>
        <v>#DIV/0!</v>
      </c>
      <c r="F34" s="365" t="e">
        <f t="shared" si="1"/>
        <v>#DIV/0!</v>
      </c>
      <c r="G34" s="233">
        <f>'2_ELECTRICITE'!C35</f>
        <v>31.5</v>
      </c>
      <c r="H34" s="234">
        <f>'2_ELECTRICITE'!D35</f>
        <v>40</v>
      </c>
      <c r="I34" s="124">
        <f t="shared" si="2"/>
        <v>0.21249999999999999</v>
      </c>
      <c r="J34" s="434">
        <f>'2_EAU'!C35</f>
        <v>500</v>
      </c>
      <c r="K34" s="435">
        <f>'2_EAU'!D35</f>
        <v>1100.0000000000014</v>
      </c>
      <c r="L34" s="124">
        <f t="shared" si="3"/>
        <v>0.54545454545454597</v>
      </c>
      <c r="M34" s="442">
        <f>'2_EAU'!H35</f>
        <v>0.17023060796645642</v>
      </c>
      <c r="N34" s="389">
        <f>'2_EAU'!I35</f>
        <v>0.34046121593291429</v>
      </c>
      <c r="O34" s="124">
        <f t="shared" si="4"/>
        <v>0.50000000000000211</v>
      </c>
    </row>
    <row r="35" spans="1:15" s="4" customFormat="1" hidden="1" x14ac:dyDescent="0.25">
      <c r="A35" s="53"/>
      <c r="B35" s="126" t="str">
        <f>CONCATENATE("Ratio - ",'0_ENTREE'!B35," - ",$B$5," - ",$B$7)</f>
        <v>Ratio - GC - 281 - T3 - 71m² - 2014 - S23</v>
      </c>
      <c r="C35" s="129">
        <f t="shared" si="0"/>
        <v>0.1359510655090771</v>
      </c>
      <c r="D35" s="237" t="e">
        <f>'2_CHAUFFAGE'!C36</f>
        <v>#DIV/0!</v>
      </c>
      <c r="E35" s="238" t="e">
        <f>'2_CHAUFFAGE'!D36</f>
        <v>#DIV/0!</v>
      </c>
      <c r="F35" s="365" t="e">
        <f t="shared" si="1"/>
        <v>#DIV/0!</v>
      </c>
      <c r="G35" s="233">
        <f>'2_ELECTRICITE'!C36</f>
        <v>36.700000000000045</v>
      </c>
      <c r="H35" s="234">
        <f>'2_ELECTRICITE'!D36</f>
        <v>36.200000000000045</v>
      </c>
      <c r="I35" s="124">
        <f t="shared" si="2"/>
        <v>-1.3812154696132579E-2</v>
      </c>
      <c r="J35" s="434">
        <f>'2_EAU'!C36</f>
        <v>2000</v>
      </c>
      <c r="K35" s="435">
        <f>'2_EAU'!D36</f>
        <v>2800.0000000000041</v>
      </c>
      <c r="L35" s="124">
        <f t="shared" si="3"/>
        <v>0.28571428571428675</v>
      </c>
      <c r="M35" s="442">
        <f>'2_EAU'!H36</f>
        <v>0.63536776212832546</v>
      </c>
      <c r="N35" s="389">
        <f>'2_EAU'!I36</f>
        <v>1.0801251956181528</v>
      </c>
      <c r="O35" s="124">
        <f t="shared" si="4"/>
        <v>0.41176470588235264</v>
      </c>
    </row>
    <row r="36" spans="1:15" s="4" customFormat="1" hidden="1" x14ac:dyDescent="0.25">
      <c r="A36" s="53"/>
      <c r="B36" s="126" t="str">
        <f>CONCATENATE("Ratio - ",'0_ENTREE'!B36," - ",$B$5," - ",$B$7)</f>
        <v>Ratio - GC - 283 - T3 - 70m² - 2014 - S23</v>
      </c>
      <c r="C36" s="129">
        <f t="shared" si="0"/>
        <v>-0.11470588235293998</v>
      </c>
      <c r="D36" s="237" t="e">
        <f>'2_CHAUFFAGE'!C37</f>
        <v>#DIV/0!</v>
      </c>
      <c r="E36" s="238" t="e">
        <f>'2_CHAUFFAGE'!D37</f>
        <v>#DIV/0!</v>
      </c>
      <c r="F36" s="365" t="e">
        <f t="shared" si="1"/>
        <v>#DIV/0!</v>
      </c>
      <c r="G36" s="233">
        <f>'2_ELECTRICITE'!C37</f>
        <v>28</v>
      </c>
      <c r="H36" s="234">
        <f>'2_ELECTRICITE'!D37</f>
        <v>27.200000000000045</v>
      </c>
      <c r="I36" s="124">
        <f t="shared" si="2"/>
        <v>-2.9411764705880632E-2</v>
      </c>
      <c r="J36" s="434">
        <f>'2_EAU'!C37</f>
        <v>1199.9999999999993</v>
      </c>
      <c r="K36" s="435">
        <f>'2_EAU'!D37</f>
        <v>1000</v>
      </c>
      <c r="L36" s="124">
        <f t="shared" si="3"/>
        <v>-0.19999999999999932</v>
      </c>
      <c r="M36" s="442">
        <f>'2_EAU'!H37</f>
        <v>0.128888888888889</v>
      </c>
      <c r="N36" s="389">
        <f>'2_EAU'!I37</f>
        <v>0.19333333333333322</v>
      </c>
      <c r="O36" s="124">
        <f t="shared" si="4"/>
        <v>0.33333333333333237</v>
      </c>
    </row>
    <row r="37" spans="1:15" s="4" customFormat="1" hidden="1" x14ac:dyDescent="0.25">
      <c r="A37" s="53"/>
      <c r="B37" s="126" t="str">
        <f>CONCATENATE("Ratio - ",'0_ENTREE'!B37," - ",$B$5," - ",$B$7)</f>
        <v>Ratio - GC - 285 - T3 - 64m² - 2014 - S23</v>
      </c>
      <c r="C37" s="129">
        <f t="shared" si="0"/>
        <v>-8.9743589743591562E-2</v>
      </c>
      <c r="D37" s="237" t="e">
        <f>'2_CHAUFFAGE'!C38</f>
        <v>#DIV/0!</v>
      </c>
      <c r="E37" s="238" t="e">
        <f>'2_CHAUFFAGE'!D38</f>
        <v>#DIV/0!</v>
      </c>
      <c r="F37" s="365" t="e">
        <f t="shared" si="1"/>
        <v>#DIV/0!</v>
      </c>
      <c r="G37" s="233">
        <f>'2_ELECTRICITE'!C38</f>
        <v>37</v>
      </c>
      <c r="H37" s="234">
        <f>'2_ELECTRICITE'!D38</f>
        <v>39</v>
      </c>
      <c r="I37" s="124">
        <f t="shared" si="2"/>
        <v>5.128205128205128E-2</v>
      </c>
      <c r="J37" s="434">
        <f>'2_EAU'!C38</f>
        <v>1600.0000000000014</v>
      </c>
      <c r="K37" s="435">
        <f>'2_EAU'!D38</f>
        <v>1299.9999999999973</v>
      </c>
      <c r="L37" s="124">
        <f t="shared" si="3"/>
        <v>-0.23076923076923439</v>
      </c>
      <c r="M37" s="442">
        <f>'2_EAU'!H38</f>
        <v>-0.35243055555555552</v>
      </c>
      <c r="N37" s="389">
        <f>'2_EAU'!I38</f>
        <v>-0.21145833336615596</v>
      </c>
      <c r="O37" s="124">
        <f t="shared" si="4"/>
        <v>-0.66666666640796601</v>
      </c>
    </row>
    <row r="38" spans="1:15" s="4" customFormat="1" hidden="1" x14ac:dyDescent="0.25">
      <c r="A38" s="53"/>
      <c r="B38" s="126" t="str">
        <f>CONCATENATE("Ratio - ",'0_ENTREE'!B38," - ",$B$5," - ",$B$7)</f>
        <v>Ratio - GC - 286 - T3 - 68m² - 2014 - S23</v>
      </c>
      <c r="C38" s="129">
        <f t="shared" si="0"/>
        <v>2.7107617240434007E-3</v>
      </c>
      <c r="D38" s="237" t="e">
        <f>'2_CHAUFFAGE'!C39</f>
        <v>#DIV/0!</v>
      </c>
      <c r="E38" s="238" t="e">
        <f>'2_CHAUFFAGE'!D39</f>
        <v>#DIV/0!</v>
      </c>
      <c r="F38" s="365" t="e">
        <f t="shared" si="1"/>
        <v>#DIV/0!</v>
      </c>
      <c r="G38" s="233">
        <f>'2_ELECTRICITE'!C39</f>
        <v>20.600000000000023</v>
      </c>
      <c r="H38" s="234">
        <f>'2_ELECTRICITE'!D39</f>
        <v>23.799999999999955</v>
      </c>
      <c r="I38" s="124">
        <f t="shared" si="2"/>
        <v>0.13445378151260243</v>
      </c>
      <c r="J38" s="434">
        <f>'2_EAU'!C39</f>
        <v>3500</v>
      </c>
      <c r="K38" s="435">
        <f>'2_EAU'!D39</f>
        <v>3100.0000000000014</v>
      </c>
      <c r="L38" s="124">
        <f t="shared" si="3"/>
        <v>-0.12903225806451563</v>
      </c>
      <c r="M38" s="442">
        <f>'2_EAU'!H39</f>
        <v>0.92875816993464178</v>
      </c>
      <c r="N38" s="389">
        <f>'2_EAU'!I39</f>
        <v>0.86241830065359526</v>
      </c>
      <c r="O38" s="124">
        <f t="shared" si="4"/>
        <v>-7.692307692307776E-2</v>
      </c>
    </row>
    <row r="39" spans="1:15" s="4" customFormat="1" hidden="1" x14ac:dyDescent="0.25">
      <c r="A39" s="53"/>
      <c r="B39" s="126" t="str">
        <f>CONCATENATE("Ratio - ",'0_ENTREE'!B39," - ",$B$5," - ",$B$7)</f>
        <v>Ratio - GC - 289 - T3 - 76m² - 2014 - S23</v>
      </c>
      <c r="C39" s="129">
        <f t="shared" si="0"/>
        <v>-3.36134453781518E-2</v>
      </c>
      <c r="D39" s="237" t="e">
        <f>'2_CHAUFFAGE'!C40</f>
        <v>#DIV/0!</v>
      </c>
      <c r="E39" s="238" t="e">
        <f>'2_CHAUFFAGE'!D40</f>
        <v>#DIV/0!</v>
      </c>
      <c r="F39" s="365" t="e">
        <f t="shared" si="1"/>
        <v>#DIV/0!</v>
      </c>
      <c r="G39" s="233">
        <f>'2_ELECTRICITE'!C40</f>
        <v>25.399999999999977</v>
      </c>
      <c r="H39" s="234">
        <f>'2_ELECTRICITE'!D40</f>
        <v>23.799999999999955</v>
      </c>
      <c r="I39" s="124">
        <f t="shared" si="2"/>
        <v>-6.7226890756303601E-2</v>
      </c>
      <c r="J39" s="434">
        <f>'2_EAU'!C40</f>
        <v>500</v>
      </c>
      <c r="K39" s="435">
        <f>'2_EAU'!D40</f>
        <v>500</v>
      </c>
      <c r="L39" s="124">
        <f t="shared" si="3"/>
        <v>0</v>
      </c>
      <c r="M39" s="442">
        <f>'2_EAU'!H40</f>
        <v>5.9356725146199142E-2</v>
      </c>
      <c r="N39" s="389">
        <f>'2_EAU'!I40</f>
        <v>0.11871345029239724</v>
      </c>
      <c r="O39" s="124">
        <f t="shared" si="4"/>
        <v>0.49999999999999561</v>
      </c>
    </row>
    <row r="40" spans="1:15" s="4" customFormat="1" hidden="1" x14ac:dyDescent="0.25">
      <c r="A40" s="53"/>
      <c r="B40" s="126" t="str">
        <f>CONCATENATE("Ratio - ",'0_ENTREE'!B40," - ",$B$5," - ",$B$7)</f>
        <v>Ratio - GC - 303 - T4 - 81m² - 2014 - S23</v>
      </c>
      <c r="C40" s="129">
        <f t="shared" si="0"/>
        <v>0.23091397849462331</v>
      </c>
      <c r="D40" s="237" t="e">
        <f>'2_CHAUFFAGE'!C41</f>
        <v>#DIV/0!</v>
      </c>
      <c r="E40" s="238" t="e">
        <f>'2_CHAUFFAGE'!D41</f>
        <v>#DIV/0!</v>
      </c>
      <c r="F40" s="365" t="e">
        <f t="shared" si="1"/>
        <v>#DIV/0!</v>
      </c>
      <c r="G40" s="233">
        <f>'2_ELECTRICITE'!C41</f>
        <v>73.299999999999955</v>
      </c>
      <c r="H40" s="234">
        <f>'2_ELECTRICITE'!D41</f>
        <v>93</v>
      </c>
      <c r="I40" s="124">
        <f t="shared" si="2"/>
        <v>0.21182795698924781</v>
      </c>
      <c r="J40" s="434">
        <f>'2_EAU'!C41</f>
        <v>2100.0000000000014</v>
      </c>
      <c r="K40" s="435">
        <f>'2_EAU'!D41</f>
        <v>2799.9999999999973</v>
      </c>
      <c r="L40" s="124">
        <f t="shared" si="3"/>
        <v>0.24999999999999878</v>
      </c>
      <c r="M40" s="442">
        <f>'2_EAU'!H41</f>
        <v>0.22277091906721555</v>
      </c>
      <c r="N40" s="389">
        <f>'2_EAU'!I41</f>
        <v>0.33415637860082281</v>
      </c>
      <c r="O40" s="124">
        <f t="shared" si="4"/>
        <v>0.33333333333333232</v>
      </c>
    </row>
    <row r="41" spans="1:15" s="4" customFormat="1" hidden="1" x14ac:dyDescent="0.25">
      <c r="A41" s="53"/>
      <c r="B41" s="126" t="str">
        <f>CONCATENATE("Ratio - ",'0_ENTREE'!B41," - ",$B$5," - ",$B$7)</f>
        <v>Ratio - GC - 304 - T3 - 66m² - 2014 - S23</v>
      </c>
      <c r="C41" s="129">
        <f t="shared" si="0"/>
        <v>-2.2749631087060743E-2</v>
      </c>
      <c r="D41" s="237" t="e">
        <f>'2_CHAUFFAGE'!C42</f>
        <v>#DIV/0!</v>
      </c>
      <c r="E41" s="238" t="e">
        <f>'2_CHAUFFAGE'!D42</f>
        <v>#DIV/0!</v>
      </c>
      <c r="F41" s="365" t="e">
        <f t="shared" si="1"/>
        <v>#DIV/0!</v>
      </c>
      <c r="G41" s="233">
        <f>'2_ELECTRICITE'!C42</f>
        <v>23.5</v>
      </c>
      <c r="H41" s="234">
        <f>'2_ELECTRICITE'!D42</f>
        <v>21.400000000000091</v>
      </c>
      <c r="I41" s="124">
        <f t="shared" si="2"/>
        <v>-9.8130841121490661E-2</v>
      </c>
      <c r="J41" s="434">
        <f>'2_EAU'!C42</f>
        <v>1799.9999999999973</v>
      </c>
      <c r="K41" s="435">
        <f>'2_EAU'!D42</f>
        <v>1899.9999999999986</v>
      </c>
      <c r="L41" s="124">
        <f t="shared" si="3"/>
        <v>5.2631578947369174E-2</v>
      </c>
      <c r="M41" s="442">
        <f>'2_EAU'!H42</f>
        <v>0.47845117845118035</v>
      </c>
      <c r="N41" s="389">
        <f>'2_EAU'!I42</f>
        <v>0.61515151515151412</v>
      </c>
      <c r="O41" s="124">
        <f t="shared" si="4"/>
        <v>0.22222222222221782</v>
      </c>
    </row>
    <row r="42" spans="1:15" s="4" customFormat="1" hidden="1" x14ac:dyDescent="0.25">
      <c r="A42" s="53"/>
      <c r="B42" s="126" t="str">
        <f>CONCATENATE("Ratio - ",'0_ENTREE'!B42," - ",$B$5," - ",$B$7)</f>
        <v>Ratio - GC - 306 - T3 - 66m² - 2014 - S23</v>
      </c>
      <c r="C42" s="129">
        <f t="shared" si="0"/>
        <v>-0.24522144522144609</v>
      </c>
      <c r="D42" s="237" t="e">
        <f>'2_CHAUFFAGE'!C43</f>
        <v>#DIV/0!</v>
      </c>
      <c r="E42" s="238" t="e">
        <f>'2_CHAUFFAGE'!D43</f>
        <v>#DIV/0!</v>
      </c>
      <c r="F42" s="365" t="e">
        <f t="shared" si="1"/>
        <v>#DIV/0!</v>
      </c>
      <c r="G42" s="233">
        <f>'2_ELECTRICITE'!C43</f>
        <v>20.200000000000045</v>
      </c>
      <c r="H42" s="234">
        <f>'2_ELECTRICITE'!D43</f>
        <v>19.5</v>
      </c>
      <c r="I42" s="124">
        <f t="shared" si="2"/>
        <v>-3.5897435897438226E-2</v>
      </c>
      <c r="J42" s="434">
        <f>'2_EAU'!C43</f>
        <v>1600.0000000000014</v>
      </c>
      <c r="K42" s="435">
        <f>'2_EAU'!D43</f>
        <v>1100.0000000000014</v>
      </c>
      <c r="L42" s="124">
        <f t="shared" si="3"/>
        <v>-0.45454545454545398</v>
      </c>
      <c r="M42" s="442">
        <f>'2_EAU'!H43</f>
        <v>0.20505050505050551</v>
      </c>
      <c r="N42" s="389">
        <f>'2_EAU'!I43</f>
        <v>0.27340067340067359</v>
      </c>
      <c r="O42" s="124">
        <f t="shared" si="4"/>
        <v>0.24999999999999883</v>
      </c>
    </row>
    <row r="43" spans="1:15" s="4" customFormat="1" hidden="1" x14ac:dyDescent="0.25">
      <c r="A43" s="53"/>
      <c r="B43" s="126" t="str">
        <f>CONCATENATE("Ratio - ",'0_ENTREE'!B43," - ",$B$5," - ",$B$7)</f>
        <v>Ratio - GC - 307 - T3 - 66m² - 2014 - S23</v>
      </c>
      <c r="C43" s="129">
        <f t="shared" si="0"/>
        <v>4.8273711661656823E-2</v>
      </c>
      <c r="D43" s="237" t="e">
        <f>'2_CHAUFFAGE'!C44</f>
        <v>#DIV/0!</v>
      </c>
      <c r="E43" s="238" t="e">
        <f>'2_CHAUFFAGE'!D44</f>
        <v>#DIV/0!</v>
      </c>
      <c r="F43" s="365" t="e">
        <f t="shared" si="1"/>
        <v>#DIV/0!</v>
      </c>
      <c r="G43" s="233">
        <f>'2_ELECTRICITE'!C44</f>
        <v>45.900000000000091</v>
      </c>
      <c r="H43" s="234">
        <f>'2_ELECTRICITE'!D44</f>
        <v>56.900000000000091</v>
      </c>
      <c r="I43" s="124">
        <f t="shared" si="2"/>
        <v>0.19332161687170443</v>
      </c>
      <c r="J43" s="434">
        <f>'2_EAU'!C44</f>
        <v>3400.0000000000055</v>
      </c>
      <c r="K43" s="435">
        <f>'2_EAU'!D44</f>
        <v>3099.9999999999945</v>
      </c>
      <c r="L43" s="124">
        <f t="shared" si="3"/>
        <v>-9.6774193548390786E-2</v>
      </c>
      <c r="M43" s="442">
        <f>'2_EAU'!H44</f>
        <v>0</v>
      </c>
      <c r="N43" s="389">
        <f>'2_EAU'!I44</f>
        <v>0</v>
      </c>
      <c r="O43" s="124" t="e">
        <f t="shared" si="4"/>
        <v>#DIV/0!</v>
      </c>
    </row>
    <row r="44" spans="1:15" s="4" customFormat="1" hidden="1" x14ac:dyDescent="0.25">
      <c r="A44" s="53"/>
      <c r="B44" s="126" t="str">
        <f>CONCATENATE("Ratio - ",'0_ENTREE'!B44," - ",$B$5," - ",$B$7)</f>
        <v>Ratio - GC - 308 - T3 - 66m² - 2014 - S23</v>
      </c>
      <c r="C44" s="129">
        <f t="shared" si="0"/>
        <v>0.279991146525017</v>
      </c>
      <c r="D44" s="237" t="e">
        <f>'2_CHAUFFAGE'!C45</f>
        <v>#DIV/0!</v>
      </c>
      <c r="E44" s="238" t="e">
        <f>'2_CHAUFFAGE'!D45</f>
        <v>#DIV/0!</v>
      </c>
      <c r="F44" s="365" t="e">
        <f t="shared" si="1"/>
        <v>#DIV/0!</v>
      </c>
      <c r="G44" s="233">
        <f>'2_ELECTRICITE'!C45</f>
        <v>22.199999999999818</v>
      </c>
      <c r="H44" s="234">
        <f>'2_ELECTRICITE'!D45</f>
        <v>25.100000000000136</v>
      </c>
      <c r="I44" s="124">
        <f t="shared" si="2"/>
        <v>0.11553784860558974</v>
      </c>
      <c r="J44" s="434">
        <f>'2_EAU'!C45</f>
        <v>1500</v>
      </c>
      <c r="K44" s="435">
        <f>'2_EAU'!D45</f>
        <v>2699.9999999999991</v>
      </c>
      <c r="L44" s="124">
        <f t="shared" si="3"/>
        <v>0.44444444444444425</v>
      </c>
      <c r="M44" s="442">
        <f>'2_EAU'!H45</f>
        <v>0.34175084175084169</v>
      </c>
      <c r="N44" s="389">
        <f>'2_EAU'!I45</f>
        <v>0.68350168350168339</v>
      </c>
      <c r="O44" s="124">
        <f t="shared" si="4"/>
        <v>0.5</v>
      </c>
    </row>
    <row r="45" spans="1:15" s="4" customFormat="1" hidden="1" x14ac:dyDescent="0.25">
      <c r="A45" s="53"/>
      <c r="B45" s="126" t="str">
        <f>CONCATENATE("Ratio - ",'0_ENTREE'!B45," - ",$B$5," - ",$B$7)</f>
        <v>Ratio - GC - 314 - T4 - 75m² - 2014 - S23</v>
      </c>
      <c r="C45" s="129">
        <f t="shared" si="0"/>
        <v>8.0529967598008262E-2</v>
      </c>
      <c r="D45" s="237" t="e">
        <f>'2_CHAUFFAGE'!C46</f>
        <v>#DIV/0!</v>
      </c>
      <c r="E45" s="238" t="e">
        <f>'2_CHAUFFAGE'!D46</f>
        <v>#DIV/0!</v>
      </c>
      <c r="F45" s="365" t="e">
        <f t="shared" si="1"/>
        <v>#DIV/0!</v>
      </c>
      <c r="G45" s="233">
        <f>'2_ELECTRICITE'!C46</f>
        <v>113.20000000000027</v>
      </c>
      <c r="H45" s="234">
        <f>'2_ELECTRICITE'!D46</f>
        <v>120.29999999999973</v>
      </c>
      <c r="I45" s="124">
        <f t="shared" si="2"/>
        <v>5.9019118869488532E-2</v>
      </c>
      <c r="J45" s="434">
        <f>'2_EAU'!C46</f>
        <v>4400.0000000000055</v>
      </c>
      <c r="K45" s="435">
        <f>'2_EAU'!D46</f>
        <v>4899.9999999999918</v>
      </c>
      <c r="L45" s="124">
        <f t="shared" si="3"/>
        <v>0.10204081632652799</v>
      </c>
      <c r="M45" s="443">
        <f>'2_EAU'!H46</f>
        <v>1.3232592592592609</v>
      </c>
      <c r="N45" s="387">
        <f>'2_EAU'!I46</f>
        <v>1.5638518518518527</v>
      </c>
      <c r="O45" s="124">
        <f t="shared" si="4"/>
        <v>0.15384615384615324</v>
      </c>
    </row>
    <row r="46" spans="1:15" s="288" customFormat="1" ht="13.5" hidden="1" thickBot="1" x14ac:dyDescent="0.3">
      <c r="B46" s="130" t="str">
        <f>CONCATENATE("Ratio - ",'0_ENTREE'!B46," - ",$B$5," - ",$B$7)</f>
        <v>Ratio - MOYENNE GC - 2014 - S23</v>
      </c>
      <c r="C46" s="286">
        <f>AVERAGE(C33:C45)</f>
        <v>3.9555404400440884E-2</v>
      </c>
      <c r="D46" s="239" t="e">
        <f>AVERAGE(D33:D45)</f>
        <v>#DIV/0!</v>
      </c>
      <c r="E46" s="240" t="e">
        <f t="shared" ref="E46:L46" si="5">AVERAGE(E33:E45)</f>
        <v>#DIV/0!</v>
      </c>
      <c r="F46" s="366" t="e">
        <f t="shared" si="5"/>
        <v>#DIV/0!</v>
      </c>
      <c r="G46" s="245">
        <f t="shared" si="5"/>
        <v>40.961538461538481</v>
      </c>
      <c r="H46" s="246">
        <f t="shared" si="5"/>
        <v>44.661538461538456</v>
      </c>
      <c r="I46" s="287">
        <f t="shared" si="5"/>
        <v>5.5571836552979245E-2</v>
      </c>
      <c r="J46" s="436">
        <f t="shared" si="5"/>
        <v>2038.4615384615395</v>
      </c>
      <c r="K46" s="437">
        <f t="shared" si="5"/>
        <v>2169.2307692307681</v>
      </c>
      <c r="L46" s="287">
        <f t="shared" si="5"/>
        <v>2.3538972247902541E-2</v>
      </c>
      <c r="M46" s="386">
        <f>'2_EAU'!H47</f>
        <v>0.35202001479350287</v>
      </c>
      <c r="N46" s="386">
        <f>'2_EAU'!I47</f>
        <v>0.47536612943395889</v>
      </c>
      <c r="O46" s="287" t="e">
        <f t="shared" ref="O46" si="6">AVERAGE(O33:O45)</f>
        <v>#DIV/0!</v>
      </c>
    </row>
    <row r="47" spans="1:15" hidden="1" x14ac:dyDescent="0.25">
      <c r="B47" s="126" t="str">
        <f>CONCATENATE("Ratio - ",'0_ENTREE'!B47," - ",$B$5," - ",$B$7)</f>
        <v>Ratio - GE2.1 - 275 - T3 - 74m² - 2014 - S23</v>
      </c>
      <c r="C47" s="129">
        <f t="shared" ref="C47:C59" si="7">AVERAGE(I47,L47)</f>
        <v>0.10876104530926833</v>
      </c>
      <c r="D47" s="237" t="e">
        <f>'2_CHAUFFAGE'!C48</f>
        <v>#DIV/0!</v>
      </c>
      <c r="E47" s="238" t="e">
        <f>'2_CHAUFFAGE'!D48</f>
        <v>#DIV/0!</v>
      </c>
      <c r="F47" s="365" t="e">
        <f t="shared" ref="F47:F59" si="8">(E47-D47)/E47</f>
        <v>#DIV/0!</v>
      </c>
      <c r="G47" s="233">
        <f>'2_ELECTRICITE'!C48</f>
        <v>55</v>
      </c>
      <c r="H47" s="234">
        <f>'2_ELECTRICITE'!D48</f>
        <v>59.100000000000136</v>
      </c>
      <c r="I47" s="124">
        <f t="shared" ref="I47:I59" si="9">(H47-G47)/H47</f>
        <v>6.9373942470391317E-2</v>
      </c>
      <c r="J47" s="434">
        <f>'2_EAU'!C48</f>
        <v>2300.0000000000041</v>
      </c>
      <c r="K47" s="435">
        <f>'2_EAU'!D48</f>
        <v>2699.9999999999959</v>
      </c>
      <c r="L47" s="124">
        <f t="shared" ref="L47:L59" si="10">(K47-J47)/K47</f>
        <v>0.14814814814814534</v>
      </c>
      <c r="M47" s="442">
        <f>'2_EAU'!H48</f>
        <v>0.60960960960960953</v>
      </c>
      <c r="N47" s="389">
        <f>'2_EAU'!I48</f>
        <v>0.91441441441441429</v>
      </c>
      <c r="O47" s="124">
        <f t="shared" ref="O47:O59" si="11">(N47-M47)/N47</f>
        <v>0.33333333333333331</v>
      </c>
    </row>
    <row r="48" spans="1:15" hidden="1" x14ac:dyDescent="0.25">
      <c r="B48" s="126" t="str">
        <f>CONCATENATE("Ratio - ",'0_ENTREE'!B48," - ",$B$5," - ",$B$7)</f>
        <v>Ratio - GE2.1 - 278 - T2 - 57m² - 2014 - S23</v>
      </c>
      <c r="C48" s="129">
        <f t="shared" si="7"/>
        <v>-5.1282051282052571E-2</v>
      </c>
      <c r="D48" s="237" t="e">
        <f>'2_CHAUFFAGE'!C49</f>
        <v>#DIV/0!</v>
      </c>
      <c r="E48" s="238" t="e">
        <f>'2_CHAUFFAGE'!D49</f>
        <v>#DIV/0!</v>
      </c>
      <c r="F48" s="365" t="e">
        <f t="shared" si="8"/>
        <v>#DIV/0!</v>
      </c>
      <c r="G48" s="233">
        <f>'2_ELECTRICITE'!C49</f>
        <v>3</v>
      </c>
      <c r="H48" s="234">
        <f>'2_ELECTRICITE'!D49</f>
        <v>3.8999999999999773</v>
      </c>
      <c r="I48" s="124">
        <f t="shared" si="9"/>
        <v>0.23076923076922629</v>
      </c>
      <c r="J48" s="434">
        <f>'2_EAU'!C49</f>
        <v>400.00000000000034</v>
      </c>
      <c r="K48" s="435">
        <f>'2_EAU'!D49</f>
        <v>300.00000000000068</v>
      </c>
      <c r="L48" s="124">
        <f t="shared" si="10"/>
        <v>-0.33333333333333143</v>
      </c>
      <c r="M48" s="442">
        <f>'2_EAU'!H49</f>
        <v>7.9142300194931833E-2</v>
      </c>
      <c r="N48" s="389">
        <f>'2_EAU'!I49</f>
        <v>7.9142300194931833E-2</v>
      </c>
      <c r="O48" s="124">
        <f t="shared" si="11"/>
        <v>0</v>
      </c>
    </row>
    <row r="49" spans="2:15" hidden="1" x14ac:dyDescent="0.25">
      <c r="B49" s="126" t="str">
        <f>CONCATENATE("Ratio - ",'0_ENTREE'!B49," - ",$B$5," - ",$B$7)</f>
        <v>Ratio - GE2.1 - 280 - T3 - 66m² - 2014 - S23</v>
      </c>
      <c r="C49" s="129" t="e">
        <f t="shared" si="7"/>
        <v>#DIV/0!</v>
      </c>
      <c r="D49" s="237" t="e">
        <f>'2_CHAUFFAGE'!C50</f>
        <v>#DIV/0!</v>
      </c>
      <c r="E49" s="238" t="e">
        <f>'2_CHAUFFAGE'!D50</f>
        <v>#DIV/0!</v>
      </c>
      <c r="F49" s="365" t="e">
        <f t="shared" si="8"/>
        <v>#DIV/0!</v>
      </c>
      <c r="G49" s="233">
        <f>'2_ELECTRICITE'!C50</f>
        <v>0.39999999999999991</v>
      </c>
      <c r="H49" s="234">
        <f>'2_ELECTRICITE'!D50</f>
        <v>0.10000000000000009</v>
      </c>
      <c r="I49" s="124">
        <f t="shared" si="9"/>
        <v>-2.9999999999999956</v>
      </c>
      <c r="J49" s="434">
        <f>'2_EAU'!C50</f>
        <v>300.00000000000006</v>
      </c>
      <c r="K49" s="435">
        <f>'2_EAU'!D50</f>
        <v>0</v>
      </c>
      <c r="L49" s="124" t="e">
        <f t="shared" si="10"/>
        <v>#DIV/0!</v>
      </c>
      <c r="M49" s="442">
        <f>'2_EAU'!H50</f>
        <v>6.8350168350168369E-2</v>
      </c>
      <c r="N49" s="389">
        <f>'2_EAU'!I50</f>
        <v>0</v>
      </c>
      <c r="O49" s="124" t="e">
        <f t="shared" si="11"/>
        <v>#DIV/0!</v>
      </c>
    </row>
    <row r="50" spans="2:15" hidden="1" x14ac:dyDescent="0.25">
      <c r="B50" s="126" t="str">
        <f>CONCATENATE("Ratio - ",'0_ENTREE'!B50," - ",$B$5," - ",$B$7)</f>
        <v>Ratio - GE2.1 - 282 - T4 - 78m² - 2014 - S23</v>
      </c>
      <c r="C50" s="129">
        <f t="shared" si="7"/>
        <v>-0.14897039897039835</v>
      </c>
      <c r="D50" s="237" t="e">
        <f>'2_CHAUFFAGE'!C51</f>
        <v>#DIV/0!</v>
      </c>
      <c r="E50" s="238" t="e">
        <f>'2_CHAUFFAGE'!D51</f>
        <v>#DIV/0!</v>
      </c>
      <c r="F50" s="365" t="e">
        <f t="shared" si="8"/>
        <v>#DIV/0!</v>
      </c>
      <c r="G50" s="233">
        <f>'2_ELECTRICITE'!C51</f>
        <v>29.299999999999955</v>
      </c>
      <c r="H50" s="234">
        <f>'2_ELECTRICITE'!D51</f>
        <v>25.899999999999977</v>
      </c>
      <c r="I50" s="124">
        <f t="shared" si="9"/>
        <v>-0.13127413127413051</v>
      </c>
      <c r="J50" s="434">
        <f>'2_EAU'!C51</f>
        <v>699.99999999999932</v>
      </c>
      <c r="K50" s="435">
        <f>'2_EAU'!D51</f>
        <v>599.99999999999966</v>
      </c>
      <c r="L50" s="124">
        <f t="shared" si="10"/>
        <v>-0.16666666666666619</v>
      </c>
      <c r="M50" s="442">
        <f>'2_EAU'!H51</f>
        <v>0.17350427350427339</v>
      </c>
      <c r="N50" s="389">
        <f>'2_EAU'!I51</f>
        <v>0.17350427350427389</v>
      </c>
      <c r="O50" s="124">
        <f t="shared" si="11"/>
        <v>2.8794700614046483E-15</v>
      </c>
    </row>
    <row r="51" spans="2:15" s="157" customFormat="1" hidden="1" x14ac:dyDescent="0.25">
      <c r="B51" s="158" t="str">
        <f>CONCATENATE("Ratio - ",'0_ENTREE'!B51," - ",$B$5," - ",$B$7)</f>
        <v>Ratio - GE2.1 - 292 - T3 - 63m² - 2014 - S23</v>
      </c>
      <c r="C51" s="159">
        <f t="shared" si="7"/>
        <v>-7.4561403508773813E-2</v>
      </c>
      <c r="D51" s="241" t="e">
        <f>'2_CHAUFFAGE'!C52</f>
        <v>#DIV/0!</v>
      </c>
      <c r="E51" s="242" t="e">
        <f>'2_CHAUFFAGE'!D52</f>
        <v>#DIV/0!</v>
      </c>
      <c r="F51" s="367" t="e">
        <f t="shared" si="8"/>
        <v>#DIV/0!</v>
      </c>
      <c r="G51" s="231">
        <f>'2_ELECTRICITE'!C52</f>
        <v>35.5</v>
      </c>
      <c r="H51" s="232">
        <f>'2_ELECTRICITE'!D52</f>
        <v>34.199999999999932</v>
      </c>
      <c r="I51" s="160">
        <f t="shared" si="9"/>
        <v>-3.8011695906434821E-2</v>
      </c>
      <c r="J51" s="438">
        <f>'2_EAU'!C52</f>
        <v>1000</v>
      </c>
      <c r="K51" s="439">
        <f>'2_EAU'!D52</f>
        <v>899.99999999999864</v>
      </c>
      <c r="L51" s="160">
        <f t="shared" si="10"/>
        <v>-0.1111111111111128</v>
      </c>
      <c r="M51" s="442">
        <f>'2_EAU'!H52</f>
        <v>0.28641975308641998</v>
      </c>
      <c r="N51" s="389">
        <f>'2_EAU'!I52</f>
        <v>0.28641975308641998</v>
      </c>
      <c r="O51" s="160">
        <f t="shared" si="11"/>
        <v>0</v>
      </c>
    </row>
    <row r="52" spans="2:15" s="157" customFormat="1" hidden="1" x14ac:dyDescent="0.25">
      <c r="B52" s="158" t="str">
        <f>CONCATENATE("Ratio - ",'0_ENTREE'!B52," - ",$B$5," - ",$B$7)</f>
        <v>Ratio - GE2.1 - 293 - T3 - 63m² - 2014 - S23</v>
      </c>
      <c r="C52" s="159">
        <f t="shared" si="7"/>
        <v>0.18546008183461871</v>
      </c>
      <c r="D52" s="241" t="e">
        <f>'2_CHAUFFAGE'!C53</f>
        <v>#DIV/0!</v>
      </c>
      <c r="E52" s="242" t="e">
        <f>'2_CHAUFFAGE'!D53</f>
        <v>#DIV/0!</v>
      </c>
      <c r="F52" s="367" t="e">
        <f t="shared" si="8"/>
        <v>#DIV/0!</v>
      </c>
      <c r="G52" s="231">
        <f>'2_ELECTRICITE'!C53</f>
        <v>25.699999999999989</v>
      </c>
      <c r="H52" s="232">
        <f>'2_ELECTRICITE'!D53</f>
        <v>33.899999999999977</v>
      </c>
      <c r="I52" s="160">
        <f t="shared" si="9"/>
        <v>0.24188790560471959</v>
      </c>
      <c r="J52" s="438">
        <f>'2_EAU'!C53</f>
        <v>2699.9999999999959</v>
      </c>
      <c r="K52" s="439">
        <f>'2_EAU'!D53</f>
        <v>3100.0000000000014</v>
      </c>
      <c r="L52" s="160">
        <f t="shared" si="10"/>
        <v>0.12903225806451785</v>
      </c>
      <c r="M52" s="442">
        <f>'2_EAU'!H53</f>
        <v>0.57283950617283996</v>
      </c>
      <c r="N52" s="389">
        <f>'2_EAU'!I53</f>
        <v>0.93086419753086469</v>
      </c>
      <c r="O52" s="160">
        <f t="shared" si="11"/>
        <v>0.38461538461538447</v>
      </c>
    </row>
    <row r="53" spans="2:15" s="157" customFormat="1" hidden="1" x14ac:dyDescent="0.25">
      <c r="B53" s="158" t="str">
        <f>CONCATENATE("Ratio - ",'0_ENTREE'!B53," - ",$B$5," - ",$B$7)</f>
        <v>Ratio - GE2.1 - 295 - T3 - 63m² - 2014 - S23</v>
      </c>
      <c r="C53" s="159">
        <f t="shared" si="7"/>
        <v>-4.6954662573324063E-2</v>
      </c>
      <c r="D53" s="241" t="e">
        <f>'2_CHAUFFAGE'!C54</f>
        <v>#DIV/0!</v>
      </c>
      <c r="E53" s="242" t="e">
        <f>'2_CHAUFFAGE'!D54</f>
        <v>#DIV/0!</v>
      </c>
      <c r="F53" s="367" t="e">
        <f t="shared" si="8"/>
        <v>#DIV/0!</v>
      </c>
      <c r="G53" s="231">
        <f>'2_ELECTRICITE'!C54</f>
        <v>48.599999999999909</v>
      </c>
      <c r="H53" s="232">
        <f>'2_ELECTRICITE'!D54</f>
        <v>49.299999999999955</v>
      </c>
      <c r="I53" s="160">
        <f t="shared" si="9"/>
        <v>1.4198782961461381E-2</v>
      </c>
      <c r="J53" s="438">
        <f>'2_EAU'!C54</f>
        <v>4100.0000000000082</v>
      </c>
      <c r="K53" s="439">
        <f>'2_EAU'!D54</f>
        <v>3700.0000000000027</v>
      </c>
      <c r="L53" s="160">
        <f t="shared" si="10"/>
        <v>-0.1081081081081095</v>
      </c>
      <c r="M53" s="442">
        <f>'2_EAU'!H54</f>
        <v>1.1456790123456799</v>
      </c>
      <c r="N53" s="389">
        <f>'2_EAU'!I54</f>
        <v>1.145679012345675</v>
      </c>
      <c r="O53" s="160">
        <f t="shared" si="11"/>
        <v>-4.2638306678492153E-15</v>
      </c>
    </row>
    <row r="54" spans="2:15" s="157" customFormat="1" hidden="1" x14ac:dyDescent="0.25">
      <c r="B54" s="158" t="str">
        <f>CONCATENATE("Ratio - ",'0_ENTREE'!B54," - ",$B$5," - ",$B$7)</f>
        <v>Ratio - GE2.1 - 296 - T4 - 78m² - 2014 - S23</v>
      </c>
      <c r="C54" s="159">
        <f t="shared" si="7"/>
        <v>0.1379957127545533</v>
      </c>
      <c r="D54" s="241" t="e">
        <f>'2_CHAUFFAGE'!C55</f>
        <v>#DIV/0!</v>
      </c>
      <c r="E54" s="242" t="e">
        <f>'2_CHAUFFAGE'!D55</f>
        <v>#DIV/0!</v>
      </c>
      <c r="F54" s="367" t="e">
        <f t="shared" si="8"/>
        <v>#DIV/0!</v>
      </c>
      <c r="G54" s="231">
        <f>'2_ELECTRICITE'!C55</f>
        <v>27.700000000000045</v>
      </c>
      <c r="H54" s="232">
        <f>'2_ELECTRICITE'!D55</f>
        <v>31.100000000000023</v>
      </c>
      <c r="I54" s="160">
        <f t="shared" si="9"/>
        <v>0.10932475884244292</v>
      </c>
      <c r="J54" s="438">
        <f>'2_EAU'!C55</f>
        <v>1000</v>
      </c>
      <c r="K54" s="439">
        <f>'2_EAU'!D55</f>
        <v>1199.9999999999957</v>
      </c>
      <c r="L54" s="160">
        <f t="shared" si="10"/>
        <v>0.16666666666666366</v>
      </c>
      <c r="M54" s="442">
        <f>'2_EAU'!H55</f>
        <v>0.28917378917378916</v>
      </c>
      <c r="N54" s="389">
        <f>'2_EAU'!I55</f>
        <v>0.34700854700854677</v>
      </c>
      <c r="O54" s="160">
        <f t="shared" si="11"/>
        <v>0.16666666666666613</v>
      </c>
    </row>
    <row r="55" spans="2:15" s="157" customFormat="1" hidden="1" x14ac:dyDescent="0.25">
      <c r="B55" s="158" t="str">
        <f>CONCATENATE("Ratio - ",'0_ENTREE'!B55," - ",$B$5," - ",$B$7)</f>
        <v>Ratio - GE2.1 - 297 - T4 - 79m² - 2014 - S23</v>
      </c>
      <c r="C55" s="159">
        <f t="shared" si="7"/>
        <v>4.916666666666835E-2</v>
      </c>
      <c r="D55" s="241" t="e">
        <f>'2_CHAUFFAGE'!C56</f>
        <v>#DIV/0!</v>
      </c>
      <c r="E55" s="242" t="e">
        <f>'2_CHAUFFAGE'!D56</f>
        <v>#DIV/0!</v>
      </c>
      <c r="F55" s="367" t="e">
        <f t="shared" si="8"/>
        <v>#DIV/0!</v>
      </c>
      <c r="G55" s="231">
        <f>'2_ELECTRICITE'!C56</f>
        <v>58.899999999999864</v>
      </c>
      <c r="H55" s="232">
        <f>'2_ELECTRICITE'!D56</f>
        <v>60</v>
      </c>
      <c r="I55" s="160">
        <f t="shared" si="9"/>
        <v>1.8333333333335606E-2</v>
      </c>
      <c r="J55" s="438">
        <f>'2_EAU'!C56</f>
        <v>4599.9999999999945</v>
      </c>
      <c r="K55" s="439">
        <f>'2_EAU'!D56</f>
        <v>5000</v>
      </c>
      <c r="L55" s="160">
        <f t="shared" si="10"/>
        <v>8.0000000000001098E-2</v>
      </c>
      <c r="M55" s="442">
        <f>'2_EAU'!H56</f>
        <v>0.91364275668073203</v>
      </c>
      <c r="N55" s="389">
        <f>'2_EAU'!I56</f>
        <v>1.256258790436003</v>
      </c>
      <c r="O55" s="160">
        <f t="shared" si="11"/>
        <v>0.27272727272727065</v>
      </c>
    </row>
    <row r="56" spans="2:15" s="157" customFormat="1" hidden="1" x14ac:dyDescent="0.25">
      <c r="B56" s="158" t="str">
        <f>CONCATENATE("Ratio - ",'0_ENTREE'!B56," - ",$B$5," - ",$B$7)</f>
        <v>Ratio - GE2.1 - 299 - T4 - 79m² - 2014 - S23</v>
      </c>
      <c r="C56" s="159" t="e">
        <f t="shared" si="7"/>
        <v>#DIV/0!</v>
      </c>
      <c r="D56" s="241" t="e">
        <f>'2_CHAUFFAGE'!C57</f>
        <v>#DIV/0!</v>
      </c>
      <c r="E56" s="242" t="e">
        <f>'2_CHAUFFAGE'!D57</f>
        <v>#DIV/0!</v>
      </c>
      <c r="F56" s="367" t="e">
        <f t="shared" si="8"/>
        <v>#DIV/0!</v>
      </c>
      <c r="G56" s="231">
        <f>'2_ELECTRICITE'!C57</f>
        <v>22.299999999999955</v>
      </c>
      <c r="H56" s="232">
        <f>'2_ELECTRICITE'!D57</f>
        <v>5.2000000000000455</v>
      </c>
      <c r="I56" s="160">
        <f t="shared" si="9"/>
        <v>-3.2884615384614921</v>
      </c>
      <c r="J56" s="438">
        <f>'2_EAU'!C57</f>
        <v>800.00000000000068</v>
      </c>
      <c r="K56" s="439">
        <f>'2_EAU'!D57</f>
        <v>0</v>
      </c>
      <c r="L56" s="160" t="e">
        <f t="shared" si="10"/>
        <v>#DIV/0!</v>
      </c>
      <c r="M56" s="442">
        <f>'2_EAU'!H57</f>
        <v>0.11420534458509203</v>
      </c>
      <c r="N56" s="389">
        <f>'2_EAU'!I57</f>
        <v>0</v>
      </c>
      <c r="O56" s="160" t="e">
        <f t="shared" si="11"/>
        <v>#DIV/0!</v>
      </c>
    </row>
    <row r="57" spans="2:15" s="157" customFormat="1" hidden="1" x14ac:dyDescent="0.25">
      <c r="B57" s="158" t="str">
        <f>CONCATENATE("Ratio - ",'0_ENTREE'!B57," - ",$B$5," - ",$B$7)</f>
        <v>Ratio - GE2.1 - 300 - T5 - 93m² - 2014 - S23</v>
      </c>
      <c r="C57" s="159">
        <f t="shared" si="7"/>
        <v>5.8204467353950268E-2</v>
      </c>
      <c r="D57" s="241" t="e">
        <f>'2_CHAUFFAGE'!C58</f>
        <v>#DIV/0!</v>
      </c>
      <c r="E57" s="242" t="e">
        <f>'2_CHAUFFAGE'!D58</f>
        <v>#DIV/0!</v>
      </c>
      <c r="F57" s="367" t="e">
        <f t="shared" si="8"/>
        <v>#DIV/0!</v>
      </c>
      <c r="G57" s="231">
        <f>'2_ELECTRICITE'!C58</f>
        <v>49</v>
      </c>
      <c r="H57" s="232">
        <f>'2_ELECTRICITE'!D58</f>
        <v>58.199999999999818</v>
      </c>
      <c r="I57" s="160">
        <f t="shared" si="9"/>
        <v>0.1580756013745678</v>
      </c>
      <c r="J57" s="438">
        <f>'2_EAU'!C58</f>
        <v>2500</v>
      </c>
      <c r="K57" s="439">
        <f>'2_EAU'!D58</f>
        <v>2399.9999999999986</v>
      </c>
      <c r="L57" s="160">
        <f t="shared" si="10"/>
        <v>-4.1666666666667261E-2</v>
      </c>
      <c r="M57" s="442">
        <f>'2_EAU'!H58</f>
        <v>0.48506571087216244</v>
      </c>
      <c r="N57" s="389">
        <f>'2_EAU'!I58</f>
        <v>0.53357228195937945</v>
      </c>
      <c r="O57" s="160">
        <f t="shared" si="11"/>
        <v>9.0909090909092216E-2</v>
      </c>
    </row>
    <row r="58" spans="2:15" s="157" customFormat="1" hidden="1" x14ac:dyDescent="0.25">
      <c r="B58" s="158" t="str">
        <f>CONCATENATE("Ratio - ",'0_ENTREE'!B58," - ",$B$5," - ",$B$7)</f>
        <v>Ratio - GE2.1 - 302 - T5 - 93m² - 2014 - S23</v>
      </c>
      <c r="C58" s="159">
        <f t="shared" si="7"/>
        <v>-8.3369283865401989E-2</v>
      </c>
      <c r="D58" s="241" t="e">
        <f>'2_CHAUFFAGE'!C59</f>
        <v>#DIV/0!</v>
      </c>
      <c r="E58" s="242" t="e">
        <f>'2_CHAUFFAGE'!D59</f>
        <v>#DIV/0!</v>
      </c>
      <c r="F58" s="367" t="e">
        <f t="shared" si="8"/>
        <v>#DIV/0!</v>
      </c>
      <c r="G58" s="231">
        <f>'2_ELECTRICITE'!C59</f>
        <v>51.799999999999955</v>
      </c>
      <c r="H58" s="232">
        <f>'2_ELECTRICITE'!D59</f>
        <v>48.799999999999955</v>
      </c>
      <c r="I58" s="160">
        <f t="shared" si="9"/>
        <v>-6.1475409836065628E-2</v>
      </c>
      <c r="J58" s="438">
        <f>'2_EAU'!C59</f>
        <v>2100.0000000000014</v>
      </c>
      <c r="K58" s="439">
        <f>'2_EAU'!D59</f>
        <v>1899.9999999999986</v>
      </c>
      <c r="L58" s="160">
        <f t="shared" si="10"/>
        <v>-0.10526315789473835</v>
      </c>
      <c r="M58" s="442">
        <f>'2_EAU'!H59</f>
        <v>0.29103942652329812</v>
      </c>
      <c r="N58" s="389">
        <f>'2_EAU'!I59</f>
        <v>0.29103942652329812</v>
      </c>
      <c r="O58" s="160">
        <f t="shared" si="11"/>
        <v>0</v>
      </c>
    </row>
    <row r="59" spans="2:15" s="157" customFormat="1" hidden="1" x14ac:dyDescent="0.25">
      <c r="B59" s="158" t="str">
        <f>CONCATENATE("Ratio - ",'0_ENTREE'!B59," - ",$B$5," - ",$B$7)</f>
        <v>Ratio - GE2.1 - 312 - T4 - 75m² - 2014 - S23</v>
      </c>
      <c r="C59" s="159">
        <f t="shared" si="7"/>
        <v>-0.21225247524752866</v>
      </c>
      <c r="D59" s="241" t="e">
        <f>'2_CHAUFFAGE'!C60</f>
        <v>#DIV/0!</v>
      </c>
      <c r="E59" s="242" t="e">
        <f>'2_CHAUFFAGE'!D60</f>
        <v>#DIV/0!</v>
      </c>
      <c r="F59" s="367" t="e">
        <f t="shared" si="8"/>
        <v>#DIV/0!</v>
      </c>
      <c r="G59" s="231">
        <f>'2_ELECTRICITE'!C60</f>
        <v>31.799999999999272</v>
      </c>
      <c r="H59" s="232">
        <f>'2_ELECTRICITE'!D60</f>
        <v>30.299999999999272</v>
      </c>
      <c r="I59" s="160">
        <f t="shared" si="9"/>
        <v>-4.9504950495050694E-2</v>
      </c>
      <c r="J59" s="438">
        <f>'2_EAU'!C60</f>
        <v>1100.0000000000014</v>
      </c>
      <c r="K59" s="439">
        <f>'2_EAU'!D60</f>
        <v>799.99999999999716</v>
      </c>
      <c r="L59" s="160">
        <f t="shared" si="10"/>
        <v>-0.37500000000000661</v>
      </c>
      <c r="M59" s="443">
        <f>'2_EAU'!H60</f>
        <v>0.3007407407407407</v>
      </c>
      <c r="N59" s="387">
        <f>'2_EAU'!I60</f>
        <v>0.24059259259259386</v>
      </c>
      <c r="O59" s="160">
        <f t="shared" si="11"/>
        <v>-0.24999999999999326</v>
      </c>
    </row>
    <row r="60" spans="2:15" s="283" customFormat="1" ht="13.5" hidden="1" thickBot="1" x14ac:dyDescent="0.3">
      <c r="B60" s="161" t="str">
        <f>CONCATENATE("Ratio - ",'0_ENTREE'!B60," - ",$B$5," - ",$B$7)</f>
        <v>Ratio - MOYENNE GE2.1 - 2014 - S23</v>
      </c>
      <c r="C60" s="284" t="e">
        <f>AVERAGE(C47:C59)</f>
        <v>#DIV/0!</v>
      </c>
      <c r="D60" s="243" t="e">
        <f>AVERAGE(D47:D59)</f>
        <v>#DIV/0!</v>
      </c>
      <c r="E60" s="244" t="e">
        <f t="shared" ref="E60" si="12">AVERAGE(E47:E59)</f>
        <v>#DIV/0!</v>
      </c>
      <c r="F60" s="368" t="e">
        <f t="shared" ref="F60" si="13">AVERAGE(F47:F59)</f>
        <v>#DIV/0!</v>
      </c>
      <c r="G60" s="247">
        <f t="shared" ref="G60" si="14">AVERAGE(G47:G59)</f>
        <v>33.769230769230688</v>
      </c>
      <c r="H60" s="248">
        <f t="shared" ref="H60" si="15">AVERAGE(H47:H59)</f>
        <v>33.846153846153776</v>
      </c>
      <c r="I60" s="285">
        <f t="shared" ref="I60" si="16">AVERAGE(I47:I59)</f>
        <v>-0.44052032081669412</v>
      </c>
      <c r="J60" s="440">
        <f t="shared" ref="J60" si="17">AVERAGE(J47:J59)</f>
        <v>1815.3846153846155</v>
      </c>
      <c r="K60" s="441">
        <f t="shared" ref="K60" si="18">AVERAGE(K47:K59)</f>
        <v>1738.4615384615379</v>
      </c>
      <c r="L60" s="285" t="e">
        <f t="shared" ref="L60" si="19">AVERAGE(L47:L59)</f>
        <v>#DIV/0!</v>
      </c>
      <c r="M60" s="386">
        <f>'2_EAU'!H61</f>
        <v>0.40995479937228751</v>
      </c>
      <c r="N60" s="386">
        <f>'2_EAU'!I61</f>
        <v>0.47680735304587701</v>
      </c>
      <c r="O60" s="285" t="e">
        <f t="shared" ref="O60" si="20">AVERAGE(O47:O59)</f>
        <v>#DIV/0!</v>
      </c>
    </row>
    <row r="61" spans="2:15" s="157" customFormat="1" x14ac:dyDescent="0.25">
      <c r="B61" s="158" t="str">
        <f>CONCATENATE("Ratio - ",'0_ENTREE'!B61," - ",$B$5," - ",$B$7)</f>
        <v>Ratio - GE2.2 - 271 - T3 - 74m² - 2014 - S23</v>
      </c>
      <c r="C61" s="159">
        <f>AVERAGE(I61,L61)</f>
        <v>-0.2497273718647815</v>
      </c>
      <c r="D61" s="241" t="e">
        <f>'2_CHAUFFAGE'!C62</f>
        <v>#DIV/0!</v>
      </c>
      <c r="E61" s="242" t="e">
        <f>'2_CHAUFFAGE'!D62</f>
        <v>#DIV/0!</v>
      </c>
      <c r="F61" s="367" t="e">
        <f t="shared" ref="F61:F73" si="21">(E61-D61)/E61</f>
        <v>#DIV/0!</v>
      </c>
      <c r="G61" s="253">
        <f>'2_ELECTRICITE'!C62</f>
        <v>31.800000000000068</v>
      </c>
      <c r="H61" s="254">
        <f>'2_ELECTRICITE'!D62</f>
        <v>26.199999999999932</v>
      </c>
      <c r="I61" s="160">
        <f t="shared" ref="I61:I73" si="22">(H61-G61)/H61</f>
        <v>-0.21374045801527294</v>
      </c>
      <c r="J61" s="438">
        <f>'2_EAU'!C62</f>
        <v>1800.0000000000043</v>
      </c>
      <c r="K61" s="439">
        <f>'2_EAU'!D62</f>
        <v>1399.9999999999986</v>
      </c>
      <c r="L61" s="160">
        <f t="shared" ref="L61:L73" si="23">(K61-J61)/K61</f>
        <v>-0.28571428571429003</v>
      </c>
      <c r="M61" s="442">
        <f>'2_EAU'!H62</f>
        <v>0.73153153153153105</v>
      </c>
      <c r="N61" s="389">
        <f>'2_EAU'!I62</f>
        <v>0.54864864864864771</v>
      </c>
      <c r="O61" s="160">
        <f t="shared" ref="O61:O73" si="24">(N61-M61)/N61</f>
        <v>-0.33333333333333476</v>
      </c>
    </row>
    <row r="62" spans="2:15" s="157" customFormat="1" x14ac:dyDescent="0.25">
      <c r="B62" s="158" t="str">
        <f>CONCATENATE("Ratio - ",'0_ENTREE'!B62," - ",$B$5," - ",$B$7)</f>
        <v>Ratio - GE2.2 - 272 - T3 - 74m² - 2014 - S23</v>
      </c>
      <c r="C62" s="159">
        <f t="shared" ref="C62:C73" si="25">AVERAGE(I62,L62)</f>
        <v>6.3258464632918524E-2</v>
      </c>
      <c r="D62" s="241" t="e">
        <f>'2_CHAUFFAGE'!C63</f>
        <v>#DIV/0!</v>
      </c>
      <c r="E62" s="242" t="e">
        <f>'2_CHAUFFAGE'!D63</f>
        <v>#DIV/0!</v>
      </c>
      <c r="F62" s="367" t="e">
        <f t="shared" si="21"/>
        <v>#DIV/0!</v>
      </c>
      <c r="G62" s="253">
        <f>'2_ELECTRICITE'!C63</f>
        <v>72.700000000000273</v>
      </c>
      <c r="H62" s="254">
        <f>'2_ELECTRICITE'!D63</f>
        <v>78.5</v>
      </c>
      <c r="I62" s="160">
        <f t="shared" si="22"/>
        <v>7.3885350318467866E-2</v>
      </c>
      <c r="J62" s="438">
        <f>'2_EAU'!C63</f>
        <v>1799.9999999999973</v>
      </c>
      <c r="K62" s="439">
        <f>'2_EAU'!D63</f>
        <v>1899.9999999999986</v>
      </c>
      <c r="L62" s="160">
        <f t="shared" si="23"/>
        <v>5.2631578947369174E-2</v>
      </c>
      <c r="M62" s="442">
        <f>'2_EAU'!H63</f>
        <v>6.0960960960961007E-2</v>
      </c>
      <c r="N62" s="389">
        <f>'2_EAU'!I63</f>
        <v>0.12192192192192175</v>
      </c>
      <c r="O62" s="160">
        <f t="shared" si="24"/>
        <v>0.49999999999999895</v>
      </c>
    </row>
    <row r="63" spans="2:15" s="157" customFormat="1" x14ac:dyDescent="0.25">
      <c r="B63" s="158" t="str">
        <f>CONCATENATE("Ratio - ",'0_ENTREE'!B63," - ",$B$5," - ",$B$7)</f>
        <v>Ratio - GE2.2 - 273 - T3 - 74m² - 2014 - S23</v>
      </c>
      <c r="C63" s="159">
        <f t="shared" si="25"/>
        <v>0.10452079566003618</v>
      </c>
      <c r="D63" s="241" t="e">
        <f>'2_CHAUFFAGE'!C64</f>
        <v>#DIV/0!</v>
      </c>
      <c r="E63" s="242" t="e">
        <f>'2_CHAUFFAGE'!D64</f>
        <v>#DIV/0!</v>
      </c>
      <c r="F63" s="367" t="e">
        <f t="shared" si="21"/>
        <v>#DIV/0!</v>
      </c>
      <c r="G63" s="253">
        <f>'2_ELECTRICITE'!C64</f>
        <v>54.799999999999955</v>
      </c>
      <c r="H63" s="254">
        <f>'2_ELECTRICITE'!D64</f>
        <v>55.299999999999955</v>
      </c>
      <c r="I63" s="160">
        <f t="shared" si="22"/>
        <v>9.04159132007234E-3</v>
      </c>
      <c r="J63" s="438">
        <f>'2_EAU'!C64</f>
        <v>2000</v>
      </c>
      <c r="K63" s="439">
        <f>'2_EAU'!D64</f>
        <v>2500</v>
      </c>
      <c r="L63" s="160">
        <f t="shared" si="23"/>
        <v>0.2</v>
      </c>
      <c r="M63" s="442">
        <f>'2_EAU'!H64</f>
        <v>0.54864864864864771</v>
      </c>
      <c r="N63" s="389">
        <f>'2_EAU'!I64</f>
        <v>0.54864864864864993</v>
      </c>
      <c r="O63" s="160">
        <f t="shared" si="24"/>
        <v>4.047118414889724E-15</v>
      </c>
    </row>
    <row r="64" spans="2:15" s="157" customFormat="1" x14ac:dyDescent="0.25">
      <c r="B64" s="158" t="str">
        <f>CONCATENATE("Ratio - ",'0_ENTREE'!B64," - ",$B$5," - ",$B$7)</f>
        <v>Ratio - GE2.2 - 276 - T4 - 83m² - 2014 - S23</v>
      </c>
      <c r="C64" s="159">
        <f t="shared" si="25"/>
        <v>6.3635035785578581E-2</v>
      </c>
      <c r="D64" s="241" t="e">
        <f>'2_CHAUFFAGE'!C65</f>
        <v>#DIV/0!</v>
      </c>
      <c r="E64" s="242" t="e">
        <f>'2_CHAUFFAGE'!D65</f>
        <v>#DIV/0!</v>
      </c>
      <c r="F64" s="367" t="e">
        <f t="shared" si="21"/>
        <v>#DIV/0!</v>
      </c>
      <c r="G64" s="231">
        <f>'2_ELECTRICITE'!C65</f>
        <v>85.699999999999818</v>
      </c>
      <c r="H64" s="232">
        <f>'2_ELECTRICITE'!D65</f>
        <v>89.299999999999955</v>
      </c>
      <c r="I64" s="160">
        <f t="shared" si="22"/>
        <v>4.0313549832028422E-2</v>
      </c>
      <c r="J64" s="438">
        <f>'2_EAU'!C65</f>
        <v>2100.0000000000014</v>
      </c>
      <c r="K64" s="439">
        <f>'2_EAU'!D65</f>
        <v>2299.9999999999973</v>
      </c>
      <c r="L64" s="160">
        <f t="shared" si="23"/>
        <v>8.6956521739128753E-2</v>
      </c>
      <c r="M64" s="442">
        <f>'2_EAU'!H65</f>
        <v>0.38045515394912943</v>
      </c>
      <c r="N64" s="389">
        <f>'2_EAU'!I65</f>
        <v>0.43480589022757732</v>
      </c>
      <c r="O64" s="160">
        <f t="shared" si="24"/>
        <v>0.12500000000000167</v>
      </c>
    </row>
    <row r="65" spans="2:15" s="157" customFormat="1" x14ac:dyDescent="0.25">
      <c r="B65" s="158" t="str">
        <f>CONCATENATE("Ratio - ",'0_ENTREE'!B65," - ",$B$5," - ",$B$7)</f>
        <v>Ratio - GE2.2 - 279 - T3 - 70m² - 2014 - S23</v>
      </c>
      <c r="C65" s="159">
        <f t="shared" si="25"/>
        <v>-0.22284204345273156</v>
      </c>
      <c r="D65" s="241" t="e">
        <f>'2_CHAUFFAGE'!C66</f>
        <v>#DIV/0!</v>
      </c>
      <c r="E65" s="242" t="e">
        <f>'2_CHAUFFAGE'!D66</f>
        <v>#DIV/0!</v>
      </c>
      <c r="F65" s="367" t="e">
        <f t="shared" si="21"/>
        <v>#DIV/0!</v>
      </c>
      <c r="G65" s="231">
        <f>'2_ELECTRICITE'!C66</f>
        <v>41.700000000000045</v>
      </c>
      <c r="H65" s="232">
        <f>'2_ELECTRICITE'!D66</f>
        <v>39.299999999999955</v>
      </c>
      <c r="I65" s="160">
        <f t="shared" si="22"/>
        <v>-6.106870229007872E-2</v>
      </c>
      <c r="J65" s="438">
        <f>'2_EAU'!C66</f>
        <v>1800.0000000000007</v>
      </c>
      <c r="K65" s="439">
        <f>'2_EAU'!D66</f>
        <v>1300.0000000000007</v>
      </c>
      <c r="L65" s="160">
        <f t="shared" si="23"/>
        <v>-0.38461538461538441</v>
      </c>
      <c r="M65" s="442">
        <f>'2_EAU'!H66</f>
        <v>0.57999999999999896</v>
      </c>
      <c r="N65" s="389">
        <f>'2_EAU'!I66</f>
        <v>0.38666666666666755</v>
      </c>
      <c r="O65" s="160">
        <f t="shared" si="24"/>
        <v>-0.49999999999999389</v>
      </c>
    </row>
    <row r="66" spans="2:15" s="157" customFormat="1" x14ac:dyDescent="0.25">
      <c r="B66" s="158" t="str">
        <f>CONCATENATE("Ratio - ",'0_ENTREE'!B66," - ",$B$5," - ",$B$7)</f>
        <v>Ratio - GE2.2 - 288 - T3 - 68m² - 2014 - S23</v>
      </c>
      <c r="C66" s="159">
        <f t="shared" si="25"/>
        <v>6.6528925619835796E-2</v>
      </c>
      <c r="D66" s="241" t="e">
        <f>'2_CHAUFFAGE'!C67</f>
        <v>#DIV/0!</v>
      </c>
      <c r="E66" s="242" t="e">
        <f>'2_CHAUFFAGE'!D67</f>
        <v>#DIV/0!</v>
      </c>
      <c r="F66" s="367" t="e">
        <f t="shared" si="21"/>
        <v>#DIV/0!</v>
      </c>
      <c r="G66" s="231">
        <f>'2_ELECTRICITE'!C67</f>
        <v>35.099999999999909</v>
      </c>
      <c r="H66" s="232">
        <f>'2_ELECTRICITE'!D67</f>
        <v>36.300000000000068</v>
      </c>
      <c r="I66" s="160">
        <f t="shared" si="22"/>
        <v>3.3057851239673745E-2</v>
      </c>
      <c r="J66" s="438">
        <f>'2_EAU'!C67</f>
        <v>900.00000000000216</v>
      </c>
      <c r="K66" s="439">
        <f>'2_EAU'!D67</f>
        <v>1000</v>
      </c>
      <c r="L66" s="160">
        <f t="shared" si="23"/>
        <v>9.9999999999997841E-2</v>
      </c>
      <c r="M66" s="442">
        <f>'2_EAU'!H67</f>
        <v>6.6339869281045516E-2</v>
      </c>
      <c r="N66" s="389">
        <f>'2_EAU'!I67</f>
        <v>6.6339869281045807E-2</v>
      </c>
      <c r="O66" s="160">
        <f t="shared" si="24"/>
        <v>4.3930376577840208E-15</v>
      </c>
    </row>
    <row r="67" spans="2:15" s="157" customFormat="1" x14ac:dyDescent="0.25">
      <c r="B67" s="158" t="str">
        <f>CONCATENATE("Ratio - ",'0_ENTREE'!B67," - ",$B$5," - ",$B$7)</f>
        <v>Ratio - GE2.2 - 291 - T3 - 62m² - 2014 - S23</v>
      </c>
      <c r="C67" s="159">
        <f t="shared" si="25"/>
        <v>-1.7460317460317141</v>
      </c>
      <c r="D67" s="241" t="e">
        <f>'2_CHAUFFAGE'!C68</f>
        <v>#DIV/0!</v>
      </c>
      <c r="E67" s="242" t="e">
        <f>'2_CHAUFFAGE'!D68</f>
        <v>#DIV/0!</v>
      </c>
      <c r="F67" s="367" t="e">
        <f t="shared" si="21"/>
        <v>#DIV/0!</v>
      </c>
      <c r="G67" s="231">
        <f>'2_ELECTRICITE'!C68</f>
        <v>18.799999999999955</v>
      </c>
      <c r="H67" s="232">
        <f>'2_ELECTRICITE'!D68</f>
        <v>12.599999999999909</v>
      </c>
      <c r="I67" s="160">
        <f t="shared" si="22"/>
        <v>-0.4920634920634992</v>
      </c>
      <c r="J67" s="438">
        <f>'2_EAU'!C68</f>
        <v>399.99999999999858</v>
      </c>
      <c r="K67" s="439">
        <f>'2_EAU'!D68</f>
        <v>100.00000000000142</v>
      </c>
      <c r="L67" s="160">
        <f t="shared" si="23"/>
        <v>-2.9999999999999289</v>
      </c>
      <c r="M67" s="442">
        <f>'2_EAU'!H68</f>
        <v>0</v>
      </c>
      <c r="N67" s="389">
        <f>'2_EAU'!I68</f>
        <v>0</v>
      </c>
      <c r="O67" s="160" t="e">
        <f t="shared" si="24"/>
        <v>#DIV/0!</v>
      </c>
    </row>
    <row r="68" spans="2:15" s="157" customFormat="1" x14ac:dyDescent="0.25">
      <c r="B68" s="158" t="str">
        <f>CONCATENATE("Ratio - ",'0_ENTREE'!B68," - ",$B$5," - ",$B$7)</f>
        <v>Ratio - GE2.2 - 294 - T3 - 63m² - 2014 - S23</v>
      </c>
      <c r="C68" s="159">
        <f t="shared" si="25"/>
        <v>-0.10361552028218421</v>
      </c>
      <c r="D68" s="241" t="e">
        <f>'2_CHAUFFAGE'!C69</f>
        <v>#DIV/0!</v>
      </c>
      <c r="E68" s="242" t="e">
        <f>'2_CHAUFFAGE'!D69</f>
        <v>#DIV/0!</v>
      </c>
      <c r="F68" s="367" t="e">
        <f t="shared" si="21"/>
        <v>#DIV/0!</v>
      </c>
      <c r="G68" s="231">
        <f>'2_ELECTRICITE'!C69</f>
        <v>59</v>
      </c>
      <c r="H68" s="232">
        <f>'2_ELECTRICITE'!D69</f>
        <v>56.700000000000273</v>
      </c>
      <c r="I68" s="160">
        <f t="shared" si="22"/>
        <v>-4.0564373897702226E-2</v>
      </c>
      <c r="J68" s="438">
        <f>'2_EAU'!C69</f>
        <v>1399.9999999999986</v>
      </c>
      <c r="K68" s="439">
        <f>'2_EAU'!D69</f>
        <v>1199.9999999999993</v>
      </c>
      <c r="L68" s="160">
        <f t="shared" si="23"/>
        <v>-0.16666666666666619</v>
      </c>
      <c r="M68" s="442">
        <f>'2_EAU'!H69</f>
        <v>0.28641975308641998</v>
      </c>
      <c r="N68" s="389">
        <f>'2_EAU'!I69</f>
        <v>7.160493827160469E-2</v>
      </c>
      <c r="O68" s="160">
        <f t="shared" si="24"/>
        <v>-3.0000000000000169</v>
      </c>
    </row>
    <row r="69" spans="2:15" s="157" customFormat="1" x14ac:dyDescent="0.25">
      <c r="B69" s="158" t="str">
        <f>CONCATENATE("Ratio - ",'0_ENTREE'!B69," - ",$B$5," - ",$B$7)</f>
        <v>Ratio - GE2.2 - 298 - T5 - 93m² - 2014 - S23</v>
      </c>
      <c r="C69" s="159">
        <f t="shared" si="25"/>
        <v>8.2743183772571852E-2</v>
      </c>
      <c r="D69" s="241" t="e">
        <f>'2_CHAUFFAGE'!C70</f>
        <v>#DIV/0!</v>
      </c>
      <c r="E69" s="242" t="e">
        <f>'2_CHAUFFAGE'!D70</f>
        <v>#DIV/0!</v>
      </c>
      <c r="F69" s="367" t="e">
        <f t="shared" si="21"/>
        <v>#DIV/0!</v>
      </c>
      <c r="G69" s="231">
        <f>'2_ELECTRICITE'!C70</f>
        <v>70.700000000000045</v>
      </c>
      <c r="H69" s="232">
        <f>'2_ELECTRICITE'!D70</f>
        <v>74.599999999999909</v>
      </c>
      <c r="I69" s="160">
        <f t="shared" si="22"/>
        <v>5.2278820375333358E-2</v>
      </c>
      <c r="J69" s="438">
        <f>'2_EAU'!C70</f>
        <v>4700.0000000000027</v>
      </c>
      <c r="K69" s="439">
        <f>'2_EAU'!D70</f>
        <v>5299.9999999999973</v>
      </c>
      <c r="L69" s="160">
        <f t="shared" si="23"/>
        <v>0.11320754716981035</v>
      </c>
      <c r="M69" s="442">
        <f>'2_EAU'!H70</f>
        <v>0.6305854241338098</v>
      </c>
      <c r="N69" s="389">
        <f>'2_EAU'!I70</f>
        <v>0.87311827956989452</v>
      </c>
      <c r="O69" s="160">
        <f t="shared" si="24"/>
        <v>0.27777777777778112</v>
      </c>
    </row>
    <row r="70" spans="2:15" s="157" customFormat="1" x14ac:dyDescent="0.25">
      <c r="B70" s="158" t="str">
        <f>CONCATENATE("Ratio - ",'0_ENTREE'!B70," - ",$B$5," - ",$B$7)</f>
        <v>Ratio - GE2.2 - 301 - T4 - 79m² - 2014 - S23</v>
      </c>
      <c r="C70" s="159">
        <f t="shared" si="25"/>
        <v>0.29682955206515427</v>
      </c>
      <c r="D70" s="241" t="e">
        <f>'2_CHAUFFAGE'!C71</f>
        <v>#DIV/0!</v>
      </c>
      <c r="E70" s="242" t="e">
        <f>'2_CHAUFFAGE'!D71</f>
        <v>#DIV/0!</v>
      </c>
      <c r="F70" s="367" t="e">
        <f t="shared" si="21"/>
        <v>#DIV/0!</v>
      </c>
      <c r="G70" s="231">
        <f>'2_ELECTRICITE'!C71</f>
        <v>65</v>
      </c>
      <c r="H70" s="232">
        <f>'2_ELECTRICITE'!D71</f>
        <v>76.400000000000091</v>
      </c>
      <c r="I70" s="160">
        <f t="shared" si="22"/>
        <v>0.14921465968586489</v>
      </c>
      <c r="J70" s="438">
        <f>'2_EAU'!C71</f>
        <v>1500</v>
      </c>
      <c r="K70" s="439">
        <f>'2_EAU'!D71</f>
        <v>2699.9999999999959</v>
      </c>
      <c r="L70" s="160">
        <f t="shared" si="23"/>
        <v>0.44444444444444359</v>
      </c>
      <c r="M70" s="442">
        <f>'2_EAU'!H71</f>
        <v>0.28551336146272854</v>
      </c>
      <c r="N70" s="389">
        <f>'2_EAU'!I71</f>
        <v>0.45682137834036601</v>
      </c>
      <c r="O70" s="160">
        <f t="shared" si="24"/>
        <v>0.37500000000000044</v>
      </c>
    </row>
    <row r="71" spans="2:15" s="157" customFormat="1" x14ac:dyDescent="0.25">
      <c r="B71" s="158" t="str">
        <f>CONCATENATE("Ratio - ",'0_ENTREE'!B71," - ",$B$5," - ",$B$7)</f>
        <v>Ratio - GE2.2 - 311 - T4 - 74m² - 2014 - S23</v>
      </c>
      <c r="C71" s="159">
        <f t="shared" si="25"/>
        <v>-7.5096277278561441E-2</v>
      </c>
      <c r="D71" s="241" t="e">
        <f>'2_CHAUFFAGE'!C72</f>
        <v>#DIV/0!</v>
      </c>
      <c r="E71" s="242" t="e">
        <f>'2_CHAUFFAGE'!D72</f>
        <v>#DIV/0!</v>
      </c>
      <c r="F71" s="367" t="e">
        <f t="shared" si="21"/>
        <v>#DIV/0!</v>
      </c>
      <c r="G71" s="231">
        <f>'2_ELECTRICITE'!C72</f>
        <v>36</v>
      </c>
      <c r="H71" s="232">
        <f>'2_ELECTRICITE'!D72</f>
        <v>32.799999999999955</v>
      </c>
      <c r="I71" s="160">
        <f t="shared" si="22"/>
        <v>-9.7560975609757614E-2</v>
      </c>
      <c r="J71" s="438">
        <f>'2_EAU'!C72</f>
        <v>2000</v>
      </c>
      <c r="K71" s="439">
        <f>'2_EAU'!D72</f>
        <v>1900.0000000000057</v>
      </c>
      <c r="L71" s="160">
        <f t="shared" si="23"/>
        <v>-5.2631578947365275E-2</v>
      </c>
      <c r="M71" s="442">
        <f>'2_EAU'!H72</f>
        <v>0.48768768768768805</v>
      </c>
      <c r="N71" s="389">
        <f>'2_EAU'!I72</f>
        <v>0.48768768768768805</v>
      </c>
      <c r="O71" s="160">
        <f t="shared" si="24"/>
        <v>0</v>
      </c>
    </row>
    <row r="72" spans="2:15" s="157" customFormat="1" x14ac:dyDescent="0.25">
      <c r="B72" s="158" t="str">
        <f>CONCATENATE("Ratio - ",'0_ENTREE'!B72," - ",$B$5," - ",$B$7)</f>
        <v>Ratio - GE2.2 - 313 - T4 - 75m² - 2014 - S23</v>
      </c>
      <c r="C72" s="159">
        <f t="shared" si="25"/>
        <v>9.2553191489363931E-2</v>
      </c>
      <c r="D72" s="241" t="e">
        <f>'2_CHAUFFAGE'!C73</f>
        <v>#DIV/0!</v>
      </c>
      <c r="E72" s="242" t="e">
        <f>'2_CHAUFFAGE'!D73</f>
        <v>#DIV/0!</v>
      </c>
      <c r="F72" s="367" t="e">
        <f t="shared" si="21"/>
        <v>#DIV/0!</v>
      </c>
      <c r="G72" s="231">
        <f>'2_ELECTRICITE'!C73</f>
        <v>25.799999999999955</v>
      </c>
      <c r="H72" s="232">
        <f>'2_ELECTRICITE'!D73</f>
        <v>28.200000000000045</v>
      </c>
      <c r="I72" s="160">
        <f t="shared" si="22"/>
        <v>8.5106382978726497E-2</v>
      </c>
      <c r="J72" s="438">
        <f>'2_EAU'!C73</f>
        <v>899.99999999999864</v>
      </c>
      <c r="K72" s="439">
        <f>'2_EAU'!D73</f>
        <v>1000</v>
      </c>
      <c r="L72" s="160">
        <f t="shared" si="23"/>
        <v>0.10000000000000137</v>
      </c>
      <c r="M72" s="442">
        <f>'2_EAU'!H73</f>
        <v>0.24059259259259175</v>
      </c>
      <c r="N72" s="389">
        <f>'2_EAU'!I73</f>
        <v>0.24059259259259277</v>
      </c>
      <c r="O72" s="160">
        <f t="shared" si="24"/>
        <v>4.2684452032040125E-15</v>
      </c>
    </row>
    <row r="73" spans="2:15" s="157" customFormat="1" x14ac:dyDescent="0.25">
      <c r="B73" s="158" t="str">
        <f>CONCATENATE("Ratio - ",'0_ENTREE'!B73," - ",$B$5," - ",$B$7)</f>
        <v>Ratio - GE2.2 - 315 - T4 - 75m² - 2014 - S23</v>
      </c>
      <c r="C73" s="159">
        <f t="shared" si="25"/>
        <v>8.279758425871929E-2</v>
      </c>
      <c r="D73" s="241" t="e">
        <f>'2_CHAUFFAGE'!C74</f>
        <v>#DIV/0!</v>
      </c>
      <c r="E73" s="242" t="e">
        <f>'2_CHAUFFAGE'!D74</f>
        <v>#DIV/0!</v>
      </c>
      <c r="F73" s="367" t="e">
        <f t="shared" si="21"/>
        <v>#DIV/0!</v>
      </c>
      <c r="G73" s="231">
        <f>'2_ELECTRICITE'!C74</f>
        <v>49.799999999999955</v>
      </c>
      <c r="H73" s="232">
        <f>'2_ELECTRICITE'!D74</f>
        <v>53.100000000000136</v>
      </c>
      <c r="I73" s="160">
        <f t="shared" si="22"/>
        <v>6.2146892655370496E-2</v>
      </c>
      <c r="J73" s="438">
        <f>'2_EAU'!C74</f>
        <v>2600.0000000000014</v>
      </c>
      <c r="K73" s="439">
        <f>'2_EAU'!D74</f>
        <v>2899.9999999999986</v>
      </c>
      <c r="L73" s="160">
        <f t="shared" si="23"/>
        <v>0.10344827586206808</v>
      </c>
      <c r="M73" s="443">
        <f>'2_EAU'!H74</f>
        <v>0.60148148148148139</v>
      </c>
      <c r="N73" s="387">
        <f>'2_EAU'!I74</f>
        <v>0.8420740740740732</v>
      </c>
      <c r="O73" s="160">
        <f t="shared" si="24"/>
        <v>0.28571428571428509</v>
      </c>
    </row>
    <row r="74" spans="2:15" s="283" customFormat="1" ht="13.5" thickBot="1" x14ac:dyDescent="0.3">
      <c r="B74" s="161" t="str">
        <f>CONCATENATE("Ratio - ",'0_ENTREE'!B74," - ",$B$5," - ",$B$7)</f>
        <v>Ratio - MOYENNE GE2.2 - 2014 - S23</v>
      </c>
      <c r="C74" s="284">
        <f>AVERAGE(C61:C73)</f>
        <v>-0.1188035558173688</v>
      </c>
      <c r="D74" s="243" t="e">
        <f>AVERAGE(D61:D73)</f>
        <v>#DIV/0!</v>
      </c>
      <c r="E74" s="244" t="e">
        <f t="shared" ref="E74" si="26">AVERAGE(E61:E73)</f>
        <v>#DIV/0!</v>
      </c>
      <c r="F74" s="368" t="e">
        <f t="shared" ref="F74" si="27">AVERAGE(F61:F73)</f>
        <v>#DIV/0!</v>
      </c>
      <c r="G74" s="247">
        <f t="shared" ref="G74" si="28">AVERAGE(G61:G73)</f>
        <v>49.761538461538457</v>
      </c>
      <c r="H74" s="248">
        <f t="shared" ref="H74" si="29">AVERAGE(H61:H73)</f>
        <v>50.715384615384629</v>
      </c>
      <c r="I74" s="285">
        <f t="shared" ref="I74" si="30">AVERAGE(I61:I73)</f>
        <v>-3.0765607959290231E-2</v>
      </c>
      <c r="J74" s="440">
        <f t="shared" ref="J74" si="31">AVERAGE(J61:J73)</f>
        <v>1838.4615384615388</v>
      </c>
      <c r="K74" s="441">
        <f t="shared" ref="K74" si="32">AVERAGE(K61:K73)</f>
        <v>1961.5384615384612</v>
      </c>
      <c r="L74" s="285">
        <f t="shared" ref="L74" si="33">AVERAGE(L61:L73)</f>
        <v>-0.20684150367544735</v>
      </c>
      <c r="M74" s="386">
        <f>'2_EAU'!H75</f>
        <v>0.37693972806277171</v>
      </c>
      <c r="N74" s="386">
        <f>'2_EAU'!I75</f>
        <v>0.3906869689177484</v>
      </c>
      <c r="O74" s="285" t="e">
        <f t="shared" ref="O74" si="34">AVERAGE(O61:O73)</f>
        <v>#DIV/0!</v>
      </c>
    </row>
    <row r="75" spans="2:15" s="157" customFormat="1" x14ac:dyDescent="0.25">
      <c r="B75" s="158" t="str">
        <f>CONCATENATE("Ratio - ",'0_ENTREE'!B75," - ",$B$5," - ",$B$7)</f>
        <v>Ratio - SO - 284 - T - 64m² - 2014 - S23</v>
      </c>
      <c r="C75" s="159">
        <f t="shared" ref="C75:C80" si="35">AVERAGE(I75,L75)</f>
        <v>0.17135416666666789</v>
      </c>
      <c r="D75" s="241" t="e">
        <f>'2_CHAUFFAGE'!C76</f>
        <v>#DIV/0!</v>
      </c>
      <c r="E75" s="242" t="e">
        <f>'2_CHAUFFAGE'!D76</f>
        <v>#DIV/0!</v>
      </c>
      <c r="F75" s="367" t="e">
        <f t="shared" ref="F75:F80" si="36">(E75-D75)/E75</f>
        <v>#DIV/0!</v>
      </c>
      <c r="G75" s="231">
        <f>'2_ELECTRICITE'!C76</f>
        <v>63.400000000000091</v>
      </c>
      <c r="H75" s="232">
        <f>'2_ELECTRICITE'!D76</f>
        <v>64</v>
      </c>
      <c r="I75" s="160">
        <f t="shared" ref="I75:I80" si="37">(H75-G75)/H75</f>
        <v>9.3749999999985789E-3</v>
      </c>
      <c r="J75" s="438">
        <f>'2_EAU'!C76</f>
        <v>199.99999999999929</v>
      </c>
      <c r="K75" s="439">
        <f>'2_EAU'!D76</f>
        <v>300.00000000000068</v>
      </c>
      <c r="L75" s="160">
        <f t="shared" ref="L75:L80" si="38">(K75-J75)/K75</f>
        <v>0.3333333333333372</v>
      </c>
      <c r="M75" s="442">
        <f>'2_EAU'!H76</f>
        <v>0</v>
      </c>
      <c r="N75" s="389">
        <f>'2_EAU'!I76</f>
        <v>0</v>
      </c>
      <c r="O75" s="160" t="e">
        <f t="shared" ref="O75:O80" si="39">(N75-M75)/N75</f>
        <v>#DIV/0!</v>
      </c>
    </row>
    <row r="76" spans="2:15" s="157" customFormat="1" x14ac:dyDescent="0.25">
      <c r="B76" s="158" t="str">
        <f>CONCATENATE("Ratio - ",'0_ENTREE'!B76," - ",$B$5," - ",$B$7)</f>
        <v>Ratio - SO - 287 - T - 81m² - 2014 - S23</v>
      </c>
      <c r="C76" s="159">
        <f t="shared" si="35"/>
        <v>-1.7441860465117375E-2</v>
      </c>
      <c r="D76" s="241" t="e">
        <f>'2_CHAUFFAGE'!C77</f>
        <v>#DIV/0!</v>
      </c>
      <c r="E76" s="242" t="e">
        <f>'2_CHAUFFAGE'!D77</f>
        <v>#DIV/0!</v>
      </c>
      <c r="F76" s="367" t="e">
        <f t="shared" si="36"/>
        <v>#DIV/0!</v>
      </c>
      <c r="G76" s="231">
        <f>'2_ELECTRICITE'!C77</f>
        <v>35.600000000000136</v>
      </c>
      <c r="H76" s="232">
        <f>'2_ELECTRICITE'!D77</f>
        <v>34.399999999999864</v>
      </c>
      <c r="I76" s="160">
        <f t="shared" si="37"/>
        <v>-3.4883720930240628E-2</v>
      </c>
      <c r="J76" s="438">
        <f>'2_EAU'!C77</f>
        <v>1199.9999999999957</v>
      </c>
      <c r="K76" s="439">
        <f>'2_EAU'!D77</f>
        <v>1200.0000000000027</v>
      </c>
      <c r="L76" s="160">
        <f t="shared" si="38"/>
        <v>5.8738199489501481E-15</v>
      </c>
      <c r="M76" s="442">
        <f>'2_EAU'!H77</f>
        <v>0.16707818930041191</v>
      </c>
      <c r="N76" s="389">
        <f>'2_EAU'!I77</f>
        <v>0.16707818930041091</v>
      </c>
      <c r="O76" s="160">
        <f t="shared" si="39"/>
        <v>-5.9804378198404586E-15</v>
      </c>
    </row>
    <row r="77" spans="2:15" s="157" customFormat="1" x14ac:dyDescent="0.25">
      <c r="B77" s="158" t="str">
        <f>CONCATENATE("Ratio - ",'0_ENTREE'!B77," - ",$B$5," - ",$B$7)</f>
        <v>Ratio - SO - 290 - T - 40m² - 2014 - S23</v>
      </c>
      <c r="C77" s="159">
        <f t="shared" si="35"/>
        <v>-0.36832298136645397</v>
      </c>
      <c r="D77" s="241" t="e">
        <f>'2_CHAUFFAGE'!C78</f>
        <v>#DIV/0!</v>
      </c>
      <c r="E77" s="242" t="e">
        <f>'2_CHAUFFAGE'!D78</f>
        <v>#DIV/0!</v>
      </c>
      <c r="F77" s="367" t="e">
        <f t="shared" si="36"/>
        <v>#DIV/0!</v>
      </c>
      <c r="G77" s="231">
        <f>'2_ELECTRICITE'!C78</f>
        <v>26.799999999999955</v>
      </c>
      <c r="H77" s="232">
        <f>'2_ELECTRICITE'!D78</f>
        <v>23</v>
      </c>
      <c r="I77" s="160">
        <f t="shared" si="37"/>
        <v>-0.16521739130434585</v>
      </c>
      <c r="J77" s="438">
        <f>'2_EAU'!C78</f>
        <v>1099.999999999998</v>
      </c>
      <c r="K77" s="439">
        <f>'2_EAU'!D78</f>
        <v>700.00000000000284</v>
      </c>
      <c r="L77" s="160">
        <f t="shared" si="38"/>
        <v>-0.57142857142856207</v>
      </c>
      <c r="M77" s="442">
        <f>'2_EAU'!H78</f>
        <v>0</v>
      </c>
      <c r="N77" s="389">
        <f>'2_EAU'!I78</f>
        <v>0</v>
      </c>
      <c r="O77" s="160" t="e">
        <f t="shared" si="39"/>
        <v>#DIV/0!</v>
      </c>
    </row>
    <row r="78" spans="2:15" s="157" customFormat="1" x14ac:dyDescent="0.25">
      <c r="B78" s="158" t="str">
        <f>CONCATENATE("Ratio - ",'0_ENTREE'!B78," - ",$B$5," - ",$B$7)</f>
        <v>Ratio - SO - 305 - T - 66m² - 2014 - S23</v>
      </c>
      <c r="C78" s="159">
        <f t="shared" si="35"/>
        <v>-3.8083538083536921E-2</v>
      </c>
      <c r="D78" s="241" t="e">
        <f>'2_CHAUFFAGE'!C79</f>
        <v>#DIV/0!</v>
      </c>
      <c r="E78" s="242" t="e">
        <f>'2_CHAUFFAGE'!D79</f>
        <v>#DIV/0!</v>
      </c>
      <c r="F78" s="367" t="e">
        <f t="shared" si="36"/>
        <v>#DIV/0!</v>
      </c>
      <c r="G78" s="231">
        <f>'2_ELECTRICITE'!C79</f>
        <v>43.799999999999955</v>
      </c>
      <c r="H78" s="232">
        <f>'2_ELECTRICITE'!D79</f>
        <v>40.700000000000045</v>
      </c>
      <c r="I78" s="160">
        <f t="shared" si="37"/>
        <v>-7.6167076167073841E-2</v>
      </c>
      <c r="J78" s="438">
        <f>'2_EAU'!C79</f>
        <v>2000</v>
      </c>
      <c r="K78" s="439">
        <f>'2_EAU'!D79</f>
        <v>2000</v>
      </c>
      <c r="L78" s="160">
        <f t="shared" si="38"/>
        <v>0</v>
      </c>
      <c r="M78" s="442">
        <f>'2_EAU'!H79</f>
        <v>0</v>
      </c>
      <c r="N78" s="389">
        <f>'2_EAU'!I79</f>
        <v>0</v>
      </c>
      <c r="O78" s="160" t="e">
        <f t="shared" si="39"/>
        <v>#DIV/0!</v>
      </c>
    </row>
    <row r="79" spans="2:15" s="157" customFormat="1" x14ac:dyDescent="0.25">
      <c r="B79" s="158" t="str">
        <f>CONCATENATE("Ratio - ",'0_ENTREE'!B79," - ",$B$5," - ",$B$7)</f>
        <v>Ratio - SO - 309 - T - 66m² - 2014 - S23</v>
      </c>
      <c r="C79" s="159">
        <f t="shared" si="35"/>
        <v>-0.11771561771561687</v>
      </c>
      <c r="D79" s="241" t="e">
        <f>'2_CHAUFFAGE'!C80</f>
        <v>#DIV/0!</v>
      </c>
      <c r="E79" s="242" t="e">
        <f>'2_CHAUFFAGE'!D80</f>
        <v>#DIV/0!</v>
      </c>
      <c r="F79" s="367" t="e">
        <f t="shared" si="36"/>
        <v>#DIV/0!</v>
      </c>
      <c r="G79" s="231">
        <f>'2_ELECTRICITE'!C80</f>
        <v>17</v>
      </c>
      <c r="H79" s="232">
        <f>'2_ELECTRICITE'!D80</f>
        <v>19.5</v>
      </c>
      <c r="I79" s="160">
        <f t="shared" si="37"/>
        <v>0.12820512820512819</v>
      </c>
      <c r="J79" s="438">
        <f>'2_EAU'!C80</f>
        <v>1500</v>
      </c>
      <c r="K79" s="439">
        <f>'2_EAU'!D80</f>
        <v>1100.0000000000014</v>
      </c>
      <c r="L79" s="160">
        <f t="shared" si="38"/>
        <v>-0.36363636363636193</v>
      </c>
      <c r="M79" s="442">
        <f>'2_EAU'!H80</f>
        <v>0.34175084175084169</v>
      </c>
      <c r="N79" s="389">
        <f>'2_EAU'!I80</f>
        <v>0.34175084175084169</v>
      </c>
      <c r="O79" s="160">
        <f t="shared" si="39"/>
        <v>0</v>
      </c>
    </row>
    <row r="80" spans="2:15" s="157" customFormat="1" x14ac:dyDescent="0.25">
      <c r="B80" s="158" t="str">
        <f>CONCATENATE("Ratio - ",'0_ENTREE'!B80," - ",$B$5," - ",$B$7)</f>
        <v>Ratio - SO - 310 - T - 54m² - 2014 - S23</v>
      </c>
      <c r="C80" s="159">
        <f t="shared" si="35"/>
        <v>0.31208221925134028</v>
      </c>
      <c r="D80" s="241" t="e">
        <f>'2_CHAUFFAGE'!C81</f>
        <v>#DIV/0!</v>
      </c>
      <c r="E80" s="242" t="e">
        <f>'2_CHAUFFAGE'!D81</f>
        <v>#DIV/0!</v>
      </c>
      <c r="F80" s="367" t="e">
        <f t="shared" si="36"/>
        <v>#DIV/0!</v>
      </c>
      <c r="G80" s="231">
        <f>'2_ELECTRICITE'!C81</f>
        <v>15.299999999999955</v>
      </c>
      <c r="H80" s="232">
        <f>'2_ELECTRICITE'!D81</f>
        <v>35.200000000000045</v>
      </c>
      <c r="I80" s="160">
        <f t="shared" si="37"/>
        <v>0.56534090909091095</v>
      </c>
      <c r="J80" s="438">
        <f>'2_EAU'!C81</f>
        <v>1599.9999999999943</v>
      </c>
      <c r="K80" s="439">
        <f>'2_EAU'!D81</f>
        <v>1700.0000000000027</v>
      </c>
      <c r="L80" s="160">
        <f t="shared" si="38"/>
        <v>5.8823529411769562E-2</v>
      </c>
      <c r="M80" s="443">
        <f>'2_EAU'!H81</f>
        <v>0.25061728395061711</v>
      </c>
      <c r="N80" s="387">
        <f>'2_EAU'!I81</f>
        <v>0.33415637860082331</v>
      </c>
      <c r="O80" s="160">
        <f t="shared" si="39"/>
        <v>0.25000000000000111</v>
      </c>
    </row>
    <row r="81" spans="1:15" s="21" customFormat="1" ht="13.5" thickBot="1" x14ac:dyDescent="0.3">
      <c r="B81" s="131" t="str">
        <f>CONCATENATE("Ratio - ",'0_ENTREE'!B81," - ",$B$5," - ",$B$7)</f>
        <v>Ratio - MOYENNE SO - 2014 - S23</v>
      </c>
      <c r="C81" s="286">
        <f>AVERAGE(C68:C80)</f>
        <v>1.5329272807305998E-2</v>
      </c>
      <c r="D81" s="239" t="e">
        <f>AVERAGE(D68:D80)</f>
        <v>#DIV/0!</v>
      </c>
      <c r="E81" s="240" t="e">
        <f t="shared" ref="E81" si="40">AVERAGE(E68:E80)</f>
        <v>#DIV/0!</v>
      </c>
      <c r="F81" s="366" t="e">
        <f t="shared" ref="F81" si="41">AVERAGE(F68:F80)</f>
        <v>#DIV/0!</v>
      </c>
      <c r="G81" s="245">
        <f t="shared" ref="G81" si="42">AVERAGE(G68:G80)</f>
        <v>42.920118343195277</v>
      </c>
      <c r="H81" s="246">
        <f t="shared" ref="H81" si="43">AVERAGE(H68:H80)</f>
        <v>45.331952662721925</v>
      </c>
      <c r="I81" s="287">
        <f t="shared" ref="I81" si="44">AVERAGE(I68:I80)</f>
        <v>4.6654511317147894E-2</v>
      </c>
      <c r="J81" s="436">
        <f t="shared" ref="J81" si="45">AVERAGE(J68:J80)</f>
        <v>1733.7278106508868</v>
      </c>
      <c r="K81" s="437">
        <f t="shared" ref="K81" si="46">AVERAGE(K68:K80)</f>
        <v>1843.1952662721899</v>
      </c>
      <c r="L81" s="287">
        <f t="shared" ref="L81" si="47">AVERAGE(L68:L80)</f>
        <v>-1.5995965702535902E-2</v>
      </c>
      <c r="M81" s="386">
        <f>'2_EAU'!H82</f>
        <v>0.12657438583364511</v>
      </c>
      <c r="N81" s="386">
        <f>'2_EAU'!I82</f>
        <v>0.14049756827534599</v>
      </c>
      <c r="O81" s="287" t="e">
        <f t="shared" ref="O81" si="48">AVERAGE(O68:O80)</f>
        <v>#DIV/0!</v>
      </c>
    </row>
    <row r="82" spans="1:15" ht="13.5" thickBot="1" x14ac:dyDescent="0.3"/>
    <row r="83" spans="1:15" s="4" customFormat="1" ht="38.25" x14ac:dyDescent="0.25">
      <c r="A83" s="32"/>
      <c r="B83" s="145" t="s">
        <v>140</v>
      </c>
      <c r="C83" s="145" t="str">
        <f t="shared" ref="C83:L83" si="49">C31</f>
        <v>ECONOMIE GLOBALE</v>
      </c>
      <c r="D83" s="262" t="str">
        <f t="shared" si="49"/>
        <v>CHAUFFAGE corrigé - S23</v>
      </c>
      <c r="E83" s="263" t="str">
        <f t="shared" si="49"/>
        <v>Ratio CHAUFFAGE réf - Juin</v>
      </c>
      <c r="F83" s="143" t="str">
        <f t="shared" si="49"/>
        <v>ECONOMIE CHAUFFAGE</v>
      </c>
      <c r="G83" s="255" t="str">
        <f t="shared" si="49"/>
        <v>ELECTRICTE - S23</v>
      </c>
      <c r="H83" s="256" t="str">
        <f t="shared" si="49"/>
        <v>Ratio ELECTRICTE réf - S23</v>
      </c>
      <c r="I83" s="143" t="str">
        <f t="shared" si="49"/>
        <v>ECONOMIE ELECTRICTE</v>
      </c>
      <c r="J83" s="258" t="str">
        <f t="shared" si="49"/>
        <v>EAU - S23</v>
      </c>
      <c r="K83" s="259" t="str">
        <f t="shared" si="49"/>
        <v>Ratio EAU réf - S23</v>
      </c>
      <c r="L83" s="143" t="str">
        <f t="shared" si="49"/>
        <v>ECONOMIE EAU</v>
      </c>
      <c r="M83" s="396" t="str">
        <f t="shared" ref="M83:O83" si="50">M31</f>
        <v>ECS - S23</v>
      </c>
      <c r="N83" s="390" t="str">
        <f t="shared" si="50"/>
        <v>Ratio ECS réf - S23</v>
      </c>
      <c r="O83" s="143" t="str">
        <f t="shared" si="50"/>
        <v>ECONOMIE ECS</v>
      </c>
    </row>
    <row r="84" spans="1:15" s="4" customFormat="1" ht="26.25" thickBot="1" x14ac:dyDescent="0.3">
      <c r="A84" s="33"/>
      <c r="B84" s="150"/>
      <c r="C84" s="146" t="str">
        <f>C32</f>
        <v>%</v>
      </c>
      <c r="D84" s="264" t="str">
        <f t="shared" ref="D84:L84" si="51">D32</f>
        <v>kWh PCI / m²</v>
      </c>
      <c r="E84" s="391" t="str">
        <f t="shared" si="51"/>
        <v>kWh PCI / m²</v>
      </c>
      <c r="F84" s="144" t="str">
        <f t="shared" si="51"/>
        <v>%</v>
      </c>
      <c r="G84" s="257" t="str">
        <f t="shared" si="51"/>
        <v>kWh / lgt</v>
      </c>
      <c r="H84" s="392" t="str">
        <f t="shared" si="51"/>
        <v>kWh / lgt</v>
      </c>
      <c r="I84" s="144" t="str">
        <f t="shared" si="51"/>
        <v>%</v>
      </c>
      <c r="J84" s="260" t="str">
        <f t="shared" si="51"/>
        <v>litres / lgt</v>
      </c>
      <c r="K84" s="393" t="str">
        <f t="shared" si="51"/>
        <v>litres / lgt</v>
      </c>
      <c r="L84" s="144" t="str">
        <f t="shared" si="51"/>
        <v>%</v>
      </c>
      <c r="M84" s="400" t="str">
        <f t="shared" ref="M84:O84" si="52">M32</f>
        <v>kWh / m²</v>
      </c>
      <c r="N84" s="401" t="str">
        <f t="shared" si="52"/>
        <v>kWh / m²</v>
      </c>
      <c r="O84" s="402" t="str">
        <f t="shared" si="52"/>
        <v>%</v>
      </c>
    </row>
    <row r="85" spans="1:15" x14ac:dyDescent="0.25">
      <c r="B85" s="151" t="s">
        <v>136</v>
      </c>
      <c r="C85" s="147" t="e">
        <f>MAX(C33:C45,C47:C59,C61:C73,C75:C80)</f>
        <v>#DIV/0!</v>
      </c>
      <c r="D85" s="265" t="e">
        <f t="shared" ref="D85:L85" si="53">MAX(D33:D81)</f>
        <v>#DIV/0!</v>
      </c>
      <c r="E85" s="266" t="e">
        <f t="shared" si="53"/>
        <v>#DIV/0!</v>
      </c>
      <c r="F85" s="140" t="e">
        <f t="shared" si="53"/>
        <v>#DIV/0!</v>
      </c>
      <c r="G85" s="267">
        <f t="shared" si="53"/>
        <v>113.20000000000027</v>
      </c>
      <c r="H85" s="268">
        <f t="shared" si="53"/>
        <v>120.29999999999973</v>
      </c>
      <c r="I85" s="140">
        <f t="shared" si="53"/>
        <v>0.56534090909091095</v>
      </c>
      <c r="J85" s="278">
        <f t="shared" si="53"/>
        <v>4700.0000000000027</v>
      </c>
      <c r="K85" s="279">
        <f t="shared" si="53"/>
        <v>5299.9999999999973</v>
      </c>
      <c r="L85" s="140" t="e">
        <f t="shared" si="53"/>
        <v>#DIV/0!</v>
      </c>
      <c r="M85" s="397">
        <f t="shared" ref="M85:O85" si="54">MAX(M33:M81)</f>
        <v>1.3232592592592609</v>
      </c>
      <c r="N85" s="398">
        <f t="shared" si="54"/>
        <v>1.5638518518518527</v>
      </c>
      <c r="O85" s="399" t="e">
        <f t="shared" si="54"/>
        <v>#DIV/0!</v>
      </c>
    </row>
    <row r="86" spans="1:15" x14ac:dyDescent="0.25">
      <c r="B86" s="152" t="s">
        <v>139</v>
      </c>
      <c r="C86" s="148" t="e">
        <f t="shared" ref="C86:L86" si="55">AVERAGE(C33:C45,C47:C59,C61:C73,C75:C80)</f>
        <v>#DIV/0!</v>
      </c>
      <c r="D86" s="269" t="e">
        <f t="shared" si="55"/>
        <v>#DIV/0!</v>
      </c>
      <c r="E86" s="235" t="e">
        <f t="shared" si="55"/>
        <v>#DIV/0!</v>
      </c>
      <c r="F86" s="141" t="e">
        <f t="shared" si="55"/>
        <v>#DIV/0!</v>
      </c>
      <c r="G86" s="270">
        <f t="shared" si="55"/>
        <v>40.451111111111096</v>
      </c>
      <c r="H86" s="234">
        <f t="shared" si="55"/>
        <v>42.148888888888862</v>
      </c>
      <c r="I86" s="141">
        <f t="shared" si="55"/>
        <v>-0.11061400777788197</v>
      </c>
      <c r="J86" s="280">
        <f t="shared" si="55"/>
        <v>1813.3333333333339</v>
      </c>
      <c r="K86" s="230">
        <f t="shared" si="55"/>
        <v>1851.1111111111104</v>
      </c>
      <c r="L86" s="141" t="e">
        <f t="shared" si="55"/>
        <v>#DIV/0!</v>
      </c>
      <c r="M86" s="388">
        <f t="shared" ref="M86:O86" si="56">AVERAGE(M33:M45,M47:M59,M61:M73,M75:M80)</f>
        <v>0.34589634142162606</v>
      </c>
      <c r="N86" s="389">
        <f t="shared" si="56"/>
        <v>0.40667047284045943</v>
      </c>
      <c r="O86" s="141" t="e">
        <f t="shared" si="56"/>
        <v>#DIV/0!</v>
      </c>
    </row>
    <row r="87" spans="1:15" x14ac:dyDescent="0.25">
      <c r="B87" s="152" t="s">
        <v>138</v>
      </c>
      <c r="C87" s="148" t="e">
        <f>MEDIAN(C75:C80,C61:C73,C47:C59,C33:C45)</f>
        <v>#DIV/0!</v>
      </c>
      <c r="D87" s="269" t="e">
        <f t="shared" ref="D87:L87" si="57">MEDIAN(D75:D80,D61:D73,D47:D59,D33:D45)</f>
        <v>#DIV/0!</v>
      </c>
      <c r="E87" s="235" t="e">
        <f t="shared" si="57"/>
        <v>#DIV/0!</v>
      </c>
      <c r="F87" s="141" t="e">
        <f t="shared" si="57"/>
        <v>#DIV/0!</v>
      </c>
      <c r="G87" s="270">
        <f t="shared" si="57"/>
        <v>35.600000000000136</v>
      </c>
      <c r="H87" s="234">
        <f t="shared" si="57"/>
        <v>36.200000000000045</v>
      </c>
      <c r="I87" s="141">
        <f t="shared" si="57"/>
        <v>1.4198782961461381E-2</v>
      </c>
      <c r="J87" s="280">
        <f t="shared" si="57"/>
        <v>1600.0000000000014</v>
      </c>
      <c r="K87" s="230">
        <f t="shared" si="57"/>
        <v>1700.0000000000027</v>
      </c>
      <c r="L87" s="141" t="e">
        <f t="shared" si="57"/>
        <v>#DIV/0!</v>
      </c>
      <c r="M87" s="388">
        <f t="shared" ref="M87:O87" si="58">MEDIAN(M75:M80,M61:M73,M47:M59,M33:M45)</f>
        <v>0.28641975308641998</v>
      </c>
      <c r="N87" s="389">
        <f t="shared" si="58"/>
        <v>0.33415637860082281</v>
      </c>
      <c r="O87" s="141" t="e">
        <f t="shared" si="58"/>
        <v>#DIV/0!</v>
      </c>
    </row>
    <row r="88" spans="1:15" ht="13.5" thickBot="1" x14ac:dyDescent="0.3">
      <c r="B88" s="153" t="s">
        <v>137</v>
      </c>
      <c r="C88" s="149" t="e">
        <f>MIN(C75:C80,C61:C73,C47:C59,C33:C45)</f>
        <v>#DIV/0!</v>
      </c>
      <c r="D88" s="271" t="e">
        <f t="shared" ref="D88:L88" si="59">MIN(D33:D81)</f>
        <v>#DIV/0!</v>
      </c>
      <c r="E88" s="272" t="e">
        <f t="shared" si="59"/>
        <v>#DIV/0!</v>
      </c>
      <c r="F88" s="142" t="e">
        <f t="shared" si="59"/>
        <v>#DIV/0!</v>
      </c>
      <c r="G88" s="273">
        <f t="shared" si="59"/>
        <v>0.39999999999999991</v>
      </c>
      <c r="H88" s="274">
        <f t="shared" si="59"/>
        <v>0.10000000000000009</v>
      </c>
      <c r="I88" s="142">
        <f t="shared" si="59"/>
        <v>-3.2884615384614921</v>
      </c>
      <c r="J88" s="281">
        <f t="shared" si="59"/>
        <v>199.99999999999929</v>
      </c>
      <c r="K88" s="282">
        <f t="shared" si="59"/>
        <v>0</v>
      </c>
      <c r="L88" s="142" t="e">
        <f t="shared" si="59"/>
        <v>#DIV/0!</v>
      </c>
      <c r="M88" s="394">
        <f t="shared" ref="M88:O88" si="60">MIN(M33:M81)</f>
        <v>-0.35243055555555552</v>
      </c>
      <c r="N88" s="395">
        <f t="shared" si="60"/>
        <v>-0.21145833336615596</v>
      </c>
      <c r="O88" s="142" t="e">
        <f t="shared" si="60"/>
        <v>#DIV/0!</v>
      </c>
    </row>
    <row r="125" spans="18:18" x14ac:dyDescent="0.25">
      <c r="R125" s="157"/>
    </row>
    <row r="126" spans="18:18" x14ac:dyDescent="0.25">
      <c r="R126" s="157"/>
    </row>
    <row r="127" spans="18:18" x14ac:dyDescent="0.25">
      <c r="R127" s="157"/>
    </row>
    <row r="128" spans="18:18" x14ac:dyDescent="0.25">
      <c r="R128" s="157"/>
    </row>
    <row r="129" spans="18:18" x14ac:dyDescent="0.25">
      <c r="R129" s="157"/>
    </row>
    <row r="130" spans="18:18" x14ac:dyDescent="0.25">
      <c r="R130" s="157"/>
    </row>
    <row r="131" spans="18:18" x14ac:dyDescent="0.25">
      <c r="R131" s="157"/>
    </row>
    <row r="132" spans="18:18" x14ac:dyDescent="0.25">
      <c r="R132" s="157"/>
    </row>
    <row r="133" spans="18:18" x14ac:dyDescent="0.25">
      <c r="R133" s="157"/>
    </row>
    <row r="134" spans="18:18" x14ac:dyDescent="0.25">
      <c r="R134" s="157"/>
    </row>
    <row r="135" spans="18:18" x14ac:dyDescent="0.25">
      <c r="R135" s="157"/>
    </row>
    <row r="136" spans="18:18" x14ac:dyDescent="0.25">
      <c r="R136" s="157"/>
    </row>
    <row r="137" spans="18:18" x14ac:dyDescent="0.25">
      <c r="R137" s="157"/>
    </row>
    <row r="138" spans="18:18" x14ac:dyDescent="0.25">
      <c r="R138" s="157"/>
    </row>
    <row r="139" spans="18:18" x14ac:dyDescent="0.25">
      <c r="R139" s="157"/>
    </row>
    <row r="140" spans="18:18" x14ac:dyDescent="0.25">
      <c r="R140" s="157"/>
    </row>
    <row r="143" spans="18:18" x14ac:dyDescent="0.25">
      <c r="R143" s="32"/>
    </row>
    <row r="144" spans="18:18" x14ac:dyDescent="0.25">
      <c r="R144" s="33"/>
    </row>
  </sheetData>
  <mergeCells count="21">
    <mergeCell ref="D21:E21"/>
    <mergeCell ref="D22:E22"/>
    <mergeCell ref="D23:E23"/>
    <mergeCell ref="D24:E24"/>
    <mergeCell ref="D25:E25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A1:D1"/>
    <mergeCell ref="E4:F4"/>
    <mergeCell ref="E5:F5"/>
    <mergeCell ref="E6:F6"/>
    <mergeCell ref="E7:F7"/>
  </mergeCell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58" orientation="landscape" r:id="rId2"/>
  <headerFooter>
    <oddFooter>&amp;L&amp;F&amp;CSOLAIR&amp;R&amp;A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3"/>
  <sheetViews>
    <sheetView zoomScaleNormal="100" workbookViewId="0">
      <selection activeCell="T46" sqref="T46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4" width="12.7109375" style="18" customWidth="1"/>
    <col min="5" max="19" width="12.7109375" style="18" hidden="1" customWidth="1"/>
    <col min="20" max="55" width="12.7109375" style="18" customWidth="1"/>
    <col min="56" max="16384" width="15.7109375" style="18"/>
  </cols>
  <sheetData>
    <row r="1" spans="1:55" ht="30" customHeight="1" thickBot="1" x14ac:dyDescent="0.3">
      <c r="A1" s="465" t="str">
        <f>CONCATENATE("ENCERTICUS - ",B4)</f>
        <v>ENCERTICUS - SUIVI CONSO</v>
      </c>
      <c r="B1" s="466"/>
      <c r="C1" s="466"/>
      <c r="D1" s="467"/>
      <c r="E1" s="25"/>
      <c r="F1" s="185" t="s">
        <v>73</v>
      </c>
      <c r="G1" s="355" t="s">
        <v>74</v>
      </c>
      <c r="H1" s="25"/>
      <c r="I1" s="25"/>
    </row>
    <row r="2" spans="1:55" ht="13.5" thickBot="1" x14ac:dyDescent="0.3">
      <c r="E2" s="28"/>
      <c r="F2" s="13"/>
      <c r="G2" s="102"/>
      <c r="H2" s="13"/>
      <c r="I2" s="25"/>
    </row>
    <row r="3" spans="1:55" x14ac:dyDescent="0.25">
      <c r="A3" s="316" t="s">
        <v>9</v>
      </c>
      <c r="B3" s="306" t="s">
        <v>10</v>
      </c>
    </row>
    <row r="4" spans="1:55" ht="26.25" thickBot="1" x14ac:dyDescent="0.3">
      <c r="A4" s="353" t="s">
        <v>11</v>
      </c>
      <c r="B4" s="354" t="s">
        <v>247</v>
      </c>
      <c r="C4" s="136" t="s">
        <v>134</v>
      </c>
    </row>
    <row r="5" spans="1:55" ht="12.75" customHeight="1" x14ac:dyDescent="0.25">
      <c r="A5" s="4"/>
      <c r="B5" s="24"/>
      <c r="C5" s="26"/>
    </row>
    <row r="6" spans="1:55" x14ac:dyDescent="0.25"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</row>
    <row r="7" spans="1:55" x14ac:dyDescent="0.25">
      <c r="A7" s="187"/>
      <c r="B7" s="346" t="s">
        <v>250</v>
      </c>
      <c r="C7" s="154" t="s">
        <v>241</v>
      </c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</row>
    <row r="8" spans="1:55" x14ac:dyDescent="0.25">
      <c r="A8" s="187"/>
      <c r="B8" s="169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P8" s="165"/>
    </row>
    <row r="9" spans="1:55" s="19" customFormat="1" x14ac:dyDescent="0.25">
      <c r="A9" s="191"/>
      <c r="B9" s="347" t="s">
        <v>249</v>
      </c>
      <c r="C9" s="351" t="s">
        <v>188</v>
      </c>
      <c r="D9" s="351" t="s">
        <v>189</v>
      </c>
      <c r="E9" s="351" t="s">
        <v>190</v>
      </c>
      <c r="F9" s="351" t="s">
        <v>191</v>
      </c>
      <c r="G9" s="351" t="s">
        <v>192</v>
      </c>
      <c r="H9" s="351" t="s">
        <v>193</v>
      </c>
      <c r="I9" s="351" t="s">
        <v>194</v>
      </c>
      <c r="J9" s="351" t="s">
        <v>195</v>
      </c>
      <c r="K9" s="351" t="s">
        <v>196</v>
      </c>
      <c r="L9" s="351" t="s">
        <v>197</v>
      </c>
      <c r="M9" s="351" t="s">
        <v>198</v>
      </c>
      <c r="N9" s="351" t="s">
        <v>199</v>
      </c>
      <c r="O9" s="351" t="s">
        <v>200</v>
      </c>
      <c r="P9" s="351" t="s">
        <v>201</v>
      </c>
      <c r="Q9" s="351" t="s">
        <v>202</v>
      </c>
      <c r="R9" s="351" t="s">
        <v>203</v>
      </c>
      <c r="S9" s="351" t="s">
        <v>204</v>
      </c>
      <c r="T9" s="351" t="s">
        <v>205</v>
      </c>
      <c r="U9" s="351" t="s">
        <v>206</v>
      </c>
      <c r="V9" s="351" t="s">
        <v>207</v>
      </c>
      <c r="W9" s="351" t="s">
        <v>208</v>
      </c>
      <c r="X9" s="351" t="s">
        <v>209</v>
      </c>
      <c r="Y9" s="351" t="s">
        <v>210</v>
      </c>
      <c r="Z9" s="351" t="s">
        <v>211</v>
      </c>
      <c r="AA9" s="351" t="s">
        <v>212</v>
      </c>
      <c r="AB9" s="351" t="s">
        <v>213</v>
      </c>
      <c r="AC9" s="351" t="s">
        <v>214</v>
      </c>
      <c r="AD9" s="351" t="s">
        <v>215</v>
      </c>
      <c r="AE9" s="351" t="s">
        <v>216</v>
      </c>
      <c r="AF9" s="351" t="s">
        <v>217</v>
      </c>
      <c r="AG9" s="351" t="s">
        <v>218</v>
      </c>
      <c r="AH9" s="351" t="s">
        <v>219</v>
      </c>
      <c r="AI9" s="351" t="s">
        <v>220</v>
      </c>
      <c r="AJ9" s="351" t="s">
        <v>221</v>
      </c>
      <c r="AK9" s="351" t="s">
        <v>222</v>
      </c>
      <c r="AL9" s="351" t="s">
        <v>223</v>
      </c>
      <c r="AM9" s="351" t="s">
        <v>224</v>
      </c>
      <c r="AN9" s="351" t="s">
        <v>225</v>
      </c>
      <c r="AO9" s="351" t="s">
        <v>226</v>
      </c>
      <c r="AP9" s="351" t="s">
        <v>227</v>
      </c>
      <c r="AQ9" s="351" t="s">
        <v>228</v>
      </c>
      <c r="AR9" s="351" t="s">
        <v>229</v>
      </c>
      <c r="AS9" s="351" t="s">
        <v>230</v>
      </c>
      <c r="AT9" s="351" t="s">
        <v>231</v>
      </c>
      <c r="AU9" s="351" t="s">
        <v>232</v>
      </c>
      <c r="AV9" s="351" t="s">
        <v>233</v>
      </c>
      <c r="AW9" s="351" t="s">
        <v>234</v>
      </c>
      <c r="AX9" s="351" t="s">
        <v>235</v>
      </c>
      <c r="AY9" s="351" t="s">
        <v>236</v>
      </c>
      <c r="AZ9" s="351" t="s">
        <v>237</v>
      </c>
      <c r="BA9" s="351" t="s">
        <v>238</v>
      </c>
      <c r="BB9" s="351" t="s">
        <v>239</v>
      </c>
      <c r="BC9" s="351" t="s">
        <v>240</v>
      </c>
    </row>
    <row r="10" spans="1:55" hidden="1" x14ac:dyDescent="0.25">
      <c r="A10" s="186">
        <v>1</v>
      </c>
      <c r="B10" s="117" t="str">
        <f>'0_ENTREE'!B33</f>
        <v>GC - 274 - T4 - 83m²</v>
      </c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>
        <v>0.19</v>
      </c>
      <c r="W10" s="300">
        <v>0.23</v>
      </c>
      <c r="X10" s="300">
        <v>0.12</v>
      </c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0"/>
      <c r="AX10" s="300"/>
      <c r="AY10" s="300"/>
      <c r="AZ10" s="300"/>
      <c r="BA10" s="300"/>
      <c r="BB10" s="300"/>
      <c r="BC10" s="300"/>
    </row>
    <row r="11" spans="1:55" hidden="1" x14ac:dyDescent="0.25">
      <c r="A11" s="186">
        <v>2</v>
      </c>
      <c r="B11" s="117" t="str">
        <f>'0_ENTREE'!B34</f>
        <v>GC - 277 - T2 - 53m²</v>
      </c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>
        <v>0.93</v>
      </c>
      <c r="W11" s="300">
        <v>1.72</v>
      </c>
      <c r="X11" s="300">
        <v>1.46</v>
      </c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  <c r="AI11" s="300"/>
      <c r="AJ11" s="300"/>
      <c r="AK11" s="300"/>
      <c r="AL11" s="300"/>
      <c r="AM11" s="300"/>
      <c r="AN11" s="300"/>
      <c r="AO11" s="300"/>
      <c r="AP11" s="300"/>
      <c r="AQ11" s="300"/>
      <c r="AR11" s="300"/>
      <c r="AS11" s="300"/>
      <c r="AT11" s="300"/>
      <c r="AU11" s="300"/>
      <c r="AV11" s="300"/>
      <c r="AW11" s="300"/>
      <c r="AX11" s="300"/>
      <c r="AY11" s="300"/>
      <c r="AZ11" s="300"/>
      <c r="BA11" s="300"/>
      <c r="BB11" s="300"/>
      <c r="BC11" s="300"/>
    </row>
    <row r="12" spans="1:55" hidden="1" x14ac:dyDescent="0.25">
      <c r="A12" s="186">
        <v>3</v>
      </c>
      <c r="B12" s="117" t="str">
        <f>'0_ENTREE'!B35</f>
        <v>GC - 281 - T3 - 71m²</v>
      </c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>
        <v>-0.18</v>
      </c>
      <c r="W12" s="300">
        <v>-0.12</v>
      </c>
      <c r="X12" s="300">
        <v>-0.19</v>
      </c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0"/>
      <c r="AZ12" s="300"/>
      <c r="BA12" s="300"/>
      <c r="BB12" s="300"/>
      <c r="BC12" s="300"/>
    </row>
    <row r="13" spans="1:55" hidden="1" x14ac:dyDescent="0.25">
      <c r="A13" s="186">
        <v>4</v>
      </c>
      <c r="B13" s="403" t="str">
        <f>'0_ENTREE'!B36</f>
        <v>GC - 283 - T3 - 70m²</v>
      </c>
      <c r="C13" s="404"/>
      <c r="D13" s="404"/>
      <c r="E13" s="404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>
        <v>0.03</v>
      </c>
      <c r="W13" s="300">
        <v>-0.01</v>
      </c>
      <c r="X13" s="300">
        <v>-0.04</v>
      </c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</row>
    <row r="14" spans="1:55" hidden="1" x14ac:dyDescent="0.25">
      <c r="A14" s="186">
        <v>5</v>
      </c>
      <c r="B14" s="407" t="str">
        <f>'0_ENTREE'!B37</f>
        <v>GC - 285 - T3 - 64m²</v>
      </c>
      <c r="C14" s="408"/>
      <c r="D14" s="408"/>
      <c r="E14" s="408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>
        <v>1</v>
      </c>
      <c r="W14" s="300">
        <v>0.96</v>
      </c>
      <c r="X14" s="300">
        <v>0.87</v>
      </c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  <c r="AI14" s="300"/>
      <c r="AJ14" s="300"/>
      <c r="AK14" s="300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0"/>
      <c r="AX14" s="300"/>
      <c r="AY14" s="300"/>
      <c r="AZ14" s="300"/>
      <c r="BA14" s="300"/>
      <c r="BB14" s="300"/>
      <c r="BC14" s="300"/>
    </row>
    <row r="15" spans="1:55" hidden="1" x14ac:dyDescent="0.25">
      <c r="A15" s="186">
        <v>6</v>
      </c>
      <c r="B15" s="407" t="str">
        <f>'0_ENTREE'!B38</f>
        <v>GC - 286 - T3 - 68m²</v>
      </c>
      <c r="C15" s="408"/>
      <c r="D15" s="408"/>
      <c r="E15" s="408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>
        <v>1.02</v>
      </c>
      <c r="W15" s="300">
        <v>0.17</v>
      </c>
      <c r="X15" s="300">
        <v>0.19</v>
      </c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  <c r="AI15" s="300"/>
      <c r="AJ15" s="300"/>
      <c r="AK15" s="300"/>
      <c r="AL15" s="300"/>
      <c r="AM15" s="300"/>
      <c r="AN15" s="300"/>
      <c r="AO15" s="300"/>
      <c r="AP15" s="300"/>
      <c r="AQ15" s="300"/>
      <c r="AR15" s="300"/>
      <c r="AS15" s="300"/>
      <c r="AT15" s="300"/>
      <c r="AU15" s="300"/>
      <c r="AV15" s="300"/>
      <c r="AW15" s="300"/>
      <c r="AX15" s="300"/>
      <c r="AY15" s="300"/>
      <c r="AZ15" s="300"/>
      <c r="BA15" s="300"/>
      <c r="BB15" s="300"/>
      <c r="BC15" s="300"/>
    </row>
    <row r="16" spans="1:55" hidden="1" x14ac:dyDescent="0.25">
      <c r="A16" s="186">
        <v>7</v>
      </c>
      <c r="B16" s="407" t="str">
        <f>'0_ENTREE'!B39</f>
        <v>GC - 289 - T3 - 76m²</v>
      </c>
      <c r="C16" s="408"/>
      <c r="D16" s="408"/>
      <c r="E16" s="408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>
        <v>-0.06</v>
      </c>
      <c r="W16" s="300">
        <v>0.09</v>
      </c>
      <c r="X16" s="300">
        <v>-0.09</v>
      </c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  <c r="AZ16" s="300"/>
      <c r="BA16" s="300"/>
      <c r="BB16" s="300"/>
      <c r="BC16" s="300"/>
    </row>
    <row r="17" spans="1:55" hidden="1" x14ac:dyDescent="0.25">
      <c r="A17" s="186">
        <v>8</v>
      </c>
      <c r="B17" s="407" t="str">
        <f>'0_ENTREE'!B40</f>
        <v>GC - 303 - T4 - 81m²</v>
      </c>
      <c r="C17" s="408"/>
      <c r="D17" s="408"/>
      <c r="E17" s="408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>
        <v>0.19</v>
      </c>
      <c r="W17" s="300">
        <v>-0.08</v>
      </c>
      <c r="X17" s="300">
        <v>0.33</v>
      </c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  <c r="AI17" s="300"/>
      <c r="AJ17" s="300"/>
      <c r="AK17" s="300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0"/>
      <c r="AX17" s="300"/>
      <c r="AY17" s="300"/>
      <c r="AZ17" s="300"/>
      <c r="BA17" s="300"/>
      <c r="BB17" s="300"/>
      <c r="BC17" s="300"/>
    </row>
    <row r="18" spans="1:55" hidden="1" x14ac:dyDescent="0.25">
      <c r="A18" s="186">
        <v>9</v>
      </c>
      <c r="B18" s="407" t="str">
        <f>'0_ENTREE'!B41</f>
        <v>GC - 304 - T3 - 66m²</v>
      </c>
      <c r="C18" s="408"/>
      <c r="D18" s="408"/>
      <c r="E18" s="408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>
        <v>0.23</v>
      </c>
      <c r="W18" s="300">
        <v>0</v>
      </c>
      <c r="X18" s="300">
        <v>0.14000000000000001</v>
      </c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S18" s="300"/>
      <c r="AT18" s="300"/>
      <c r="AU18" s="300"/>
      <c r="AV18" s="300"/>
      <c r="AW18" s="300"/>
      <c r="AX18" s="300"/>
      <c r="AY18" s="300"/>
      <c r="AZ18" s="300"/>
      <c r="BA18" s="300"/>
      <c r="BB18" s="300"/>
      <c r="BC18" s="300"/>
    </row>
    <row r="19" spans="1:55" hidden="1" x14ac:dyDescent="0.25">
      <c r="A19" s="186">
        <v>10</v>
      </c>
      <c r="B19" s="407" t="str">
        <f>'0_ENTREE'!B42</f>
        <v>GC - 306 - T3 - 66m²</v>
      </c>
      <c r="C19" s="408"/>
      <c r="D19" s="408"/>
      <c r="E19" s="408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>
        <v>0.08</v>
      </c>
      <c r="W19" s="300">
        <v>-0.17</v>
      </c>
      <c r="X19" s="300">
        <v>0.01</v>
      </c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  <c r="AI19" s="300"/>
      <c r="AJ19" s="300"/>
      <c r="AK19" s="300"/>
      <c r="AL19" s="300"/>
      <c r="AM19" s="300"/>
      <c r="AN19" s="300"/>
      <c r="AO19" s="300"/>
      <c r="AP19" s="300"/>
      <c r="AQ19" s="300"/>
      <c r="AR19" s="300"/>
      <c r="AS19" s="300"/>
      <c r="AT19" s="300"/>
      <c r="AU19" s="300"/>
      <c r="AV19" s="300"/>
      <c r="AW19" s="300"/>
      <c r="AX19" s="300"/>
      <c r="AY19" s="300"/>
      <c r="AZ19" s="300"/>
      <c r="BA19" s="300"/>
      <c r="BB19" s="300"/>
      <c r="BC19" s="300"/>
    </row>
    <row r="20" spans="1:55" hidden="1" x14ac:dyDescent="0.25">
      <c r="A20" s="186">
        <v>11</v>
      </c>
      <c r="B20" s="117" t="str">
        <f>'0_ENTREE'!B43</f>
        <v>GC - 307 - T3 - 66m²</v>
      </c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>
        <v>1.17</v>
      </c>
      <c r="W20" s="300">
        <v>1.34</v>
      </c>
      <c r="X20" s="300">
        <v>0.99</v>
      </c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  <c r="AI20" s="300"/>
      <c r="AJ20" s="300"/>
      <c r="AK20" s="300"/>
      <c r="AL20" s="300"/>
      <c r="AM20" s="300"/>
      <c r="AN20" s="300"/>
      <c r="AO20" s="300"/>
      <c r="AP20" s="300"/>
      <c r="AQ20" s="300"/>
      <c r="AR20" s="300"/>
      <c r="AS20" s="300"/>
      <c r="AT20" s="300"/>
      <c r="AU20" s="300"/>
      <c r="AV20" s="300"/>
      <c r="AW20" s="300"/>
      <c r="AX20" s="300"/>
      <c r="AY20" s="300"/>
      <c r="AZ20" s="300"/>
      <c r="BA20" s="300"/>
      <c r="BB20" s="300"/>
      <c r="BC20" s="300"/>
    </row>
    <row r="21" spans="1:55" hidden="1" x14ac:dyDescent="0.25">
      <c r="A21" s="186">
        <v>12</v>
      </c>
      <c r="B21" s="117" t="str">
        <f>'0_ENTREE'!B44</f>
        <v>GC - 308 - T3 - 66m²</v>
      </c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>
        <v>-0.01</v>
      </c>
      <c r="W21" s="300">
        <v>0.03</v>
      </c>
      <c r="X21" s="300">
        <v>7.0000000000000007E-2</v>
      </c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300"/>
      <c r="AW21" s="300"/>
      <c r="AX21" s="300"/>
      <c r="AY21" s="300"/>
      <c r="AZ21" s="300"/>
      <c r="BA21" s="300"/>
      <c r="BB21" s="300"/>
      <c r="BC21" s="300"/>
    </row>
    <row r="22" spans="1:55" hidden="1" x14ac:dyDescent="0.25">
      <c r="A22" s="186">
        <v>13</v>
      </c>
      <c r="B22" s="117" t="str">
        <f>'0_ENTREE'!B45</f>
        <v>GC - 314 - T4 - 75m²</v>
      </c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>
        <v>0.28000000000000003</v>
      </c>
      <c r="W22" s="300">
        <v>-0.13</v>
      </c>
      <c r="X22" s="300">
        <v>0.27</v>
      </c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  <c r="AI22" s="300"/>
      <c r="AJ22" s="300"/>
      <c r="AK22" s="300"/>
      <c r="AL22" s="300"/>
      <c r="AM22" s="300"/>
      <c r="AN22" s="300"/>
      <c r="AO22" s="300"/>
      <c r="AP22" s="300"/>
      <c r="AQ22" s="300"/>
      <c r="AR22" s="300"/>
      <c r="AS22" s="300"/>
      <c r="AT22" s="300"/>
      <c r="AU22" s="300"/>
      <c r="AV22" s="300"/>
      <c r="AW22" s="300"/>
      <c r="AX22" s="300"/>
      <c r="AY22" s="300"/>
      <c r="AZ22" s="300"/>
      <c r="BA22" s="300"/>
      <c r="BB22" s="300"/>
      <c r="BC22" s="300"/>
    </row>
    <row r="23" spans="1:55" hidden="1" x14ac:dyDescent="0.25">
      <c r="A23" s="186">
        <v>14</v>
      </c>
      <c r="B23" s="347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>
        <v>0.38</v>
      </c>
      <c r="W23" s="301">
        <v>0.31</v>
      </c>
      <c r="X23" s="301">
        <v>0.32</v>
      </c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  <c r="AL23" s="301"/>
      <c r="AM23" s="301"/>
      <c r="AN23" s="301"/>
      <c r="AO23" s="301"/>
      <c r="AP23" s="301"/>
      <c r="AQ23" s="301"/>
      <c r="AR23" s="301"/>
      <c r="AS23" s="301"/>
      <c r="AT23" s="301"/>
      <c r="AU23" s="301"/>
      <c r="AV23" s="301"/>
      <c r="AW23" s="301"/>
      <c r="AX23" s="301"/>
      <c r="AY23" s="301"/>
      <c r="AZ23" s="301"/>
      <c r="BA23" s="301"/>
      <c r="BB23" s="301"/>
      <c r="BC23" s="301"/>
    </row>
    <row r="24" spans="1:55" hidden="1" x14ac:dyDescent="0.25">
      <c r="A24" s="186">
        <v>15</v>
      </c>
      <c r="B24" s="117" t="str">
        <f>'0_ENTREE'!B47</f>
        <v>GE2.1 - 275 - T3 - 74m²</v>
      </c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>
        <v>-7.0000000000000007E-2</v>
      </c>
      <c r="W24" s="300">
        <v>0.01</v>
      </c>
      <c r="X24" s="300">
        <v>-0.13</v>
      </c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00"/>
      <c r="AS24" s="300"/>
      <c r="AT24" s="300"/>
      <c r="AU24" s="300"/>
      <c r="AV24" s="300"/>
      <c r="AW24" s="300"/>
      <c r="AX24" s="300"/>
      <c r="AY24" s="300"/>
      <c r="AZ24" s="300"/>
      <c r="BA24" s="300"/>
      <c r="BB24" s="300"/>
      <c r="BC24" s="300"/>
    </row>
    <row r="25" spans="1:55" hidden="1" x14ac:dyDescent="0.25">
      <c r="A25" s="186">
        <v>16</v>
      </c>
      <c r="B25" s="117" t="str">
        <f>'0_ENTREE'!B48</f>
        <v>GE2.1 - 278 - T2 - 57m²</v>
      </c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>
        <v>0.22</v>
      </c>
      <c r="W25" s="300">
        <v>-0.33</v>
      </c>
      <c r="X25" s="300">
        <v>0.34</v>
      </c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  <c r="AP25" s="300"/>
      <c r="AQ25" s="300"/>
      <c r="AR25" s="300"/>
      <c r="AS25" s="300"/>
      <c r="AT25" s="300"/>
      <c r="AU25" s="300"/>
      <c r="AV25" s="300"/>
      <c r="AW25" s="300"/>
      <c r="AX25" s="300"/>
      <c r="AY25" s="300"/>
      <c r="AZ25" s="300"/>
      <c r="BA25" s="300"/>
      <c r="BB25" s="300"/>
      <c r="BC25" s="300"/>
    </row>
    <row r="26" spans="1:55" hidden="1" x14ac:dyDescent="0.25">
      <c r="A26" s="186">
        <v>17</v>
      </c>
      <c r="B26" s="117" t="str">
        <f>'0_ENTREE'!B49</f>
        <v>GE2.1 - 280 - T3 - 66m²</v>
      </c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>
        <v>-0.1</v>
      </c>
      <c r="W26" s="300">
        <v>-0.28000000000000003</v>
      </c>
      <c r="X26" s="300">
        <v>-0.1</v>
      </c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00"/>
      <c r="AS26" s="300"/>
      <c r="AT26" s="300"/>
      <c r="AU26" s="300"/>
      <c r="AV26" s="300"/>
      <c r="AW26" s="300"/>
      <c r="AX26" s="300"/>
      <c r="AY26" s="300"/>
      <c r="AZ26" s="300"/>
      <c r="BA26" s="300"/>
      <c r="BB26" s="300"/>
      <c r="BC26" s="300"/>
    </row>
    <row r="27" spans="1:55" hidden="1" x14ac:dyDescent="0.25">
      <c r="A27" s="186">
        <v>18</v>
      </c>
      <c r="B27" s="117" t="str">
        <f>'0_ENTREE'!B50</f>
        <v>GE2.1 - 282 - T4 - 78m²</v>
      </c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>
        <v>0.19</v>
      </c>
      <c r="W27" s="300">
        <v>0.21</v>
      </c>
      <c r="X27" s="300">
        <v>0.15</v>
      </c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  <c r="AI27" s="300"/>
      <c r="AJ27" s="300"/>
      <c r="AK27" s="300"/>
      <c r="AL27" s="300"/>
      <c r="AM27" s="300"/>
      <c r="AN27" s="300"/>
      <c r="AO27" s="300"/>
      <c r="AP27" s="300"/>
      <c r="AQ27" s="300"/>
      <c r="AR27" s="300"/>
      <c r="AS27" s="300"/>
      <c r="AT27" s="300"/>
      <c r="AU27" s="300"/>
      <c r="AV27" s="300"/>
      <c r="AW27" s="300"/>
      <c r="AX27" s="300"/>
      <c r="AY27" s="300"/>
      <c r="AZ27" s="300"/>
      <c r="BA27" s="300"/>
      <c r="BB27" s="300"/>
      <c r="BC27" s="300"/>
    </row>
    <row r="28" spans="1:55" hidden="1" x14ac:dyDescent="0.25">
      <c r="A28" s="186">
        <v>19</v>
      </c>
      <c r="B28" s="117" t="str">
        <f>'0_ENTREE'!B51</f>
        <v>GE2.1 - 292 - T3 - 63m²</v>
      </c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0"/>
      <c r="R28" s="300"/>
      <c r="S28" s="300"/>
      <c r="T28" s="300"/>
      <c r="U28" s="300"/>
      <c r="V28" s="300">
        <v>0.62</v>
      </c>
      <c r="W28" s="300">
        <v>-0.06</v>
      </c>
      <c r="X28" s="300">
        <v>0.35</v>
      </c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  <c r="AI28" s="300"/>
      <c r="AJ28" s="300"/>
      <c r="AK28" s="300"/>
      <c r="AL28" s="300"/>
      <c r="AM28" s="300"/>
      <c r="AN28" s="300"/>
      <c r="AO28" s="300"/>
      <c r="AP28" s="300"/>
      <c r="AQ28" s="300"/>
      <c r="AR28" s="300"/>
      <c r="AS28" s="300"/>
      <c r="AT28" s="300"/>
      <c r="AU28" s="300"/>
      <c r="AV28" s="300"/>
      <c r="AW28" s="300"/>
      <c r="AX28" s="300"/>
      <c r="AY28" s="300"/>
      <c r="AZ28" s="300"/>
      <c r="BA28" s="300"/>
      <c r="BB28" s="300"/>
      <c r="BC28" s="300"/>
    </row>
    <row r="29" spans="1:55" hidden="1" x14ac:dyDescent="0.25">
      <c r="A29" s="186">
        <v>20</v>
      </c>
      <c r="B29" s="117" t="str">
        <f>'0_ENTREE'!B52</f>
        <v>GE2.1 - 293 - T3 - 63m²</v>
      </c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0"/>
      <c r="U29" s="300"/>
      <c r="V29" s="300">
        <v>0.17</v>
      </c>
      <c r="W29" s="300">
        <v>0.43</v>
      </c>
      <c r="X29" s="300">
        <v>0.06</v>
      </c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00"/>
      <c r="AS29" s="300"/>
      <c r="AT29" s="300"/>
      <c r="AU29" s="300"/>
      <c r="AV29" s="300"/>
      <c r="AW29" s="300"/>
      <c r="AX29" s="300"/>
      <c r="AY29" s="300"/>
      <c r="AZ29" s="300"/>
      <c r="BA29" s="300"/>
      <c r="BB29" s="300"/>
      <c r="BC29" s="300"/>
    </row>
    <row r="30" spans="1:55" hidden="1" x14ac:dyDescent="0.25">
      <c r="A30" s="186">
        <v>21</v>
      </c>
      <c r="B30" s="117" t="str">
        <f>'0_ENTREE'!B53</f>
        <v>GE2.1 - 295 - T3 - 63m²</v>
      </c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>
        <v>0.64</v>
      </c>
      <c r="W30" s="300">
        <v>0.66</v>
      </c>
      <c r="X30" s="300">
        <v>0.68</v>
      </c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  <c r="AI30" s="300"/>
      <c r="AJ30" s="300"/>
      <c r="AK30" s="300"/>
      <c r="AL30" s="300"/>
      <c r="AM30" s="300"/>
      <c r="AN30" s="300"/>
      <c r="AO30" s="300"/>
      <c r="AP30" s="300"/>
      <c r="AQ30" s="300"/>
      <c r="AR30" s="300"/>
      <c r="AS30" s="300"/>
      <c r="AT30" s="300"/>
      <c r="AU30" s="300"/>
      <c r="AV30" s="300"/>
      <c r="AW30" s="300"/>
      <c r="AX30" s="300"/>
      <c r="AY30" s="300"/>
      <c r="AZ30" s="300"/>
      <c r="BA30" s="300"/>
      <c r="BB30" s="300"/>
      <c r="BC30" s="300"/>
    </row>
    <row r="31" spans="1:55" hidden="1" x14ac:dyDescent="0.25">
      <c r="A31" s="186">
        <v>22</v>
      </c>
      <c r="B31" s="117" t="str">
        <f>'0_ENTREE'!B54</f>
        <v>GE2.1 - 296 - T4 - 78m²</v>
      </c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0"/>
      <c r="R31" s="300"/>
      <c r="S31" s="300"/>
      <c r="T31" s="300"/>
      <c r="U31" s="300"/>
      <c r="V31" s="300">
        <v>-0.01</v>
      </c>
      <c r="W31" s="300">
        <v>0.15</v>
      </c>
      <c r="X31" s="300">
        <v>-0.06</v>
      </c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00"/>
      <c r="AS31" s="300"/>
      <c r="AT31" s="300"/>
      <c r="AU31" s="300"/>
      <c r="AV31" s="300"/>
      <c r="AW31" s="300"/>
      <c r="AX31" s="300"/>
      <c r="AY31" s="300"/>
      <c r="AZ31" s="300"/>
      <c r="BA31" s="300"/>
      <c r="BB31" s="300"/>
      <c r="BC31" s="300"/>
    </row>
    <row r="32" spans="1:55" hidden="1" x14ac:dyDescent="0.25">
      <c r="A32" s="186">
        <v>23</v>
      </c>
      <c r="B32" s="117" t="str">
        <f>'0_ENTREE'!B55</f>
        <v>GE2.1 - 297 - T4 - 79m²</v>
      </c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>
        <v>3.72</v>
      </c>
      <c r="W32" s="300">
        <v>3.66</v>
      </c>
      <c r="X32" s="300">
        <v>3.75</v>
      </c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  <c r="AI32" s="300"/>
      <c r="AJ32" s="300"/>
      <c r="AK32" s="300"/>
      <c r="AL32" s="300"/>
      <c r="AM32" s="300"/>
      <c r="AN32" s="300"/>
      <c r="AO32" s="300"/>
      <c r="AP32" s="300"/>
      <c r="AQ32" s="300"/>
      <c r="AR32" s="300"/>
      <c r="AS32" s="300"/>
      <c r="AT32" s="300"/>
      <c r="AU32" s="300"/>
      <c r="AV32" s="300"/>
      <c r="AW32" s="300"/>
      <c r="AX32" s="300"/>
      <c r="AY32" s="300"/>
      <c r="AZ32" s="300"/>
      <c r="BA32" s="300"/>
      <c r="BB32" s="300"/>
      <c r="BC32" s="300"/>
    </row>
    <row r="33" spans="1:55" hidden="1" x14ac:dyDescent="0.25">
      <c r="A33" s="186">
        <v>24</v>
      </c>
      <c r="B33" s="117" t="str">
        <f>'0_ENTREE'!B56</f>
        <v>GE2.1 - 299 - T4 - 79m²</v>
      </c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>
        <v>0.1</v>
      </c>
      <c r="W33" s="300">
        <v>0.08</v>
      </c>
      <c r="X33" s="300">
        <v>-0.09</v>
      </c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  <c r="AI33" s="300"/>
      <c r="AJ33" s="300"/>
      <c r="AK33" s="300"/>
      <c r="AL33" s="300"/>
      <c r="AM33" s="300"/>
      <c r="AN33" s="300"/>
      <c r="AO33" s="300"/>
      <c r="AP33" s="300"/>
      <c r="AQ33" s="300"/>
      <c r="AR33" s="300"/>
      <c r="AS33" s="300"/>
      <c r="AT33" s="300"/>
      <c r="AU33" s="300"/>
      <c r="AV33" s="300"/>
      <c r="AW33" s="300"/>
      <c r="AX33" s="300"/>
      <c r="AY33" s="300"/>
      <c r="AZ33" s="300"/>
      <c r="BA33" s="300"/>
      <c r="BB33" s="300"/>
      <c r="BC33" s="300"/>
    </row>
    <row r="34" spans="1:55" hidden="1" x14ac:dyDescent="0.25">
      <c r="A34" s="186">
        <v>25</v>
      </c>
      <c r="B34" s="117" t="str">
        <f>'0_ENTREE'!B57</f>
        <v>GE2.1 - 300 - T5 - 93m²</v>
      </c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>
        <v>0.01</v>
      </c>
      <c r="W34" s="300">
        <v>-0.04</v>
      </c>
      <c r="X34" s="300">
        <v>0.03</v>
      </c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</row>
    <row r="35" spans="1:55" hidden="1" x14ac:dyDescent="0.25">
      <c r="A35" s="186">
        <v>26</v>
      </c>
      <c r="B35" s="117" t="str">
        <f>'0_ENTREE'!B58</f>
        <v>GE2.1 - 302 - T5 - 93m²</v>
      </c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  <c r="V35" s="300">
        <v>0.14000000000000001</v>
      </c>
      <c r="W35" s="300">
        <v>-0.04</v>
      </c>
      <c r="X35" s="300">
        <v>0.12</v>
      </c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</row>
    <row r="36" spans="1:55" hidden="1" x14ac:dyDescent="0.25">
      <c r="A36" s="186">
        <v>27</v>
      </c>
      <c r="B36" s="117" t="str">
        <f>'0_ENTREE'!B59</f>
        <v>GE2.1 - 312 - T4 - 75m²</v>
      </c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>
        <v>-0.05</v>
      </c>
      <c r="W36" s="300">
        <v>-0.2</v>
      </c>
      <c r="X36" s="300">
        <v>-7.0000000000000007E-2</v>
      </c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</row>
    <row r="37" spans="1:55" hidden="1" x14ac:dyDescent="0.25">
      <c r="A37" s="186">
        <v>28</v>
      </c>
      <c r="B37" s="347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>
        <v>0.43</v>
      </c>
      <c r="W37" s="301">
        <v>0.33</v>
      </c>
      <c r="X37" s="301">
        <v>0.39</v>
      </c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</row>
    <row r="38" spans="1:55" x14ac:dyDescent="0.25">
      <c r="A38" s="186">
        <v>29</v>
      </c>
      <c r="B38" s="117" t="str">
        <f>'0_ENTREE'!B61</f>
        <v>GE2.2 - 271 - T3 - 74m²</v>
      </c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  <c r="T38" s="300"/>
      <c r="U38" s="300"/>
      <c r="V38" s="300">
        <v>0.01</v>
      </c>
      <c r="W38" s="300">
        <v>-0.17</v>
      </c>
      <c r="X38" s="300">
        <v>-0.04</v>
      </c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</row>
    <row r="39" spans="1:55" x14ac:dyDescent="0.25">
      <c r="A39" s="186">
        <v>30</v>
      </c>
      <c r="B39" s="117" t="str">
        <f>'0_ENTREE'!B62</f>
        <v>GE2.2 - 272 - T3 - 74m²</v>
      </c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  <c r="V39" s="300">
        <v>-7.0000000000000007E-2</v>
      </c>
      <c r="W39" s="300">
        <v>0.17</v>
      </c>
      <c r="X39" s="300">
        <v>-7.0000000000000007E-2</v>
      </c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</row>
    <row r="40" spans="1:55" x14ac:dyDescent="0.25">
      <c r="A40" s="186">
        <v>31</v>
      </c>
      <c r="B40" s="117" t="str">
        <f>'0_ENTREE'!B63</f>
        <v>GE2.2 - 273 - T3 - 74m²</v>
      </c>
      <c r="C40" s="300"/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>
        <v>0.09</v>
      </c>
      <c r="W40" s="300">
        <v>0.09</v>
      </c>
      <c r="X40" s="300">
        <v>0.55000000000000004</v>
      </c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</row>
    <row r="41" spans="1:55" x14ac:dyDescent="0.25">
      <c r="A41" s="186">
        <v>32</v>
      </c>
      <c r="B41" s="117" t="str">
        <f>'0_ENTREE'!B64</f>
        <v>GE2.2 - 276 - T4 - 83m²</v>
      </c>
      <c r="C41" s="300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>
        <v>0</v>
      </c>
      <c r="W41" s="300">
        <v>-0.05</v>
      </c>
      <c r="X41" s="300">
        <v>-0.01</v>
      </c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</row>
    <row r="42" spans="1:55" x14ac:dyDescent="0.25">
      <c r="A42" s="186">
        <v>33</v>
      </c>
      <c r="B42" s="117" t="str">
        <f>'0_ENTREE'!B65</f>
        <v>GE2.2 - 279 - T3 - 70m²</v>
      </c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>
        <v>2.34</v>
      </c>
      <c r="W42" s="300">
        <v>0.46</v>
      </c>
      <c r="X42" s="300">
        <v>0.66</v>
      </c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</row>
    <row r="43" spans="1:55" x14ac:dyDescent="0.25">
      <c r="A43" s="186">
        <v>34</v>
      </c>
      <c r="B43" s="117" t="str">
        <f>'0_ENTREE'!B66</f>
        <v>GE2.2 - 288 - T3 - 68m²</v>
      </c>
      <c r="C43" s="300"/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>
        <v>0.25</v>
      </c>
      <c r="W43" s="300">
        <v>-0.05</v>
      </c>
      <c r="X43" s="300">
        <v>0.32</v>
      </c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</row>
    <row r="44" spans="1:55" x14ac:dyDescent="0.25">
      <c r="A44" s="186">
        <v>35</v>
      </c>
      <c r="B44" s="117" t="str">
        <f>'0_ENTREE'!B67</f>
        <v>GE2.2 - 291 - T3 - 62m²</v>
      </c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>
        <v>-0.11</v>
      </c>
      <c r="W44" s="300">
        <v>0.03</v>
      </c>
      <c r="X44" s="300">
        <v>-0.11</v>
      </c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</row>
    <row r="45" spans="1:55" x14ac:dyDescent="0.25">
      <c r="A45" s="186">
        <v>36</v>
      </c>
      <c r="B45" s="117" t="str">
        <f>'0_ENTREE'!B68</f>
        <v>GE2.2 - 294 - T3 - 63m²</v>
      </c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>
        <v>-0.13</v>
      </c>
      <c r="W45" s="300">
        <v>-0.17</v>
      </c>
      <c r="X45" s="300">
        <v>-0.18</v>
      </c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  <c r="AI45" s="300"/>
      <c r="AJ45" s="300"/>
      <c r="AK45" s="300"/>
      <c r="AL45" s="300"/>
      <c r="AM45" s="300"/>
      <c r="AN45" s="300"/>
      <c r="AO45" s="300"/>
      <c r="AP45" s="300"/>
      <c r="AQ45" s="300"/>
      <c r="AR45" s="300"/>
      <c r="AS45" s="300"/>
      <c r="AT45" s="300"/>
      <c r="AU45" s="300"/>
      <c r="AV45" s="300"/>
      <c r="AW45" s="300"/>
      <c r="AX45" s="300"/>
      <c r="AY45" s="300"/>
      <c r="AZ45" s="300"/>
      <c r="BA45" s="300"/>
      <c r="BB45" s="300"/>
      <c r="BC45" s="300"/>
    </row>
    <row r="46" spans="1:55" x14ac:dyDescent="0.25">
      <c r="A46" s="186">
        <v>37</v>
      </c>
      <c r="B46" s="117" t="str">
        <f>'0_ENTREE'!B69</f>
        <v>GE2.2 - 298 - T5 - 93m²</v>
      </c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>
        <v>1.02</v>
      </c>
      <c r="W46" s="300">
        <v>0.98</v>
      </c>
      <c r="X46" s="300">
        <v>0.97</v>
      </c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  <c r="AI46" s="300"/>
      <c r="AJ46" s="300"/>
      <c r="AK46" s="300"/>
      <c r="AL46" s="300"/>
      <c r="AM46" s="300"/>
      <c r="AN46" s="300"/>
      <c r="AO46" s="300"/>
      <c r="AP46" s="300"/>
      <c r="AQ46" s="300"/>
      <c r="AR46" s="300"/>
      <c r="AS46" s="300"/>
      <c r="AT46" s="300"/>
      <c r="AU46" s="300"/>
      <c r="AV46" s="300"/>
      <c r="AW46" s="300"/>
      <c r="AX46" s="300"/>
      <c r="AY46" s="300"/>
      <c r="AZ46" s="300"/>
      <c r="BA46" s="300"/>
      <c r="BB46" s="300"/>
      <c r="BC46" s="300"/>
    </row>
    <row r="47" spans="1:55" x14ac:dyDescent="0.25">
      <c r="A47" s="186">
        <v>38</v>
      </c>
      <c r="B47" s="117" t="str">
        <f>'0_ENTREE'!B70</f>
        <v>GE2.2 - 301 - T4 - 79m²</v>
      </c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>
        <v>-0.09</v>
      </c>
      <c r="W47" s="300">
        <v>-0.01</v>
      </c>
      <c r="X47" s="300">
        <v>-0.14000000000000001</v>
      </c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  <c r="AI47" s="300"/>
      <c r="AJ47" s="300"/>
      <c r="AK47" s="300"/>
      <c r="AL47" s="300"/>
      <c r="AM47" s="300"/>
      <c r="AN47" s="300"/>
      <c r="AO47" s="300"/>
      <c r="AP47" s="300"/>
      <c r="AQ47" s="300"/>
      <c r="AR47" s="300"/>
      <c r="AS47" s="300"/>
      <c r="AT47" s="300"/>
      <c r="AU47" s="300"/>
      <c r="AV47" s="300"/>
      <c r="AW47" s="300"/>
      <c r="AX47" s="300"/>
      <c r="AY47" s="300"/>
      <c r="AZ47" s="300"/>
      <c r="BA47" s="300"/>
      <c r="BB47" s="300"/>
      <c r="BC47" s="300"/>
    </row>
    <row r="48" spans="1:55" x14ac:dyDescent="0.25">
      <c r="A48" s="186">
        <v>39</v>
      </c>
      <c r="B48" s="117" t="str">
        <f>'0_ENTREE'!B71</f>
        <v>GE2.2 - 311 - T4 - 74m²</v>
      </c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>
        <v>0.54</v>
      </c>
      <c r="W48" s="300">
        <v>0.52</v>
      </c>
      <c r="X48" s="300">
        <v>0.46</v>
      </c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  <c r="AI48" s="300"/>
      <c r="AJ48" s="300"/>
      <c r="AK48" s="300"/>
      <c r="AL48" s="300"/>
      <c r="AM48" s="300"/>
      <c r="AN48" s="300"/>
      <c r="AO48" s="300"/>
      <c r="AP48" s="300"/>
      <c r="AQ48" s="300"/>
      <c r="AR48" s="300"/>
      <c r="AS48" s="300"/>
      <c r="AT48" s="300"/>
      <c r="AU48" s="300"/>
      <c r="AV48" s="300"/>
      <c r="AW48" s="300"/>
      <c r="AX48" s="300"/>
      <c r="AY48" s="300"/>
      <c r="AZ48" s="300"/>
      <c r="BA48" s="300"/>
      <c r="BB48" s="300"/>
      <c r="BC48" s="300"/>
    </row>
    <row r="49" spans="1:55" x14ac:dyDescent="0.25">
      <c r="A49" s="186">
        <v>40</v>
      </c>
      <c r="B49" s="117" t="str">
        <f>'0_ENTREE'!B72</f>
        <v>GE2.2 - 313 - T4 - 75m²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>
        <v>-0.05</v>
      </c>
      <c r="W49" s="300">
        <v>-0.13</v>
      </c>
      <c r="X49" s="300">
        <v>-0.01</v>
      </c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  <c r="AI49" s="300"/>
      <c r="AJ49" s="300"/>
      <c r="AK49" s="300"/>
      <c r="AL49" s="300"/>
      <c r="AM49" s="300"/>
      <c r="AN49" s="300"/>
      <c r="AO49" s="300"/>
      <c r="AP49" s="300"/>
      <c r="AQ49" s="300"/>
      <c r="AR49" s="300"/>
      <c r="AS49" s="300"/>
      <c r="AT49" s="300"/>
      <c r="AU49" s="300"/>
      <c r="AV49" s="300"/>
      <c r="AW49" s="300"/>
      <c r="AX49" s="300"/>
      <c r="AY49" s="300"/>
      <c r="AZ49" s="300"/>
      <c r="BA49" s="300"/>
      <c r="BB49" s="300"/>
      <c r="BC49" s="300"/>
    </row>
    <row r="50" spans="1:55" x14ac:dyDescent="0.25">
      <c r="A50" s="186">
        <v>41</v>
      </c>
      <c r="B50" s="117" t="str">
        <f>'0_ENTREE'!B73</f>
        <v>GE2.2 - 315 - T4 - 75m²</v>
      </c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>
        <v>0.41</v>
      </c>
      <c r="W50" s="300">
        <v>0.38</v>
      </c>
      <c r="X50" s="300">
        <v>0.34</v>
      </c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  <c r="AI50" s="300"/>
      <c r="AJ50" s="300"/>
      <c r="AK50" s="300"/>
      <c r="AL50" s="300"/>
      <c r="AM50" s="300"/>
      <c r="AN50" s="300"/>
      <c r="AO50" s="300"/>
      <c r="AP50" s="300"/>
      <c r="AQ50" s="300"/>
      <c r="AR50" s="300"/>
      <c r="AS50" s="300"/>
      <c r="AT50" s="300"/>
      <c r="AU50" s="300"/>
      <c r="AV50" s="300"/>
      <c r="AW50" s="300"/>
      <c r="AX50" s="300"/>
      <c r="AY50" s="300"/>
      <c r="AZ50" s="300"/>
      <c r="BA50" s="300"/>
      <c r="BB50" s="300"/>
      <c r="BC50" s="300"/>
    </row>
    <row r="51" spans="1:55" x14ac:dyDescent="0.25">
      <c r="A51" s="186">
        <v>42</v>
      </c>
      <c r="B51" s="347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1"/>
      <c r="P51" s="301"/>
      <c r="Q51" s="301"/>
      <c r="R51" s="301"/>
      <c r="S51" s="301"/>
      <c r="T51" s="301"/>
      <c r="U51" s="301"/>
      <c r="V51" s="301">
        <v>0.32</v>
      </c>
      <c r="W51" s="301">
        <v>0.16</v>
      </c>
      <c r="X51" s="301">
        <v>0.21</v>
      </c>
      <c r="Y51" s="301"/>
      <c r="Z51" s="301"/>
      <c r="AA51" s="301"/>
      <c r="AB51" s="301"/>
      <c r="AC51" s="301"/>
      <c r="AD51" s="301"/>
      <c r="AE51" s="301"/>
      <c r="AF51" s="301"/>
      <c r="AG51" s="301"/>
      <c r="AH51" s="301"/>
      <c r="AI51" s="301"/>
      <c r="AJ51" s="301"/>
      <c r="AK51" s="301"/>
      <c r="AL51" s="301"/>
      <c r="AM51" s="301"/>
      <c r="AN51" s="301"/>
      <c r="AO51" s="301"/>
      <c r="AP51" s="301"/>
      <c r="AQ51" s="301"/>
      <c r="AR51" s="301"/>
      <c r="AS51" s="301"/>
      <c r="AT51" s="301"/>
      <c r="AU51" s="301"/>
      <c r="AV51" s="301"/>
      <c r="AW51" s="301"/>
      <c r="AX51" s="301"/>
      <c r="AY51" s="301"/>
      <c r="AZ51" s="301"/>
      <c r="BA51" s="301"/>
      <c r="BB51" s="301"/>
      <c r="BC51" s="301"/>
    </row>
    <row r="52" spans="1:55" x14ac:dyDescent="0.25">
      <c r="A52" s="186">
        <v>43</v>
      </c>
      <c r="B52" s="117" t="str">
        <f>'0_ENTREE'!B75</f>
        <v>SO - 284 - T - 64m²</v>
      </c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>
        <v>0.28999999999999998</v>
      </c>
      <c r="W52" s="300">
        <v>0.16</v>
      </c>
      <c r="X52" s="300">
        <v>0.35</v>
      </c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  <c r="AI52" s="300"/>
      <c r="AJ52" s="300"/>
      <c r="AK52" s="300"/>
      <c r="AL52" s="300"/>
      <c r="AM52" s="300"/>
      <c r="AN52" s="300"/>
      <c r="AO52" s="300"/>
      <c r="AP52" s="300"/>
      <c r="AQ52" s="300"/>
      <c r="AR52" s="300"/>
      <c r="AS52" s="300"/>
      <c r="AT52" s="300"/>
      <c r="AU52" s="300"/>
      <c r="AV52" s="300"/>
      <c r="AW52" s="300"/>
      <c r="AX52" s="300"/>
      <c r="AY52" s="300"/>
      <c r="AZ52" s="300"/>
      <c r="BA52" s="300"/>
      <c r="BB52" s="300"/>
      <c r="BC52" s="300"/>
    </row>
    <row r="53" spans="1:55" x14ac:dyDescent="0.25">
      <c r="A53" s="186">
        <v>44</v>
      </c>
      <c r="B53" s="117" t="str">
        <f>'0_ENTREE'!B76</f>
        <v>SO - 287 - T - 81m²</v>
      </c>
      <c r="C53" s="300"/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>
        <v>0.14000000000000001</v>
      </c>
      <c r="W53" s="300">
        <v>0.3</v>
      </c>
      <c r="X53" s="300">
        <v>0.14000000000000001</v>
      </c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  <c r="AI53" s="300"/>
      <c r="AJ53" s="300"/>
      <c r="AK53" s="300"/>
      <c r="AL53" s="300"/>
      <c r="AM53" s="300"/>
      <c r="AN53" s="300"/>
      <c r="AO53" s="300"/>
      <c r="AP53" s="300"/>
      <c r="AQ53" s="300"/>
      <c r="AR53" s="300"/>
      <c r="AS53" s="300"/>
      <c r="AT53" s="300"/>
      <c r="AU53" s="300"/>
      <c r="AV53" s="300"/>
      <c r="AW53" s="300"/>
      <c r="AX53" s="300"/>
      <c r="AY53" s="300"/>
      <c r="AZ53" s="300"/>
      <c r="BA53" s="300"/>
      <c r="BB53" s="300"/>
      <c r="BC53" s="300"/>
    </row>
    <row r="54" spans="1:55" x14ac:dyDescent="0.25">
      <c r="A54" s="186">
        <v>45</v>
      </c>
      <c r="B54" s="117" t="str">
        <f>'0_ENTREE'!B77</f>
        <v>SO - 290 - T - 40m²</v>
      </c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>
        <v>0.53</v>
      </c>
      <c r="W54" s="300">
        <v>0.79</v>
      </c>
      <c r="X54" s="300">
        <v>0.25</v>
      </c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  <c r="AI54" s="300"/>
      <c r="AJ54" s="300"/>
      <c r="AK54" s="300"/>
      <c r="AL54" s="300"/>
      <c r="AM54" s="300"/>
      <c r="AN54" s="300"/>
      <c r="AO54" s="300"/>
      <c r="AP54" s="300"/>
      <c r="AQ54" s="300"/>
      <c r="AR54" s="300"/>
      <c r="AS54" s="300"/>
      <c r="AT54" s="300"/>
      <c r="AU54" s="300"/>
      <c r="AV54" s="300"/>
      <c r="AW54" s="300"/>
      <c r="AX54" s="300"/>
      <c r="AY54" s="300"/>
      <c r="AZ54" s="300"/>
      <c r="BA54" s="300"/>
      <c r="BB54" s="300"/>
      <c r="BC54" s="300"/>
    </row>
    <row r="55" spans="1:55" x14ac:dyDescent="0.25">
      <c r="A55" s="186">
        <v>46</v>
      </c>
      <c r="B55" s="117" t="str">
        <f>'0_ENTREE'!B78</f>
        <v>SO - 305 - T - 66m²</v>
      </c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>
        <v>0.56999999999999995</v>
      </c>
      <c r="W55" s="300">
        <v>0.87</v>
      </c>
      <c r="X55" s="300">
        <v>0.75</v>
      </c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  <c r="AI55" s="300"/>
      <c r="AJ55" s="300"/>
      <c r="AK55" s="300"/>
      <c r="AL55" s="300"/>
      <c r="AM55" s="300"/>
      <c r="AN55" s="300"/>
      <c r="AO55" s="300"/>
      <c r="AP55" s="300"/>
      <c r="AQ55" s="300"/>
      <c r="AR55" s="300"/>
      <c r="AS55" s="300"/>
      <c r="AT55" s="300"/>
      <c r="AU55" s="300"/>
      <c r="AV55" s="300"/>
      <c r="AW55" s="300"/>
      <c r="AX55" s="300"/>
      <c r="AY55" s="300"/>
      <c r="AZ55" s="300"/>
      <c r="BA55" s="300"/>
      <c r="BB55" s="300"/>
      <c r="BC55" s="300"/>
    </row>
    <row r="56" spans="1:55" x14ac:dyDescent="0.25">
      <c r="A56" s="186">
        <v>47</v>
      </c>
      <c r="B56" s="117" t="str">
        <f>'0_ENTREE'!B79</f>
        <v>SO - 309 - T - 66m²</v>
      </c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>
        <v>3.59</v>
      </c>
      <c r="W56" s="300">
        <v>2.76</v>
      </c>
      <c r="X56" s="300">
        <v>2.42</v>
      </c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  <c r="AI56" s="300"/>
      <c r="AJ56" s="300"/>
      <c r="AK56" s="300"/>
      <c r="AL56" s="300"/>
      <c r="AM56" s="300"/>
      <c r="AN56" s="300"/>
      <c r="AO56" s="300"/>
      <c r="AP56" s="300"/>
      <c r="AQ56" s="300"/>
      <c r="AR56" s="300"/>
      <c r="AS56" s="300"/>
      <c r="AT56" s="300"/>
      <c r="AU56" s="300"/>
      <c r="AV56" s="300"/>
      <c r="AW56" s="300"/>
      <c r="AX56" s="300"/>
      <c r="AY56" s="300"/>
      <c r="AZ56" s="300"/>
      <c r="BA56" s="300"/>
      <c r="BB56" s="300"/>
      <c r="BC56" s="300"/>
    </row>
    <row r="57" spans="1:55" x14ac:dyDescent="0.25">
      <c r="A57" s="186">
        <v>48</v>
      </c>
      <c r="B57" s="117" t="str">
        <f>'0_ENTREE'!B80</f>
        <v>SO - 310 - T - 54m²</v>
      </c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>
        <v>0.21</v>
      </c>
      <c r="W57" s="300">
        <v>0.03</v>
      </c>
      <c r="X57" s="300">
        <v>0.09</v>
      </c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  <c r="AI57" s="300"/>
      <c r="AJ57" s="300"/>
      <c r="AK57" s="300"/>
      <c r="AL57" s="300"/>
      <c r="AM57" s="300"/>
      <c r="AN57" s="300"/>
      <c r="AO57" s="300"/>
      <c r="AP57" s="300"/>
      <c r="AQ57" s="300"/>
      <c r="AR57" s="300"/>
      <c r="AS57" s="300"/>
      <c r="AT57" s="300"/>
      <c r="AU57" s="300"/>
      <c r="AV57" s="300"/>
      <c r="AW57" s="300"/>
      <c r="AX57" s="300"/>
      <c r="AY57" s="300"/>
      <c r="AZ57" s="300"/>
      <c r="BA57" s="300"/>
      <c r="BB57" s="300"/>
      <c r="BC57" s="300"/>
    </row>
    <row r="58" spans="1:55" x14ac:dyDescent="0.25">
      <c r="A58" s="186"/>
      <c r="B58" s="347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>
        <v>0.56999999999999995</v>
      </c>
      <c r="W58" s="301">
        <v>0.51</v>
      </c>
      <c r="X58" s="301">
        <v>0.44</v>
      </c>
      <c r="Y58" s="301"/>
      <c r="Z58" s="301"/>
      <c r="AA58" s="301"/>
      <c r="AB58" s="301"/>
      <c r="AC58" s="301"/>
      <c r="AD58" s="301"/>
      <c r="AE58" s="301"/>
      <c r="AF58" s="301"/>
      <c r="AG58" s="301"/>
      <c r="AH58" s="301"/>
      <c r="AI58" s="301"/>
      <c r="AJ58" s="301"/>
      <c r="AK58" s="301"/>
      <c r="AL58" s="301"/>
      <c r="AM58" s="301"/>
      <c r="AN58" s="301"/>
      <c r="AO58" s="301"/>
      <c r="AP58" s="301"/>
      <c r="AQ58" s="301"/>
      <c r="AR58" s="301"/>
      <c r="AS58" s="301"/>
      <c r="AT58" s="301"/>
      <c r="AU58" s="301"/>
      <c r="AV58" s="301"/>
      <c r="AW58" s="301"/>
      <c r="AX58" s="301"/>
      <c r="AY58" s="301"/>
      <c r="AZ58" s="301"/>
      <c r="BA58" s="301"/>
      <c r="BB58" s="301"/>
      <c r="BC58" s="301"/>
    </row>
    <row r="59" spans="1:55" x14ac:dyDescent="0.25">
      <c r="A59" s="187"/>
    </row>
    <row r="60" spans="1:55" x14ac:dyDescent="0.25">
      <c r="A60" s="187"/>
    </row>
    <row r="61" spans="1:55" x14ac:dyDescent="0.25">
      <c r="A61" s="187"/>
    </row>
    <row r="62" spans="1:55" x14ac:dyDescent="0.25">
      <c r="A62" s="187"/>
      <c r="B62" s="348" t="s">
        <v>248</v>
      </c>
      <c r="C62" s="154" t="s">
        <v>241</v>
      </c>
    </row>
    <row r="63" spans="1:55" x14ac:dyDescent="0.25">
      <c r="A63" s="187"/>
      <c r="B63" s="169" t="s">
        <v>133</v>
      </c>
      <c r="C63" s="186">
        <v>3</v>
      </c>
      <c r="D63" s="186">
        <v>4</v>
      </c>
      <c r="E63" s="186">
        <v>5</v>
      </c>
      <c r="F63" s="186">
        <v>6</v>
      </c>
      <c r="G63" s="186">
        <v>7</v>
      </c>
      <c r="H63" s="186">
        <v>8</v>
      </c>
      <c r="I63" s="186">
        <v>9</v>
      </c>
      <c r="J63" s="186">
        <v>10</v>
      </c>
      <c r="K63" s="186">
        <v>11</v>
      </c>
      <c r="L63" s="186">
        <v>12</v>
      </c>
      <c r="M63" s="186">
        <v>13</v>
      </c>
      <c r="N63" s="186">
        <v>14</v>
      </c>
      <c r="O63" s="186">
        <v>15</v>
      </c>
      <c r="P63" s="186">
        <v>16</v>
      </c>
      <c r="Q63" s="186">
        <v>17</v>
      </c>
      <c r="R63" s="186">
        <v>18</v>
      </c>
      <c r="S63" s="186">
        <v>19</v>
      </c>
      <c r="T63" s="186">
        <v>20</v>
      </c>
      <c r="U63" s="186">
        <v>21</v>
      </c>
      <c r="V63" s="186">
        <v>22</v>
      </c>
      <c r="W63" s="186">
        <v>23</v>
      </c>
      <c r="X63" s="186">
        <v>24</v>
      </c>
      <c r="Y63" s="186">
        <v>25</v>
      </c>
      <c r="Z63" s="186">
        <v>26</v>
      </c>
      <c r="AA63" s="186">
        <v>27</v>
      </c>
      <c r="AB63" s="186">
        <v>28</v>
      </c>
      <c r="AC63" s="186">
        <v>29</v>
      </c>
      <c r="AD63" s="186">
        <v>30</v>
      </c>
      <c r="AE63" s="186">
        <v>31</v>
      </c>
      <c r="AF63" s="186">
        <v>32</v>
      </c>
      <c r="AG63" s="186">
        <v>33</v>
      </c>
      <c r="AH63" s="186">
        <v>34</v>
      </c>
      <c r="AI63" s="186">
        <v>35</v>
      </c>
      <c r="AJ63" s="186">
        <v>36</v>
      </c>
      <c r="AK63" s="186">
        <v>37</v>
      </c>
      <c r="AL63" s="186">
        <v>38</v>
      </c>
      <c r="AM63" s="186">
        <v>39</v>
      </c>
      <c r="AN63" s="186">
        <v>40</v>
      </c>
      <c r="AO63" s="186">
        <v>41</v>
      </c>
      <c r="AP63" s="186">
        <v>42</v>
      </c>
      <c r="AQ63" s="186">
        <v>43</v>
      </c>
      <c r="AR63" s="186">
        <v>44</v>
      </c>
      <c r="AS63" s="186">
        <v>45</v>
      </c>
      <c r="AT63" s="186">
        <v>46</v>
      </c>
      <c r="AU63" s="186">
        <v>47</v>
      </c>
      <c r="AV63" s="186">
        <v>48</v>
      </c>
      <c r="AW63" s="186">
        <v>49</v>
      </c>
      <c r="AX63" s="186">
        <v>50</v>
      </c>
      <c r="AY63" s="186">
        <v>51</v>
      </c>
      <c r="AZ63" s="186">
        <v>52</v>
      </c>
      <c r="BA63" s="186">
        <v>53</v>
      </c>
      <c r="BB63" s="186">
        <v>53</v>
      </c>
      <c r="BC63" s="186"/>
    </row>
    <row r="64" spans="1:55" s="19" customFormat="1" x14ac:dyDescent="0.25">
      <c r="A64" s="191"/>
      <c r="B64" s="70" t="s">
        <v>248</v>
      </c>
      <c r="C64" s="74" t="s">
        <v>188</v>
      </c>
      <c r="D64" s="74" t="s">
        <v>189</v>
      </c>
      <c r="E64" s="74" t="s">
        <v>190</v>
      </c>
      <c r="F64" s="74" t="s">
        <v>191</v>
      </c>
      <c r="G64" s="74" t="s">
        <v>192</v>
      </c>
      <c r="H64" s="74" t="s">
        <v>193</v>
      </c>
      <c r="I64" s="74" t="s">
        <v>194</v>
      </c>
      <c r="J64" s="74" t="s">
        <v>195</v>
      </c>
      <c r="K64" s="74" t="s">
        <v>196</v>
      </c>
      <c r="L64" s="74" t="s">
        <v>197</v>
      </c>
      <c r="M64" s="74" t="s">
        <v>198</v>
      </c>
      <c r="N64" s="74" t="s">
        <v>199</v>
      </c>
      <c r="O64" s="74" t="s">
        <v>200</v>
      </c>
      <c r="P64" s="74" t="s">
        <v>201</v>
      </c>
      <c r="Q64" s="74" t="s">
        <v>202</v>
      </c>
      <c r="R64" s="74" t="s">
        <v>203</v>
      </c>
      <c r="S64" s="74" t="s">
        <v>204</v>
      </c>
      <c r="T64" s="74" t="s">
        <v>205</v>
      </c>
      <c r="U64" s="74" t="s">
        <v>206</v>
      </c>
      <c r="V64" s="74" t="s">
        <v>207</v>
      </c>
      <c r="W64" s="74" t="s">
        <v>208</v>
      </c>
      <c r="X64" s="74" t="s">
        <v>209</v>
      </c>
      <c r="Y64" s="74" t="s">
        <v>210</v>
      </c>
      <c r="Z64" s="74" t="s">
        <v>211</v>
      </c>
      <c r="AA64" s="74" t="s">
        <v>212</v>
      </c>
      <c r="AB64" s="74" t="s">
        <v>213</v>
      </c>
      <c r="AC64" s="74" t="s">
        <v>214</v>
      </c>
      <c r="AD64" s="74" t="s">
        <v>215</v>
      </c>
      <c r="AE64" s="74" t="s">
        <v>216</v>
      </c>
      <c r="AF64" s="74" t="s">
        <v>217</v>
      </c>
      <c r="AG64" s="74" t="s">
        <v>218</v>
      </c>
      <c r="AH64" s="74" t="s">
        <v>219</v>
      </c>
      <c r="AI64" s="74" t="s">
        <v>220</v>
      </c>
      <c r="AJ64" s="74" t="s">
        <v>221</v>
      </c>
      <c r="AK64" s="74" t="s">
        <v>222</v>
      </c>
      <c r="AL64" s="74" t="s">
        <v>223</v>
      </c>
      <c r="AM64" s="74" t="s">
        <v>224</v>
      </c>
      <c r="AN64" s="74" t="s">
        <v>225</v>
      </c>
      <c r="AO64" s="74" t="s">
        <v>226</v>
      </c>
      <c r="AP64" s="74" t="s">
        <v>227</v>
      </c>
      <c r="AQ64" s="74" t="s">
        <v>228</v>
      </c>
      <c r="AR64" s="74" t="s">
        <v>229</v>
      </c>
      <c r="AS64" s="74" t="s">
        <v>230</v>
      </c>
      <c r="AT64" s="74" t="s">
        <v>231</v>
      </c>
      <c r="AU64" s="74" t="s">
        <v>232</v>
      </c>
      <c r="AV64" s="74" t="s">
        <v>233</v>
      </c>
      <c r="AW64" s="74" t="s">
        <v>234</v>
      </c>
      <c r="AX64" s="74" t="s">
        <v>235</v>
      </c>
      <c r="AY64" s="74" t="s">
        <v>236</v>
      </c>
      <c r="AZ64" s="74" t="s">
        <v>237</v>
      </c>
      <c r="BA64" s="74" t="s">
        <v>238</v>
      </c>
      <c r="BB64" s="74" t="s">
        <v>239</v>
      </c>
      <c r="BC64" s="74" t="s">
        <v>240</v>
      </c>
    </row>
    <row r="65" spans="1:55" hidden="1" x14ac:dyDescent="0.25">
      <c r="A65" s="186">
        <v>1</v>
      </c>
      <c r="B65" s="72" t="str">
        <f t="shared" ref="B65:B77" si="0">B10</f>
        <v>GC - 274 - T4 - 83m²</v>
      </c>
      <c r="C65" s="444"/>
      <c r="D65" s="444"/>
      <c r="E65" s="444"/>
      <c r="F65" s="444"/>
      <c r="G65" s="444"/>
      <c r="H65" s="444"/>
      <c r="I65" s="444"/>
      <c r="J65" s="444"/>
      <c r="K65" s="444"/>
      <c r="L65" s="444"/>
      <c r="M65" s="444"/>
      <c r="N65" s="444"/>
      <c r="O65" s="444"/>
      <c r="P65" s="444"/>
      <c r="Q65" s="444"/>
      <c r="R65" s="444"/>
      <c r="S65" s="444"/>
      <c r="T65" s="444"/>
      <c r="U65" s="444"/>
      <c r="V65" s="444">
        <v>52.159999999999854</v>
      </c>
      <c r="W65" s="444">
        <v>54.900000000000091</v>
      </c>
      <c r="X65" s="444">
        <v>54.399999999999864</v>
      </c>
      <c r="Y65" s="444">
        <v>55</v>
      </c>
      <c r="Z65" s="444"/>
      <c r="AA65" s="444"/>
      <c r="AB65" s="444"/>
      <c r="AC65" s="444"/>
      <c r="AD65" s="444"/>
      <c r="AE65" s="444"/>
      <c r="AF65" s="444"/>
      <c r="AG65" s="444"/>
      <c r="AH65" s="444"/>
      <c r="AI65" s="444"/>
      <c r="AJ65" s="444"/>
      <c r="AK65" s="444"/>
      <c r="AL65" s="444"/>
      <c r="AM65" s="444"/>
      <c r="AN65" s="444"/>
      <c r="AO65" s="444"/>
      <c r="AP65" s="444"/>
      <c r="AQ65" s="444"/>
      <c r="AR65" s="444"/>
      <c r="AS65" s="444"/>
      <c r="AT65" s="444"/>
      <c r="AU65" s="444"/>
      <c r="AV65" s="444"/>
      <c r="AW65" s="444"/>
      <c r="AX65" s="444"/>
      <c r="AY65" s="444"/>
      <c r="AZ65" s="444"/>
      <c r="BA65" s="444"/>
      <c r="BB65" s="444"/>
      <c r="BC65" s="444"/>
    </row>
    <row r="66" spans="1:55" hidden="1" x14ac:dyDescent="0.25">
      <c r="A66" s="186">
        <v>2</v>
      </c>
      <c r="B66" s="72" t="str">
        <f t="shared" si="0"/>
        <v>GC - 277 - T2 - 53m²</v>
      </c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>
        <v>31.149999999999977</v>
      </c>
      <c r="W66" s="444">
        <v>41.200000000000045</v>
      </c>
      <c r="X66" s="444">
        <v>40</v>
      </c>
      <c r="Y66" s="444">
        <v>31.5</v>
      </c>
      <c r="Z66" s="444"/>
      <c r="AA66" s="444"/>
      <c r="AB66" s="444"/>
      <c r="AC66" s="444"/>
      <c r="AD66" s="444"/>
      <c r="AE66" s="444"/>
      <c r="AF66" s="444"/>
      <c r="AG66" s="444"/>
      <c r="AH66" s="444"/>
      <c r="AI66" s="444"/>
      <c r="AJ66" s="444"/>
      <c r="AK66" s="444"/>
      <c r="AL66" s="444"/>
      <c r="AM66" s="444"/>
      <c r="AN66" s="444"/>
      <c r="AO66" s="444"/>
      <c r="AP66" s="444"/>
      <c r="AQ66" s="444"/>
      <c r="AR66" s="444"/>
      <c r="AS66" s="444"/>
      <c r="AT66" s="444"/>
      <c r="AU66" s="444"/>
      <c r="AV66" s="444"/>
      <c r="AW66" s="444"/>
      <c r="AX66" s="444"/>
      <c r="AY66" s="444"/>
      <c r="AZ66" s="444"/>
      <c r="BA66" s="444"/>
      <c r="BB66" s="444"/>
      <c r="BC66" s="444"/>
    </row>
    <row r="67" spans="1:55" hidden="1" x14ac:dyDescent="0.25">
      <c r="A67" s="186">
        <v>3</v>
      </c>
      <c r="B67" s="72" t="str">
        <f t="shared" si="0"/>
        <v>GC - 281 - T3 - 71m²</v>
      </c>
      <c r="C67" s="444"/>
      <c r="D67" s="444"/>
      <c r="E67" s="444"/>
      <c r="F67" s="444"/>
      <c r="G67" s="444"/>
      <c r="H67" s="444"/>
      <c r="I67" s="444"/>
      <c r="J67" s="444"/>
      <c r="K67" s="444"/>
      <c r="L67" s="444"/>
      <c r="M67" s="444"/>
      <c r="N67" s="444"/>
      <c r="O67" s="444"/>
      <c r="P67" s="444"/>
      <c r="Q67" s="444"/>
      <c r="R67" s="444"/>
      <c r="S67" s="444"/>
      <c r="T67" s="444"/>
      <c r="U67" s="444"/>
      <c r="V67" s="444">
        <v>40.862999999999943</v>
      </c>
      <c r="W67" s="444">
        <v>34.200000000000045</v>
      </c>
      <c r="X67" s="444">
        <v>36.200000000000045</v>
      </c>
      <c r="Y67" s="444">
        <v>36.700000000000045</v>
      </c>
      <c r="Z67" s="444"/>
      <c r="AA67" s="444"/>
      <c r="AB67" s="444"/>
      <c r="AC67" s="444"/>
      <c r="AD67" s="444"/>
      <c r="AE67" s="444"/>
      <c r="AF67" s="444"/>
      <c r="AG67" s="444"/>
      <c r="AH67" s="444"/>
      <c r="AI67" s="444"/>
      <c r="AJ67" s="444"/>
      <c r="AK67" s="444"/>
      <c r="AL67" s="444"/>
      <c r="AM67" s="444"/>
      <c r="AN67" s="444"/>
      <c r="AO67" s="444"/>
      <c r="AP67" s="444"/>
      <c r="AQ67" s="444"/>
      <c r="AR67" s="444"/>
      <c r="AS67" s="444"/>
      <c r="AT67" s="444"/>
      <c r="AU67" s="444"/>
      <c r="AV67" s="444"/>
      <c r="AW67" s="444"/>
      <c r="AX67" s="444"/>
      <c r="AY67" s="444"/>
      <c r="AZ67" s="444"/>
      <c r="BA67" s="444"/>
      <c r="BB67" s="444"/>
      <c r="BC67" s="444"/>
    </row>
    <row r="68" spans="1:55" hidden="1" x14ac:dyDescent="0.25">
      <c r="A68" s="186">
        <v>4</v>
      </c>
      <c r="B68" s="72" t="str">
        <f t="shared" si="0"/>
        <v>GC - 283 - T3 - 70m²</v>
      </c>
      <c r="C68" s="444"/>
      <c r="D68" s="444"/>
      <c r="E68" s="444"/>
      <c r="F68" s="444"/>
      <c r="G68" s="444"/>
      <c r="H68" s="444"/>
      <c r="I68" s="444"/>
      <c r="J68" s="444"/>
      <c r="K68" s="444"/>
      <c r="L68" s="444"/>
      <c r="M68" s="444"/>
      <c r="N68" s="444"/>
      <c r="O68" s="444"/>
      <c r="P68" s="444"/>
      <c r="Q68" s="444"/>
      <c r="R68" s="444"/>
      <c r="S68" s="444"/>
      <c r="T68" s="444"/>
      <c r="U68" s="444"/>
      <c r="V68" s="444">
        <v>26.355999999999995</v>
      </c>
      <c r="W68" s="444">
        <v>27</v>
      </c>
      <c r="X68" s="444">
        <v>27.200000000000045</v>
      </c>
      <c r="Y68" s="444">
        <v>28</v>
      </c>
      <c r="Z68" s="444"/>
      <c r="AA68" s="444"/>
      <c r="AB68" s="444"/>
      <c r="AC68" s="444"/>
      <c r="AD68" s="444"/>
      <c r="AE68" s="444"/>
      <c r="AF68" s="444"/>
      <c r="AG68" s="444"/>
      <c r="AH68" s="444"/>
      <c r="AI68" s="444"/>
      <c r="AJ68" s="444"/>
      <c r="AK68" s="444"/>
      <c r="AL68" s="444"/>
      <c r="AM68" s="444"/>
      <c r="AN68" s="444"/>
      <c r="AO68" s="444"/>
      <c r="AP68" s="444"/>
      <c r="AQ68" s="444"/>
      <c r="AR68" s="444"/>
      <c r="AS68" s="444"/>
      <c r="AT68" s="444"/>
      <c r="AU68" s="444"/>
      <c r="AV68" s="444"/>
      <c r="AW68" s="444"/>
      <c r="AX68" s="444"/>
      <c r="AY68" s="444"/>
      <c r="AZ68" s="444"/>
      <c r="BA68" s="444"/>
      <c r="BB68" s="444"/>
      <c r="BC68" s="444"/>
    </row>
    <row r="69" spans="1:55" hidden="1" x14ac:dyDescent="0.25">
      <c r="A69" s="186">
        <v>5</v>
      </c>
      <c r="B69" s="72" t="str">
        <f t="shared" si="0"/>
        <v>GC - 285 - T3 - 64m²</v>
      </c>
      <c r="C69" s="444"/>
      <c r="D69" s="444"/>
      <c r="E69" s="444"/>
      <c r="F69" s="444"/>
      <c r="G69" s="444"/>
      <c r="H69" s="444"/>
      <c r="I69" s="444"/>
      <c r="J69" s="444"/>
      <c r="K69" s="444"/>
      <c r="L69" s="444"/>
      <c r="M69" s="444"/>
      <c r="N69" s="444"/>
      <c r="O69" s="444"/>
      <c r="P69" s="444"/>
      <c r="Q69" s="444"/>
      <c r="R69" s="444"/>
      <c r="S69" s="444"/>
      <c r="T69" s="444"/>
      <c r="U69" s="444"/>
      <c r="V69" s="444">
        <v>36.240000000000009</v>
      </c>
      <c r="W69" s="444">
        <v>36.799999999999955</v>
      </c>
      <c r="X69" s="444">
        <v>39</v>
      </c>
      <c r="Y69" s="444">
        <v>37</v>
      </c>
      <c r="Z69" s="444"/>
      <c r="AA69" s="444"/>
      <c r="AB69" s="444"/>
      <c r="AC69" s="444"/>
      <c r="AD69" s="444"/>
      <c r="AE69" s="444"/>
      <c r="AF69" s="444"/>
      <c r="AG69" s="444"/>
      <c r="AH69" s="444"/>
      <c r="AI69" s="444"/>
      <c r="AJ69" s="444"/>
      <c r="AK69" s="444"/>
      <c r="AL69" s="444"/>
      <c r="AM69" s="444"/>
      <c r="AN69" s="444"/>
      <c r="AO69" s="444"/>
      <c r="AP69" s="444"/>
      <c r="AQ69" s="444"/>
      <c r="AR69" s="444"/>
      <c r="AS69" s="444"/>
      <c r="AT69" s="444"/>
      <c r="AU69" s="444"/>
      <c r="AV69" s="444"/>
      <c r="AW69" s="444"/>
      <c r="AX69" s="444"/>
      <c r="AY69" s="444"/>
      <c r="AZ69" s="444"/>
      <c r="BA69" s="444"/>
      <c r="BB69" s="444"/>
      <c r="BC69" s="444"/>
    </row>
    <row r="70" spans="1:55" hidden="1" x14ac:dyDescent="0.25">
      <c r="A70" s="186">
        <v>6</v>
      </c>
      <c r="B70" s="72" t="str">
        <f t="shared" si="0"/>
        <v>GC - 286 - T3 - 68m²</v>
      </c>
      <c r="C70" s="444"/>
      <c r="D70" s="444"/>
      <c r="E70" s="444"/>
      <c r="F70" s="444"/>
      <c r="G70" s="444"/>
      <c r="H70" s="444"/>
      <c r="I70" s="444"/>
      <c r="J70" s="444"/>
      <c r="K70" s="444"/>
      <c r="L70" s="444"/>
      <c r="M70" s="444"/>
      <c r="N70" s="444"/>
      <c r="O70" s="444"/>
      <c r="P70" s="444"/>
      <c r="Q70" s="444"/>
      <c r="R70" s="444"/>
      <c r="S70" s="444"/>
      <c r="T70" s="444"/>
      <c r="U70" s="444"/>
      <c r="V70" s="444">
        <v>29.533000000000015</v>
      </c>
      <c r="W70" s="444">
        <v>22.800000000000068</v>
      </c>
      <c r="X70" s="444">
        <v>23.799999999999955</v>
      </c>
      <c r="Y70" s="444">
        <v>20.600000000000023</v>
      </c>
      <c r="Z70" s="444"/>
      <c r="AA70" s="444"/>
      <c r="AB70" s="444"/>
      <c r="AC70" s="444"/>
      <c r="AD70" s="444"/>
      <c r="AE70" s="444"/>
      <c r="AF70" s="444"/>
      <c r="AG70" s="444"/>
      <c r="AH70" s="444"/>
      <c r="AI70" s="444"/>
      <c r="AJ70" s="444"/>
      <c r="AK70" s="444"/>
      <c r="AL70" s="444"/>
      <c r="AM70" s="444"/>
      <c r="AN70" s="444"/>
      <c r="AO70" s="444"/>
      <c r="AP70" s="444"/>
      <c r="AQ70" s="444"/>
      <c r="AR70" s="444"/>
      <c r="AS70" s="444"/>
      <c r="AT70" s="444"/>
      <c r="AU70" s="444"/>
      <c r="AV70" s="444"/>
      <c r="AW70" s="444"/>
      <c r="AX70" s="444"/>
      <c r="AY70" s="444"/>
      <c r="AZ70" s="444"/>
      <c r="BA70" s="444"/>
      <c r="BB70" s="444"/>
      <c r="BC70" s="444"/>
    </row>
    <row r="71" spans="1:55" hidden="1" x14ac:dyDescent="0.25">
      <c r="A71" s="186">
        <v>7</v>
      </c>
      <c r="B71" s="72" t="str">
        <f t="shared" si="0"/>
        <v>GC - 289 - T3 - 76m²</v>
      </c>
      <c r="C71" s="444"/>
      <c r="D71" s="444"/>
      <c r="E71" s="444"/>
      <c r="F71" s="444"/>
      <c r="G71" s="444"/>
      <c r="H71" s="444"/>
      <c r="I71" s="444"/>
      <c r="J71" s="444"/>
      <c r="K71" s="444"/>
      <c r="L71" s="444"/>
      <c r="M71" s="444"/>
      <c r="N71" s="444"/>
      <c r="O71" s="444"/>
      <c r="P71" s="444"/>
      <c r="Q71" s="444"/>
      <c r="R71" s="444"/>
      <c r="S71" s="444"/>
      <c r="T71" s="444"/>
      <c r="U71" s="444"/>
      <c r="V71" s="444">
        <v>22.894000000000005</v>
      </c>
      <c r="W71" s="444">
        <v>26.600000000000023</v>
      </c>
      <c r="X71" s="444">
        <v>23.799999999999955</v>
      </c>
      <c r="Y71" s="444">
        <v>25.399999999999977</v>
      </c>
      <c r="Z71" s="444"/>
      <c r="AA71" s="444"/>
      <c r="AB71" s="444"/>
      <c r="AC71" s="444"/>
      <c r="AD71" s="444"/>
      <c r="AE71" s="444"/>
      <c r="AF71" s="444"/>
      <c r="AG71" s="444"/>
      <c r="AH71" s="444"/>
      <c r="AI71" s="444"/>
      <c r="AJ71" s="444"/>
      <c r="AK71" s="444"/>
      <c r="AL71" s="444"/>
      <c r="AM71" s="444"/>
      <c r="AN71" s="444"/>
      <c r="AO71" s="444"/>
      <c r="AP71" s="444"/>
      <c r="AQ71" s="444"/>
      <c r="AR71" s="444"/>
      <c r="AS71" s="444"/>
      <c r="AT71" s="444"/>
      <c r="AU71" s="444"/>
      <c r="AV71" s="444"/>
      <c r="AW71" s="444"/>
      <c r="AX71" s="444"/>
      <c r="AY71" s="444"/>
      <c r="AZ71" s="444"/>
      <c r="BA71" s="444"/>
      <c r="BB71" s="444"/>
      <c r="BC71" s="444"/>
    </row>
    <row r="72" spans="1:55" hidden="1" x14ac:dyDescent="0.25">
      <c r="A72" s="186">
        <v>8</v>
      </c>
      <c r="B72" s="72" t="str">
        <f t="shared" si="0"/>
        <v>GC - 303 - T4 - 81m²</v>
      </c>
      <c r="C72" s="444"/>
      <c r="D72" s="444"/>
      <c r="E72" s="444"/>
      <c r="F72" s="444"/>
      <c r="G72" s="444"/>
      <c r="H72" s="444"/>
      <c r="I72" s="444"/>
      <c r="J72" s="444"/>
      <c r="K72" s="444"/>
      <c r="L72" s="444"/>
      <c r="M72" s="444"/>
      <c r="N72" s="444"/>
      <c r="O72" s="444"/>
      <c r="P72" s="444"/>
      <c r="Q72" s="444"/>
      <c r="R72" s="444"/>
      <c r="S72" s="444"/>
      <c r="T72" s="444"/>
      <c r="U72" s="444"/>
      <c r="V72" s="444">
        <v>80.277000000000044</v>
      </c>
      <c r="W72" s="444">
        <v>70.900000000000091</v>
      </c>
      <c r="X72" s="444">
        <v>93</v>
      </c>
      <c r="Y72" s="444">
        <v>73.299999999999955</v>
      </c>
      <c r="Z72" s="444"/>
      <c r="AA72" s="444"/>
      <c r="AB72" s="444"/>
      <c r="AC72" s="444"/>
      <c r="AD72" s="444"/>
      <c r="AE72" s="444"/>
      <c r="AF72" s="444"/>
      <c r="AG72" s="444"/>
      <c r="AH72" s="444"/>
      <c r="AI72" s="444"/>
      <c r="AJ72" s="444"/>
      <c r="AK72" s="444"/>
      <c r="AL72" s="444"/>
      <c r="AM72" s="444"/>
      <c r="AN72" s="444"/>
      <c r="AO72" s="444"/>
      <c r="AP72" s="444"/>
      <c r="AQ72" s="444"/>
      <c r="AR72" s="444"/>
      <c r="AS72" s="444"/>
      <c r="AT72" s="444"/>
      <c r="AU72" s="444"/>
      <c r="AV72" s="444"/>
      <c r="AW72" s="444"/>
      <c r="AX72" s="444"/>
      <c r="AY72" s="444"/>
      <c r="AZ72" s="444"/>
      <c r="BA72" s="444"/>
      <c r="BB72" s="444"/>
      <c r="BC72" s="444"/>
    </row>
    <row r="73" spans="1:55" hidden="1" x14ac:dyDescent="0.25">
      <c r="A73" s="186">
        <v>9</v>
      </c>
      <c r="B73" s="72" t="str">
        <f t="shared" si="0"/>
        <v>GC - 304 - T3 - 66m²</v>
      </c>
      <c r="C73" s="444"/>
      <c r="D73" s="444"/>
      <c r="E73" s="444"/>
      <c r="F73" s="444"/>
      <c r="G73" s="444"/>
      <c r="H73" s="444"/>
      <c r="I73" s="444"/>
      <c r="J73" s="444"/>
      <c r="K73" s="444"/>
      <c r="L73" s="444"/>
      <c r="M73" s="444"/>
      <c r="N73" s="444"/>
      <c r="O73" s="444"/>
      <c r="P73" s="444"/>
      <c r="Q73" s="444"/>
      <c r="R73" s="444"/>
      <c r="S73" s="444"/>
      <c r="T73" s="444"/>
      <c r="U73" s="444"/>
      <c r="V73" s="444">
        <v>34.635999999999967</v>
      </c>
      <c r="W73" s="444">
        <v>34.099999999999909</v>
      </c>
      <c r="X73" s="444">
        <v>21.400000000000091</v>
      </c>
      <c r="Y73" s="444">
        <v>23.5</v>
      </c>
      <c r="Z73" s="444"/>
      <c r="AA73" s="444"/>
      <c r="AB73" s="444"/>
      <c r="AC73" s="444"/>
      <c r="AD73" s="444"/>
      <c r="AE73" s="444"/>
      <c r="AF73" s="444"/>
      <c r="AG73" s="444"/>
      <c r="AH73" s="444"/>
      <c r="AI73" s="444"/>
      <c r="AJ73" s="444"/>
      <c r="AK73" s="444"/>
      <c r="AL73" s="444"/>
      <c r="AM73" s="444"/>
      <c r="AN73" s="444"/>
      <c r="AO73" s="444"/>
      <c r="AP73" s="444"/>
      <c r="AQ73" s="444"/>
      <c r="AR73" s="444"/>
      <c r="AS73" s="444"/>
      <c r="AT73" s="444"/>
      <c r="AU73" s="444"/>
      <c r="AV73" s="444"/>
      <c r="AW73" s="444"/>
      <c r="AX73" s="444"/>
      <c r="AY73" s="444"/>
      <c r="AZ73" s="444"/>
      <c r="BA73" s="444"/>
      <c r="BB73" s="444"/>
      <c r="BC73" s="444"/>
    </row>
    <row r="74" spans="1:55" hidden="1" x14ac:dyDescent="0.25">
      <c r="A74" s="186">
        <v>10</v>
      </c>
      <c r="B74" s="72" t="str">
        <f t="shared" si="0"/>
        <v>GC - 306 - T3 - 66m²</v>
      </c>
      <c r="C74" s="444"/>
      <c r="D74" s="444"/>
      <c r="E74" s="444"/>
      <c r="F74" s="444"/>
      <c r="G74" s="444"/>
      <c r="H74" s="444"/>
      <c r="I74" s="444"/>
      <c r="J74" s="444"/>
      <c r="K74" s="444"/>
      <c r="L74" s="444"/>
      <c r="M74" s="444"/>
      <c r="N74" s="444"/>
      <c r="O74" s="444"/>
      <c r="P74" s="444"/>
      <c r="Q74" s="444"/>
      <c r="R74" s="444"/>
      <c r="S74" s="444"/>
      <c r="T74" s="444"/>
      <c r="U74" s="444"/>
      <c r="V74" s="444">
        <v>16.448000000000093</v>
      </c>
      <c r="W74" s="444">
        <v>16.899999999999977</v>
      </c>
      <c r="X74" s="444">
        <v>19.5</v>
      </c>
      <c r="Y74" s="444">
        <v>20.200000000000045</v>
      </c>
      <c r="Z74" s="444"/>
      <c r="AA74" s="444"/>
      <c r="AB74" s="444"/>
      <c r="AC74" s="444"/>
      <c r="AD74" s="444"/>
      <c r="AE74" s="444"/>
      <c r="AF74" s="444"/>
      <c r="AG74" s="444"/>
      <c r="AH74" s="444"/>
      <c r="AI74" s="444"/>
      <c r="AJ74" s="444"/>
      <c r="AK74" s="444"/>
      <c r="AL74" s="444"/>
      <c r="AM74" s="444"/>
      <c r="AN74" s="444"/>
      <c r="AO74" s="444"/>
      <c r="AP74" s="444"/>
      <c r="AQ74" s="444"/>
      <c r="AR74" s="444"/>
      <c r="AS74" s="444"/>
      <c r="AT74" s="444"/>
      <c r="AU74" s="444"/>
      <c r="AV74" s="444"/>
      <c r="AW74" s="444"/>
      <c r="AX74" s="444"/>
      <c r="AY74" s="444"/>
      <c r="AZ74" s="444"/>
      <c r="BA74" s="444"/>
      <c r="BB74" s="444"/>
      <c r="BC74" s="444"/>
    </row>
    <row r="75" spans="1:55" hidden="1" x14ac:dyDescent="0.25">
      <c r="A75" s="186">
        <v>11</v>
      </c>
      <c r="B75" s="72" t="str">
        <f t="shared" si="0"/>
        <v>GC - 307 - T3 - 66m²</v>
      </c>
      <c r="C75" s="444"/>
      <c r="D75" s="444"/>
      <c r="E75" s="444"/>
      <c r="F75" s="444"/>
      <c r="G75" s="444"/>
      <c r="H75" s="444"/>
      <c r="I75" s="444"/>
      <c r="J75" s="444"/>
      <c r="K75" s="444"/>
      <c r="L75" s="444"/>
      <c r="M75" s="444"/>
      <c r="N75" s="444"/>
      <c r="O75" s="444"/>
      <c r="P75" s="444"/>
      <c r="Q75" s="444"/>
      <c r="R75" s="444"/>
      <c r="S75" s="444"/>
      <c r="T75" s="444"/>
      <c r="U75" s="444"/>
      <c r="V75" s="444">
        <v>52.199999999999818</v>
      </c>
      <c r="W75" s="444">
        <v>56.299999999999955</v>
      </c>
      <c r="X75" s="444">
        <v>56.900000000000091</v>
      </c>
      <c r="Y75" s="444">
        <v>45.900000000000091</v>
      </c>
      <c r="Z75" s="444"/>
      <c r="AA75" s="444"/>
      <c r="AB75" s="444"/>
      <c r="AC75" s="444"/>
      <c r="AD75" s="444"/>
      <c r="AE75" s="444"/>
      <c r="AF75" s="444"/>
      <c r="AG75" s="444"/>
      <c r="AH75" s="444"/>
      <c r="AI75" s="444"/>
      <c r="AJ75" s="444"/>
      <c r="AK75" s="444"/>
      <c r="AL75" s="444"/>
      <c r="AM75" s="444"/>
      <c r="AN75" s="444"/>
      <c r="AO75" s="444"/>
      <c r="AP75" s="444"/>
      <c r="AQ75" s="444"/>
      <c r="AR75" s="444"/>
      <c r="AS75" s="444"/>
      <c r="AT75" s="444"/>
      <c r="AU75" s="444"/>
      <c r="AV75" s="444"/>
      <c r="AW75" s="444"/>
      <c r="AX75" s="444"/>
      <c r="AY75" s="444"/>
      <c r="AZ75" s="444"/>
      <c r="BA75" s="444"/>
      <c r="BB75" s="444"/>
      <c r="BC75" s="444"/>
    </row>
    <row r="76" spans="1:55" hidden="1" x14ac:dyDescent="0.25">
      <c r="A76" s="186">
        <v>12</v>
      </c>
      <c r="B76" s="72" t="str">
        <f t="shared" si="0"/>
        <v>GC - 308 - T3 - 66m²</v>
      </c>
      <c r="C76" s="444"/>
      <c r="D76" s="444"/>
      <c r="E76" s="444"/>
      <c r="F76" s="444"/>
      <c r="G76" s="444"/>
      <c r="H76" s="444"/>
      <c r="I76" s="444"/>
      <c r="J76" s="444"/>
      <c r="K76" s="444"/>
      <c r="L76" s="444"/>
      <c r="M76" s="444"/>
      <c r="N76" s="444"/>
      <c r="O76" s="444"/>
      <c r="P76" s="444"/>
      <c r="Q76" s="444"/>
      <c r="R76" s="444"/>
      <c r="S76" s="444"/>
      <c r="T76" s="444"/>
      <c r="U76" s="444"/>
      <c r="V76" s="444">
        <v>21.098999999999933</v>
      </c>
      <c r="W76" s="444">
        <v>26.199999999999932</v>
      </c>
      <c r="X76" s="444">
        <v>25.100000000000136</v>
      </c>
      <c r="Y76" s="444">
        <v>22.199999999999818</v>
      </c>
      <c r="Z76" s="444"/>
      <c r="AA76" s="444"/>
      <c r="AB76" s="444"/>
      <c r="AC76" s="444"/>
      <c r="AD76" s="444"/>
      <c r="AE76" s="444"/>
      <c r="AF76" s="444"/>
      <c r="AG76" s="444"/>
      <c r="AH76" s="444"/>
      <c r="AI76" s="444"/>
      <c r="AJ76" s="444"/>
      <c r="AK76" s="444"/>
      <c r="AL76" s="444"/>
      <c r="AM76" s="444"/>
      <c r="AN76" s="444"/>
      <c r="AO76" s="444"/>
      <c r="AP76" s="444"/>
      <c r="AQ76" s="444"/>
      <c r="AR76" s="444"/>
      <c r="AS76" s="444"/>
      <c r="AT76" s="444"/>
      <c r="AU76" s="444"/>
      <c r="AV76" s="444"/>
      <c r="AW76" s="444"/>
      <c r="AX76" s="444"/>
      <c r="AY76" s="444"/>
      <c r="AZ76" s="444"/>
      <c r="BA76" s="444"/>
      <c r="BB76" s="444"/>
      <c r="BC76" s="444"/>
    </row>
    <row r="77" spans="1:55" hidden="1" x14ac:dyDescent="0.25">
      <c r="A77" s="186">
        <v>13</v>
      </c>
      <c r="B77" s="72" t="str">
        <f t="shared" si="0"/>
        <v>GC - 314 - T4 - 75m²</v>
      </c>
      <c r="C77" s="444"/>
      <c r="D77" s="444"/>
      <c r="E77" s="444"/>
      <c r="F77" s="444"/>
      <c r="G77" s="444"/>
      <c r="H77" s="444"/>
      <c r="I77" s="444"/>
      <c r="J77" s="444"/>
      <c r="K77" s="444"/>
      <c r="L77" s="444"/>
      <c r="M77" s="444"/>
      <c r="N77" s="444"/>
      <c r="O77" s="444"/>
      <c r="P77" s="444"/>
      <c r="Q77" s="444"/>
      <c r="R77" s="444"/>
      <c r="S77" s="444"/>
      <c r="T77" s="444"/>
      <c r="U77" s="444"/>
      <c r="V77" s="444">
        <v>114.37899999999991</v>
      </c>
      <c r="W77" s="444">
        <v>121.80000000000018</v>
      </c>
      <c r="X77" s="444">
        <v>120.29999999999973</v>
      </c>
      <c r="Y77" s="444">
        <v>113.20000000000027</v>
      </c>
      <c r="Z77" s="444"/>
      <c r="AA77" s="444"/>
      <c r="AB77" s="444"/>
      <c r="AC77" s="444"/>
      <c r="AD77" s="444"/>
      <c r="AE77" s="444"/>
      <c r="AF77" s="444"/>
      <c r="AG77" s="444"/>
      <c r="AH77" s="444"/>
      <c r="AI77" s="444"/>
      <c r="AJ77" s="444"/>
      <c r="AK77" s="444"/>
      <c r="AL77" s="444"/>
      <c r="AM77" s="444"/>
      <c r="AN77" s="444"/>
      <c r="AO77" s="444"/>
      <c r="AP77" s="444"/>
      <c r="AQ77" s="444"/>
      <c r="AR77" s="444"/>
      <c r="AS77" s="444"/>
      <c r="AT77" s="444"/>
      <c r="AU77" s="444"/>
      <c r="AV77" s="444"/>
      <c r="AW77" s="444"/>
      <c r="AX77" s="444"/>
      <c r="AY77" s="444"/>
      <c r="AZ77" s="444"/>
      <c r="BA77" s="444"/>
      <c r="BB77" s="444"/>
      <c r="BC77" s="444"/>
    </row>
    <row r="78" spans="1:55" hidden="1" x14ac:dyDescent="0.25">
      <c r="A78" s="186">
        <v>14</v>
      </c>
      <c r="B78" s="72"/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  <c r="O78" s="445"/>
      <c r="P78" s="445"/>
      <c r="Q78" s="445"/>
      <c r="R78" s="445"/>
      <c r="S78" s="445"/>
      <c r="T78" s="445"/>
      <c r="U78" s="445"/>
      <c r="V78" s="445">
        <v>42.94115384615381</v>
      </c>
      <c r="W78" s="445">
        <v>43.823076923076947</v>
      </c>
      <c r="X78" s="445">
        <v>44.661538461538456</v>
      </c>
      <c r="Y78" s="445">
        <v>40.961538461538481</v>
      </c>
      <c r="Z78" s="445"/>
      <c r="AA78" s="445"/>
      <c r="AB78" s="445"/>
      <c r="AC78" s="445"/>
      <c r="AD78" s="445"/>
      <c r="AE78" s="445"/>
      <c r="AF78" s="445"/>
      <c r="AG78" s="445"/>
      <c r="AH78" s="445"/>
      <c r="AI78" s="445"/>
      <c r="AJ78" s="445"/>
      <c r="AK78" s="445"/>
      <c r="AL78" s="445"/>
      <c r="AM78" s="445"/>
      <c r="AN78" s="445"/>
      <c r="AO78" s="445"/>
      <c r="AP78" s="445"/>
      <c r="AQ78" s="445"/>
      <c r="AR78" s="445"/>
      <c r="AS78" s="445"/>
      <c r="AT78" s="445"/>
      <c r="AU78" s="445"/>
      <c r="AV78" s="445"/>
      <c r="AW78" s="445"/>
      <c r="AX78" s="445"/>
      <c r="AY78" s="445"/>
      <c r="AZ78" s="445"/>
      <c r="BA78" s="445"/>
      <c r="BB78" s="445"/>
      <c r="BC78" s="445"/>
    </row>
    <row r="79" spans="1:55" hidden="1" x14ac:dyDescent="0.25">
      <c r="A79" s="186">
        <v>15</v>
      </c>
      <c r="B79" s="72" t="str">
        <f t="shared" ref="B79:B91" si="1">B24</f>
        <v>GE2.1 - 275 - T3 - 74m²</v>
      </c>
      <c r="C79" s="444"/>
      <c r="D79" s="444"/>
      <c r="E79" s="444"/>
      <c r="F79" s="444"/>
      <c r="G79" s="444"/>
      <c r="H79" s="444"/>
      <c r="I79" s="444"/>
      <c r="J79" s="444"/>
      <c r="K79" s="444"/>
      <c r="L79" s="444"/>
      <c r="M79" s="444"/>
      <c r="N79" s="444"/>
      <c r="O79" s="444"/>
      <c r="P79" s="444"/>
      <c r="Q79" s="444"/>
      <c r="R79" s="444"/>
      <c r="S79" s="444"/>
      <c r="T79" s="444"/>
      <c r="U79" s="444"/>
      <c r="V79" s="444">
        <v>48.962999999999965</v>
      </c>
      <c r="W79" s="444">
        <v>66.899999999999864</v>
      </c>
      <c r="X79" s="444">
        <v>59.100000000000136</v>
      </c>
      <c r="Y79" s="444">
        <v>55</v>
      </c>
      <c r="Z79" s="444"/>
      <c r="AA79" s="444"/>
      <c r="AB79" s="444"/>
      <c r="AC79" s="444"/>
      <c r="AD79" s="444"/>
      <c r="AE79" s="444"/>
      <c r="AF79" s="444"/>
      <c r="AG79" s="444"/>
      <c r="AH79" s="444"/>
      <c r="AI79" s="444"/>
      <c r="AJ79" s="444"/>
      <c r="AK79" s="444"/>
      <c r="AL79" s="444"/>
      <c r="AM79" s="444"/>
      <c r="AN79" s="444"/>
      <c r="AO79" s="444"/>
      <c r="AP79" s="444"/>
      <c r="AQ79" s="444"/>
      <c r="AR79" s="444"/>
      <c r="AS79" s="444"/>
      <c r="AT79" s="444"/>
      <c r="AU79" s="444"/>
      <c r="AV79" s="444"/>
      <c r="AW79" s="444"/>
      <c r="AX79" s="444"/>
      <c r="AY79" s="444"/>
      <c r="AZ79" s="444"/>
      <c r="BA79" s="444"/>
      <c r="BB79" s="444"/>
      <c r="BC79" s="444"/>
    </row>
    <row r="80" spans="1:55" hidden="1" x14ac:dyDescent="0.25">
      <c r="A80" s="186">
        <v>16</v>
      </c>
      <c r="B80" s="72" t="str">
        <f t="shared" si="1"/>
        <v>GE2.1 - 278 - T2 - 57m²</v>
      </c>
      <c r="C80" s="444"/>
      <c r="D80" s="444"/>
      <c r="E80" s="444"/>
      <c r="F80" s="444"/>
      <c r="G80" s="444"/>
      <c r="H80" s="444"/>
      <c r="I80" s="444"/>
      <c r="J80" s="444"/>
      <c r="K80" s="444"/>
      <c r="L80" s="444"/>
      <c r="M80" s="444"/>
      <c r="N80" s="444"/>
      <c r="O80" s="444"/>
      <c r="P80" s="444"/>
      <c r="Q80" s="444"/>
      <c r="R80" s="444"/>
      <c r="S80" s="444"/>
      <c r="T80" s="444"/>
      <c r="U80" s="444"/>
      <c r="V80" s="444">
        <v>3.9110000000000014</v>
      </c>
      <c r="W80" s="444">
        <v>2.8000000000000114</v>
      </c>
      <c r="X80" s="444">
        <v>3.8999999999999773</v>
      </c>
      <c r="Y80" s="444">
        <v>3</v>
      </c>
      <c r="Z80" s="444"/>
      <c r="AA80" s="444"/>
      <c r="AB80" s="444"/>
      <c r="AC80" s="444"/>
      <c r="AD80" s="444"/>
      <c r="AE80" s="444"/>
      <c r="AF80" s="444"/>
      <c r="AG80" s="444"/>
      <c r="AH80" s="444"/>
      <c r="AI80" s="444"/>
      <c r="AJ80" s="444"/>
      <c r="AK80" s="444"/>
      <c r="AL80" s="444"/>
      <c r="AM80" s="444"/>
      <c r="AN80" s="444"/>
      <c r="AO80" s="444"/>
      <c r="AP80" s="444"/>
      <c r="AQ80" s="444"/>
      <c r="AR80" s="444"/>
      <c r="AS80" s="444"/>
      <c r="AT80" s="444"/>
      <c r="AU80" s="444"/>
      <c r="AV80" s="444"/>
      <c r="AW80" s="444"/>
      <c r="AX80" s="444"/>
      <c r="AY80" s="444"/>
      <c r="AZ80" s="444"/>
      <c r="BA80" s="444"/>
      <c r="BB80" s="444"/>
      <c r="BC80" s="444"/>
    </row>
    <row r="81" spans="1:55" hidden="1" x14ac:dyDescent="0.25">
      <c r="A81" s="186">
        <v>17</v>
      </c>
      <c r="B81" s="72" t="str">
        <f t="shared" si="1"/>
        <v>GE2.1 - 280 - T3 - 66m²</v>
      </c>
      <c r="C81" s="444"/>
      <c r="D81" s="444"/>
      <c r="E81" s="444"/>
      <c r="F81" s="444"/>
      <c r="G81" s="444"/>
      <c r="H81" s="444"/>
      <c r="I81" s="444"/>
      <c r="J81" s="444"/>
      <c r="K81" s="444"/>
      <c r="L81" s="444"/>
      <c r="M81" s="444"/>
      <c r="N81" s="444"/>
      <c r="O81" s="444"/>
      <c r="P81" s="444"/>
      <c r="Q81" s="444"/>
      <c r="R81" s="444"/>
      <c r="S81" s="444"/>
      <c r="T81" s="444"/>
      <c r="U81" s="444"/>
      <c r="V81" s="444">
        <v>2.2000000000000242E-2</v>
      </c>
      <c r="W81" s="444">
        <v>0.10000000000000009</v>
      </c>
      <c r="X81" s="444">
        <v>0.10000000000000009</v>
      </c>
      <c r="Y81" s="444">
        <v>0.39999999999999991</v>
      </c>
      <c r="Z81" s="444"/>
      <c r="AA81" s="444"/>
      <c r="AB81" s="444"/>
      <c r="AC81" s="444"/>
      <c r="AD81" s="444"/>
      <c r="AE81" s="444"/>
      <c r="AF81" s="444"/>
      <c r="AG81" s="444"/>
      <c r="AH81" s="444"/>
      <c r="AI81" s="444"/>
      <c r="AJ81" s="444"/>
      <c r="AK81" s="444"/>
      <c r="AL81" s="444"/>
      <c r="AM81" s="444"/>
      <c r="AN81" s="444"/>
      <c r="AO81" s="444"/>
      <c r="AP81" s="444"/>
      <c r="AQ81" s="444"/>
      <c r="AR81" s="444"/>
      <c r="AS81" s="444"/>
      <c r="AT81" s="444"/>
      <c r="AU81" s="444"/>
      <c r="AV81" s="444"/>
      <c r="AW81" s="444"/>
      <c r="AX81" s="444"/>
      <c r="AY81" s="444"/>
      <c r="AZ81" s="444"/>
      <c r="BA81" s="444"/>
      <c r="BB81" s="444"/>
      <c r="BC81" s="444"/>
    </row>
    <row r="82" spans="1:55" hidden="1" x14ac:dyDescent="0.25">
      <c r="A82" s="186">
        <v>18</v>
      </c>
      <c r="B82" s="72" t="str">
        <f t="shared" si="1"/>
        <v>GE2.1 - 282 - T4 - 78m²</v>
      </c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  <c r="V82" s="444">
        <v>27.067000000000007</v>
      </c>
      <c r="W82" s="444">
        <v>29.300000000000068</v>
      </c>
      <c r="X82" s="444">
        <v>25.899999999999977</v>
      </c>
      <c r="Y82" s="444">
        <v>29.299999999999955</v>
      </c>
      <c r="Z82" s="444"/>
      <c r="AA82" s="444"/>
      <c r="AB82" s="444"/>
      <c r="AC82" s="444"/>
      <c r="AD82" s="444"/>
      <c r="AE82" s="444"/>
      <c r="AF82" s="444"/>
      <c r="AG82" s="444"/>
      <c r="AH82" s="444"/>
      <c r="AI82" s="444"/>
      <c r="AJ82" s="444"/>
      <c r="AK82" s="444"/>
      <c r="AL82" s="444"/>
      <c r="AM82" s="444"/>
      <c r="AN82" s="444"/>
      <c r="AO82" s="444"/>
      <c r="AP82" s="444"/>
      <c r="AQ82" s="444"/>
      <c r="AR82" s="444"/>
      <c r="AS82" s="444"/>
      <c r="AT82" s="444"/>
      <c r="AU82" s="444"/>
      <c r="AV82" s="444"/>
      <c r="AW82" s="444"/>
      <c r="AX82" s="444"/>
      <c r="AY82" s="444"/>
      <c r="AZ82" s="444"/>
      <c r="BA82" s="444"/>
      <c r="BB82" s="444"/>
      <c r="BC82" s="444"/>
    </row>
    <row r="83" spans="1:55" hidden="1" x14ac:dyDescent="0.25">
      <c r="A83" s="186">
        <v>19</v>
      </c>
      <c r="B83" s="72" t="str">
        <f t="shared" si="1"/>
        <v>GE2.1 - 292 - T3 - 63m²</v>
      </c>
      <c r="C83" s="444"/>
      <c r="D83" s="444"/>
      <c r="E83" s="444"/>
      <c r="F83" s="444"/>
      <c r="G83" s="444"/>
      <c r="H83" s="444"/>
      <c r="I83" s="444"/>
      <c r="J83" s="444"/>
      <c r="K83" s="444"/>
      <c r="L83" s="444"/>
      <c r="M83" s="444"/>
      <c r="N83" s="444"/>
      <c r="O83" s="444"/>
      <c r="P83" s="444"/>
      <c r="Q83" s="444"/>
      <c r="R83" s="444"/>
      <c r="S83" s="444"/>
      <c r="T83" s="444"/>
      <c r="U83" s="444"/>
      <c r="V83" s="444">
        <v>32.384999999999991</v>
      </c>
      <c r="W83" s="444">
        <v>31.700000000000045</v>
      </c>
      <c r="X83" s="444">
        <v>34.199999999999932</v>
      </c>
      <c r="Y83" s="444">
        <v>35.5</v>
      </c>
      <c r="Z83" s="444"/>
      <c r="AA83" s="444"/>
      <c r="AB83" s="444"/>
      <c r="AC83" s="444"/>
      <c r="AD83" s="444"/>
      <c r="AE83" s="444"/>
      <c r="AF83" s="444"/>
      <c r="AG83" s="444"/>
      <c r="AH83" s="444"/>
      <c r="AI83" s="444"/>
      <c r="AJ83" s="444"/>
      <c r="AK83" s="444"/>
      <c r="AL83" s="444"/>
      <c r="AM83" s="444"/>
      <c r="AN83" s="444"/>
      <c r="AO83" s="444"/>
      <c r="AP83" s="444"/>
      <c r="AQ83" s="444"/>
      <c r="AR83" s="444"/>
      <c r="AS83" s="444"/>
      <c r="AT83" s="444"/>
      <c r="AU83" s="444"/>
      <c r="AV83" s="444"/>
      <c r="AW83" s="444"/>
      <c r="AX83" s="444"/>
      <c r="AY83" s="444"/>
      <c r="AZ83" s="444"/>
      <c r="BA83" s="444"/>
      <c r="BB83" s="444"/>
      <c r="BC83" s="444"/>
    </row>
    <row r="84" spans="1:55" hidden="1" x14ac:dyDescent="0.25">
      <c r="A84" s="186">
        <v>20</v>
      </c>
      <c r="B84" s="72" t="str">
        <f t="shared" si="1"/>
        <v>GE2.1 - 293 - T3 - 63m²</v>
      </c>
      <c r="C84" s="444"/>
      <c r="D84" s="444"/>
      <c r="E84" s="444"/>
      <c r="F84" s="444"/>
      <c r="G84" s="444"/>
      <c r="H84" s="444"/>
      <c r="I84" s="444"/>
      <c r="J84" s="444"/>
      <c r="K84" s="444"/>
      <c r="L84" s="444"/>
      <c r="M84" s="444"/>
      <c r="N84" s="444"/>
      <c r="O84" s="444"/>
      <c r="P84" s="444"/>
      <c r="Q84" s="444"/>
      <c r="R84" s="444"/>
      <c r="S84" s="444"/>
      <c r="T84" s="444"/>
      <c r="U84" s="444"/>
      <c r="V84" s="444">
        <v>24.295999999999992</v>
      </c>
      <c r="W84" s="444">
        <v>25.600000000000023</v>
      </c>
      <c r="X84" s="444">
        <v>33.899999999999977</v>
      </c>
      <c r="Y84" s="444">
        <v>25.699999999999989</v>
      </c>
      <c r="Z84" s="444"/>
      <c r="AA84" s="444"/>
      <c r="AB84" s="444"/>
      <c r="AC84" s="444"/>
      <c r="AD84" s="444"/>
      <c r="AE84" s="444"/>
      <c r="AF84" s="444"/>
      <c r="AG84" s="444"/>
      <c r="AH84" s="444"/>
      <c r="AI84" s="444"/>
      <c r="AJ84" s="444"/>
      <c r="AK84" s="444"/>
      <c r="AL84" s="444"/>
      <c r="AM84" s="444"/>
      <c r="AN84" s="444"/>
      <c r="AO84" s="444"/>
      <c r="AP84" s="444"/>
      <c r="AQ84" s="444"/>
      <c r="AR84" s="444"/>
      <c r="AS84" s="444"/>
      <c r="AT84" s="444"/>
      <c r="AU84" s="444"/>
      <c r="AV84" s="444"/>
      <c r="AW84" s="444"/>
      <c r="AX84" s="444"/>
      <c r="AY84" s="444"/>
      <c r="AZ84" s="444"/>
      <c r="BA84" s="444"/>
      <c r="BB84" s="444"/>
      <c r="BC84" s="444"/>
    </row>
    <row r="85" spans="1:55" hidden="1" x14ac:dyDescent="0.25">
      <c r="A85" s="186">
        <v>21</v>
      </c>
      <c r="B85" s="72" t="str">
        <f t="shared" si="1"/>
        <v>GE2.1 - 295 - T3 - 63m²</v>
      </c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  <c r="V85" s="444">
        <v>38.732999999999947</v>
      </c>
      <c r="W85" s="444">
        <v>50.200000000000045</v>
      </c>
      <c r="X85" s="444">
        <v>49.299999999999955</v>
      </c>
      <c r="Y85" s="444">
        <v>48.599999999999909</v>
      </c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4"/>
      <c r="AO85" s="444"/>
      <c r="AP85" s="444"/>
      <c r="AQ85" s="444"/>
      <c r="AR85" s="444"/>
      <c r="AS85" s="444"/>
      <c r="AT85" s="444"/>
      <c r="AU85" s="444"/>
      <c r="AV85" s="444"/>
      <c r="AW85" s="444"/>
      <c r="AX85" s="444"/>
      <c r="AY85" s="444"/>
      <c r="AZ85" s="444"/>
      <c r="BA85" s="444"/>
      <c r="BB85" s="444"/>
      <c r="BC85" s="444"/>
    </row>
    <row r="86" spans="1:55" hidden="1" x14ac:dyDescent="0.25">
      <c r="A86" s="186">
        <v>22</v>
      </c>
      <c r="B86" s="72" t="str">
        <f t="shared" si="1"/>
        <v>GE2.1 - 296 - T4 - 78m²</v>
      </c>
      <c r="C86" s="444"/>
      <c r="D86" s="444"/>
      <c r="E86" s="444"/>
      <c r="F86" s="444"/>
      <c r="G86" s="444"/>
      <c r="H86" s="444"/>
      <c r="I86" s="444"/>
      <c r="J86" s="444"/>
      <c r="K86" s="444"/>
      <c r="L86" s="444"/>
      <c r="M86" s="444"/>
      <c r="N86" s="444"/>
      <c r="O86" s="444"/>
      <c r="P86" s="444"/>
      <c r="Q86" s="444"/>
      <c r="R86" s="444"/>
      <c r="S86" s="444"/>
      <c r="T86" s="444"/>
      <c r="U86" s="444"/>
      <c r="V86" s="444">
        <v>20.949999999999932</v>
      </c>
      <c r="W86" s="444">
        <v>21.399999999999977</v>
      </c>
      <c r="X86" s="444">
        <v>31.100000000000023</v>
      </c>
      <c r="Y86" s="444">
        <v>27.700000000000045</v>
      </c>
      <c r="Z86" s="444"/>
      <c r="AA86" s="444"/>
      <c r="AB86" s="444"/>
      <c r="AC86" s="444"/>
      <c r="AD86" s="444"/>
      <c r="AE86" s="444"/>
      <c r="AF86" s="444"/>
      <c r="AG86" s="444"/>
      <c r="AH86" s="444"/>
      <c r="AI86" s="444"/>
      <c r="AJ86" s="444"/>
      <c r="AK86" s="444"/>
      <c r="AL86" s="444"/>
      <c r="AM86" s="444"/>
      <c r="AN86" s="444"/>
      <c r="AO86" s="444"/>
      <c r="AP86" s="444"/>
      <c r="AQ86" s="444"/>
      <c r="AR86" s="444"/>
      <c r="AS86" s="444"/>
      <c r="AT86" s="444"/>
      <c r="AU86" s="444"/>
      <c r="AV86" s="444"/>
      <c r="AW86" s="444"/>
      <c r="AX86" s="444"/>
      <c r="AY86" s="444"/>
      <c r="AZ86" s="444"/>
      <c r="BA86" s="444"/>
      <c r="BB86" s="444"/>
      <c r="BC86" s="444"/>
    </row>
    <row r="87" spans="1:55" hidden="1" x14ac:dyDescent="0.25">
      <c r="A87" s="186">
        <v>23</v>
      </c>
      <c r="B87" s="72" t="str">
        <f t="shared" si="1"/>
        <v>GE2.1 - 297 - T4 - 79m²</v>
      </c>
      <c r="C87" s="444"/>
      <c r="D87" s="444"/>
      <c r="E87" s="444"/>
      <c r="F87" s="444"/>
      <c r="G87" s="444"/>
      <c r="H87" s="444"/>
      <c r="I87" s="444"/>
      <c r="J87" s="444"/>
      <c r="K87" s="444"/>
      <c r="L87" s="444"/>
      <c r="M87" s="444"/>
      <c r="N87" s="444"/>
      <c r="O87" s="444"/>
      <c r="P87" s="444"/>
      <c r="Q87" s="444"/>
      <c r="R87" s="444"/>
      <c r="S87" s="444"/>
      <c r="T87" s="444"/>
      <c r="U87" s="444"/>
      <c r="V87" s="444">
        <v>62.982999999999947</v>
      </c>
      <c r="W87" s="444">
        <v>64.100000000000136</v>
      </c>
      <c r="X87" s="444">
        <v>60</v>
      </c>
      <c r="Y87" s="444">
        <v>58.899999999999864</v>
      </c>
      <c r="Z87" s="444"/>
      <c r="AA87" s="444"/>
      <c r="AB87" s="444"/>
      <c r="AC87" s="444"/>
      <c r="AD87" s="444"/>
      <c r="AE87" s="444"/>
      <c r="AF87" s="444"/>
      <c r="AG87" s="444"/>
      <c r="AH87" s="444"/>
      <c r="AI87" s="444"/>
      <c r="AJ87" s="444"/>
      <c r="AK87" s="444"/>
      <c r="AL87" s="444"/>
      <c r="AM87" s="444"/>
      <c r="AN87" s="444"/>
      <c r="AO87" s="444"/>
      <c r="AP87" s="444"/>
      <c r="AQ87" s="444"/>
      <c r="AR87" s="444"/>
      <c r="AS87" s="444"/>
      <c r="AT87" s="444"/>
      <c r="AU87" s="444"/>
      <c r="AV87" s="444"/>
      <c r="AW87" s="444"/>
      <c r="AX87" s="444"/>
      <c r="AY87" s="444"/>
      <c r="AZ87" s="444"/>
      <c r="BA87" s="444"/>
      <c r="BB87" s="444"/>
      <c r="BC87" s="444"/>
    </row>
    <row r="88" spans="1:55" hidden="1" x14ac:dyDescent="0.25">
      <c r="A88" s="186">
        <v>24</v>
      </c>
      <c r="B88" s="72" t="str">
        <f t="shared" si="1"/>
        <v>GE2.1 - 299 - T4 - 79m²</v>
      </c>
      <c r="C88" s="444"/>
      <c r="D88" s="444"/>
      <c r="E88" s="444"/>
      <c r="F88" s="444"/>
      <c r="G88" s="444"/>
      <c r="H88" s="444"/>
      <c r="I88" s="444"/>
      <c r="J88" s="444"/>
      <c r="K88" s="444"/>
      <c r="L88" s="444"/>
      <c r="M88" s="444"/>
      <c r="N88" s="444"/>
      <c r="O88" s="444"/>
      <c r="P88" s="444"/>
      <c r="Q88" s="444"/>
      <c r="R88" s="444"/>
      <c r="S88" s="444"/>
      <c r="T88" s="444"/>
      <c r="U88" s="444"/>
      <c r="V88" s="444">
        <v>24.642000000000053</v>
      </c>
      <c r="W88" s="444">
        <v>21.100000000000023</v>
      </c>
      <c r="X88" s="444">
        <v>5.2000000000000455</v>
      </c>
      <c r="Y88" s="444">
        <v>22.299999999999955</v>
      </c>
      <c r="Z88" s="444"/>
      <c r="AA88" s="444"/>
      <c r="AB88" s="444"/>
      <c r="AC88" s="444"/>
      <c r="AD88" s="444"/>
      <c r="AE88" s="444"/>
      <c r="AF88" s="444"/>
      <c r="AG88" s="444"/>
      <c r="AH88" s="444"/>
      <c r="AI88" s="444"/>
      <c r="AJ88" s="444"/>
      <c r="AK88" s="444"/>
      <c r="AL88" s="444"/>
      <c r="AM88" s="444"/>
      <c r="AN88" s="444"/>
      <c r="AO88" s="444"/>
      <c r="AP88" s="444"/>
      <c r="AQ88" s="444"/>
      <c r="AR88" s="444"/>
      <c r="AS88" s="444"/>
      <c r="AT88" s="444"/>
      <c r="AU88" s="444"/>
      <c r="AV88" s="444"/>
      <c r="AW88" s="444"/>
      <c r="AX88" s="444"/>
      <c r="AY88" s="444"/>
      <c r="AZ88" s="444"/>
      <c r="BA88" s="444"/>
      <c r="BB88" s="444"/>
      <c r="BC88" s="444"/>
    </row>
    <row r="89" spans="1:55" hidden="1" x14ac:dyDescent="0.25">
      <c r="A89" s="186">
        <v>25</v>
      </c>
      <c r="B89" s="72" t="str">
        <f t="shared" si="1"/>
        <v>GE2.1 - 300 - T5 - 93m²</v>
      </c>
      <c r="C89" s="444"/>
      <c r="D89" s="444"/>
      <c r="E89" s="444"/>
      <c r="F89" s="444"/>
      <c r="G89" s="444"/>
      <c r="H89" s="444"/>
      <c r="I89" s="444"/>
      <c r="J89" s="444"/>
      <c r="K89" s="444"/>
      <c r="L89" s="444"/>
      <c r="M89" s="444"/>
      <c r="N89" s="444"/>
      <c r="O89" s="444"/>
      <c r="P89" s="444"/>
      <c r="Q89" s="444"/>
      <c r="R89" s="444"/>
      <c r="S89" s="444"/>
      <c r="T89" s="444"/>
      <c r="U89" s="444"/>
      <c r="V89" s="444">
        <v>63.718999999999824</v>
      </c>
      <c r="W89" s="444">
        <v>53.600000000000136</v>
      </c>
      <c r="X89" s="444">
        <v>58.199999999999818</v>
      </c>
      <c r="Y89" s="444">
        <v>49</v>
      </c>
      <c r="Z89" s="444"/>
      <c r="AA89" s="444"/>
      <c r="AB89" s="444"/>
      <c r="AC89" s="444"/>
      <c r="AD89" s="444"/>
      <c r="AE89" s="444"/>
      <c r="AF89" s="444"/>
      <c r="AG89" s="444"/>
      <c r="AH89" s="444"/>
      <c r="AI89" s="444"/>
      <c r="AJ89" s="444"/>
      <c r="AK89" s="444"/>
      <c r="AL89" s="444"/>
      <c r="AM89" s="444"/>
      <c r="AN89" s="444"/>
      <c r="AO89" s="444"/>
      <c r="AP89" s="444"/>
      <c r="AQ89" s="444"/>
      <c r="AR89" s="444"/>
      <c r="AS89" s="444"/>
      <c r="AT89" s="444"/>
      <c r="AU89" s="444"/>
      <c r="AV89" s="444"/>
      <c r="AW89" s="444"/>
      <c r="AX89" s="444"/>
      <c r="AY89" s="444"/>
      <c r="AZ89" s="444"/>
      <c r="BA89" s="444"/>
      <c r="BB89" s="444"/>
      <c r="BC89" s="444"/>
    </row>
    <row r="90" spans="1:55" hidden="1" x14ac:dyDescent="0.25">
      <c r="A90" s="186">
        <v>26</v>
      </c>
      <c r="B90" s="72" t="str">
        <f t="shared" si="1"/>
        <v>GE2.1 - 302 - T5 - 93m²</v>
      </c>
      <c r="C90" s="444"/>
      <c r="D90" s="444"/>
      <c r="E90" s="444"/>
      <c r="F90" s="444"/>
      <c r="G90" s="444"/>
      <c r="H90" s="444"/>
      <c r="I90" s="444"/>
      <c r="J90" s="444"/>
      <c r="K90" s="444"/>
      <c r="L90" s="444"/>
      <c r="M90" s="444"/>
      <c r="N90" s="444"/>
      <c r="O90" s="444"/>
      <c r="P90" s="444"/>
      <c r="Q90" s="444"/>
      <c r="R90" s="444"/>
      <c r="S90" s="444"/>
      <c r="T90" s="444"/>
      <c r="U90" s="444"/>
      <c r="V90" s="444">
        <v>43.572000000000116</v>
      </c>
      <c r="W90" s="444">
        <v>46.700000000000045</v>
      </c>
      <c r="X90" s="444">
        <v>48.799999999999955</v>
      </c>
      <c r="Y90" s="444">
        <v>51.799999999999955</v>
      </c>
      <c r="Z90" s="444"/>
      <c r="AA90" s="444"/>
      <c r="AB90" s="444"/>
      <c r="AC90" s="444"/>
      <c r="AD90" s="444"/>
      <c r="AE90" s="444"/>
      <c r="AF90" s="444"/>
      <c r="AG90" s="444"/>
      <c r="AH90" s="444"/>
      <c r="AI90" s="444"/>
      <c r="AJ90" s="444"/>
      <c r="AK90" s="444"/>
      <c r="AL90" s="444"/>
      <c r="AM90" s="444"/>
      <c r="AN90" s="444"/>
      <c r="AO90" s="444"/>
      <c r="AP90" s="444"/>
      <c r="AQ90" s="444"/>
      <c r="AR90" s="444"/>
      <c r="AS90" s="444"/>
      <c r="AT90" s="444"/>
      <c r="AU90" s="444"/>
      <c r="AV90" s="444"/>
      <c r="AW90" s="444"/>
      <c r="AX90" s="444"/>
      <c r="AY90" s="444"/>
      <c r="AZ90" s="444"/>
      <c r="BA90" s="444"/>
      <c r="BB90" s="444"/>
      <c r="BC90" s="444"/>
    </row>
    <row r="91" spans="1:55" hidden="1" x14ac:dyDescent="0.25">
      <c r="A91" s="186">
        <v>27</v>
      </c>
      <c r="B91" s="72" t="str">
        <f t="shared" si="1"/>
        <v>GE2.1 - 312 - T4 - 75m²</v>
      </c>
      <c r="C91" s="444"/>
      <c r="D91" s="444"/>
      <c r="E91" s="444"/>
      <c r="F91" s="444"/>
      <c r="G91" s="444"/>
      <c r="H91" s="444"/>
      <c r="I91" s="444"/>
      <c r="J91" s="444"/>
      <c r="K91" s="444"/>
      <c r="L91" s="444"/>
      <c r="M91" s="444"/>
      <c r="N91" s="444"/>
      <c r="O91" s="444"/>
      <c r="P91" s="444"/>
      <c r="Q91" s="444"/>
      <c r="R91" s="444"/>
      <c r="S91" s="444"/>
      <c r="T91" s="444"/>
      <c r="U91" s="444"/>
      <c r="V91" s="444">
        <v>39.209999999999127</v>
      </c>
      <c r="W91" s="444">
        <v>34.900000000001455</v>
      </c>
      <c r="X91" s="444">
        <v>30.299999999999272</v>
      </c>
      <c r="Y91" s="444">
        <v>31.799999999999272</v>
      </c>
      <c r="Z91" s="444"/>
      <c r="AA91" s="444"/>
      <c r="AB91" s="444"/>
      <c r="AC91" s="444"/>
      <c r="AD91" s="444"/>
      <c r="AE91" s="444"/>
      <c r="AF91" s="444"/>
      <c r="AG91" s="444"/>
      <c r="AH91" s="444"/>
      <c r="AI91" s="444"/>
      <c r="AJ91" s="444"/>
      <c r="AK91" s="444"/>
      <c r="AL91" s="444"/>
      <c r="AM91" s="444"/>
      <c r="AN91" s="444"/>
      <c r="AO91" s="444"/>
      <c r="AP91" s="444"/>
      <c r="AQ91" s="444"/>
      <c r="AR91" s="444"/>
      <c r="AS91" s="444"/>
      <c r="AT91" s="444"/>
      <c r="AU91" s="444"/>
      <c r="AV91" s="444"/>
      <c r="AW91" s="444"/>
      <c r="AX91" s="444"/>
      <c r="AY91" s="444"/>
      <c r="AZ91" s="444"/>
      <c r="BA91" s="444"/>
      <c r="BB91" s="444"/>
      <c r="BC91" s="444"/>
    </row>
    <row r="92" spans="1:55" hidden="1" x14ac:dyDescent="0.25">
      <c r="A92" s="186">
        <v>28</v>
      </c>
      <c r="B92" s="72"/>
      <c r="C92" s="445"/>
      <c r="D92" s="445"/>
      <c r="E92" s="445"/>
      <c r="F92" s="445"/>
      <c r="G92" s="445"/>
      <c r="H92" s="445"/>
      <c r="I92" s="445"/>
      <c r="J92" s="445"/>
      <c r="K92" s="445"/>
      <c r="L92" s="445"/>
      <c r="M92" s="445"/>
      <c r="N92" s="445"/>
      <c r="O92" s="445"/>
      <c r="P92" s="445"/>
      <c r="Q92" s="445"/>
      <c r="R92" s="445"/>
      <c r="S92" s="445"/>
      <c r="T92" s="445"/>
      <c r="U92" s="445"/>
      <c r="V92" s="445">
        <v>33.111769230769148</v>
      </c>
      <c r="W92" s="445">
        <v>34.492307692307833</v>
      </c>
      <c r="X92" s="445">
        <v>33.846153846153776</v>
      </c>
      <c r="Y92" s="445">
        <v>33.769230769230688</v>
      </c>
      <c r="Z92" s="445"/>
      <c r="AA92" s="445"/>
      <c r="AB92" s="445"/>
      <c r="AC92" s="445"/>
      <c r="AD92" s="445"/>
      <c r="AE92" s="445"/>
      <c r="AF92" s="445"/>
      <c r="AG92" s="445"/>
      <c r="AH92" s="445"/>
      <c r="AI92" s="445"/>
      <c r="AJ92" s="445"/>
      <c r="AK92" s="445"/>
      <c r="AL92" s="445"/>
      <c r="AM92" s="445"/>
      <c r="AN92" s="445"/>
      <c r="AO92" s="445"/>
      <c r="AP92" s="445"/>
      <c r="AQ92" s="445"/>
      <c r="AR92" s="445"/>
      <c r="AS92" s="445"/>
      <c r="AT92" s="445"/>
      <c r="AU92" s="445"/>
      <c r="AV92" s="445"/>
      <c r="AW92" s="445"/>
      <c r="AX92" s="445"/>
      <c r="AY92" s="445"/>
      <c r="AZ92" s="445"/>
      <c r="BA92" s="445"/>
      <c r="BB92" s="445"/>
      <c r="BC92" s="445"/>
    </row>
    <row r="93" spans="1:55" x14ac:dyDescent="0.25">
      <c r="A93" s="186">
        <v>29</v>
      </c>
      <c r="B93" s="72" t="str">
        <f t="shared" ref="B93:B105" si="2">B38</f>
        <v>GE2.2 - 271 - T3 - 74m²</v>
      </c>
      <c r="C93" s="444"/>
      <c r="D93" s="444"/>
      <c r="E93" s="444"/>
      <c r="F93" s="444"/>
      <c r="G93" s="444"/>
      <c r="H93" s="444"/>
      <c r="I93" s="444"/>
      <c r="J93" s="444"/>
      <c r="K93" s="444"/>
      <c r="L93" s="444"/>
      <c r="M93" s="444"/>
      <c r="N93" s="444"/>
      <c r="O93" s="444"/>
      <c r="P93" s="444"/>
      <c r="Q93" s="444"/>
      <c r="R93" s="444"/>
      <c r="S93" s="444"/>
      <c r="T93" s="444"/>
      <c r="U93" s="444"/>
      <c r="V93" s="444">
        <v>26.291000000000054</v>
      </c>
      <c r="W93" s="444">
        <v>29.5</v>
      </c>
      <c r="X93" s="444">
        <v>26.199999999999932</v>
      </c>
      <c r="Y93" s="444">
        <v>31.800000000000068</v>
      </c>
      <c r="Z93" s="444"/>
      <c r="AA93" s="444"/>
      <c r="AB93" s="444"/>
      <c r="AC93" s="444"/>
      <c r="AD93" s="444"/>
      <c r="AE93" s="444"/>
      <c r="AF93" s="444"/>
      <c r="AG93" s="444"/>
      <c r="AH93" s="444"/>
      <c r="AI93" s="444"/>
      <c r="AJ93" s="444"/>
      <c r="AK93" s="444"/>
      <c r="AL93" s="444"/>
      <c r="AM93" s="444"/>
      <c r="AN93" s="444"/>
      <c r="AO93" s="444"/>
      <c r="AP93" s="444"/>
      <c r="AQ93" s="444"/>
      <c r="AR93" s="444"/>
      <c r="AS93" s="444"/>
      <c r="AT93" s="444"/>
      <c r="AU93" s="444"/>
      <c r="AV93" s="444"/>
      <c r="AW93" s="444"/>
      <c r="AX93" s="444"/>
      <c r="AY93" s="444"/>
      <c r="AZ93" s="444"/>
      <c r="BA93" s="444"/>
      <c r="BB93" s="444"/>
      <c r="BC93" s="444"/>
    </row>
    <row r="94" spans="1:55" x14ac:dyDescent="0.25">
      <c r="A94" s="186">
        <v>30</v>
      </c>
      <c r="B94" s="72" t="str">
        <f t="shared" si="2"/>
        <v>GE2.2 - 272 - T3 - 74m²</v>
      </c>
      <c r="C94" s="444"/>
      <c r="D94" s="444"/>
      <c r="E94" s="444"/>
      <c r="F94" s="444"/>
      <c r="G94" s="444"/>
      <c r="H94" s="444"/>
      <c r="I94" s="444"/>
      <c r="J94" s="444"/>
      <c r="K94" s="444"/>
      <c r="L94" s="444"/>
      <c r="M94" s="444"/>
      <c r="N94" s="444"/>
      <c r="O94" s="444"/>
      <c r="P94" s="444"/>
      <c r="Q94" s="444"/>
      <c r="R94" s="444"/>
      <c r="S94" s="444"/>
      <c r="T94" s="444"/>
      <c r="U94" s="444"/>
      <c r="V94" s="444">
        <v>101.5590000000002</v>
      </c>
      <c r="W94" s="444">
        <v>91.400000000000091</v>
      </c>
      <c r="X94" s="444">
        <v>78.5</v>
      </c>
      <c r="Y94" s="444">
        <v>72.700000000000273</v>
      </c>
      <c r="Z94" s="444"/>
      <c r="AA94" s="444"/>
      <c r="AB94" s="444"/>
      <c r="AC94" s="444"/>
      <c r="AD94" s="444"/>
      <c r="AE94" s="444"/>
      <c r="AF94" s="444"/>
      <c r="AG94" s="444"/>
      <c r="AH94" s="444"/>
      <c r="AI94" s="444"/>
      <c r="AJ94" s="444"/>
      <c r="AK94" s="444"/>
      <c r="AL94" s="444"/>
      <c r="AM94" s="444"/>
      <c r="AN94" s="444"/>
      <c r="AO94" s="444"/>
      <c r="AP94" s="444"/>
      <c r="AQ94" s="444"/>
      <c r="AR94" s="444"/>
      <c r="AS94" s="444"/>
      <c r="AT94" s="444"/>
      <c r="AU94" s="444"/>
      <c r="AV94" s="444"/>
      <c r="AW94" s="444"/>
      <c r="AX94" s="444"/>
      <c r="AY94" s="444"/>
      <c r="AZ94" s="444"/>
      <c r="BA94" s="444"/>
      <c r="BB94" s="444"/>
      <c r="BC94" s="444"/>
    </row>
    <row r="95" spans="1:55" x14ac:dyDescent="0.25">
      <c r="A95" s="186">
        <v>31</v>
      </c>
      <c r="B95" s="72" t="str">
        <f t="shared" si="2"/>
        <v>GE2.2 - 273 - T3 - 74m²</v>
      </c>
      <c r="C95" s="444"/>
      <c r="D95" s="444"/>
      <c r="E95" s="444"/>
      <c r="F95" s="444"/>
      <c r="G95" s="444"/>
      <c r="H95" s="444"/>
      <c r="I95" s="444"/>
      <c r="J95" s="444"/>
      <c r="K95" s="444"/>
      <c r="L95" s="444"/>
      <c r="M95" s="444"/>
      <c r="N95" s="444"/>
      <c r="O95" s="444"/>
      <c r="P95" s="444"/>
      <c r="Q95" s="444"/>
      <c r="R95" s="444"/>
      <c r="S95" s="444"/>
      <c r="T95" s="444"/>
      <c r="U95" s="444"/>
      <c r="V95" s="444">
        <v>55.539999999999964</v>
      </c>
      <c r="W95" s="444">
        <v>50</v>
      </c>
      <c r="X95" s="444">
        <v>55.299999999999955</v>
      </c>
      <c r="Y95" s="444">
        <v>54.799999999999955</v>
      </c>
      <c r="Z95" s="444"/>
      <c r="AA95" s="444"/>
      <c r="AB95" s="444"/>
      <c r="AC95" s="444"/>
      <c r="AD95" s="444"/>
      <c r="AE95" s="444"/>
      <c r="AF95" s="444"/>
      <c r="AG95" s="444"/>
      <c r="AH95" s="444"/>
      <c r="AI95" s="444"/>
      <c r="AJ95" s="444"/>
      <c r="AK95" s="444"/>
      <c r="AL95" s="444"/>
      <c r="AM95" s="444"/>
      <c r="AN95" s="444"/>
      <c r="AO95" s="444"/>
      <c r="AP95" s="444"/>
      <c r="AQ95" s="444"/>
      <c r="AR95" s="444"/>
      <c r="AS95" s="444"/>
      <c r="AT95" s="444"/>
      <c r="AU95" s="444"/>
      <c r="AV95" s="444"/>
      <c r="AW95" s="444"/>
      <c r="AX95" s="444"/>
      <c r="AY95" s="444"/>
      <c r="AZ95" s="444"/>
      <c r="BA95" s="444"/>
      <c r="BB95" s="444"/>
      <c r="BC95" s="444"/>
    </row>
    <row r="96" spans="1:55" x14ac:dyDescent="0.25">
      <c r="A96" s="186">
        <v>32</v>
      </c>
      <c r="B96" s="72" t="str">
        <f t="shared" si="2"/>
        <v>GE2.2 - 276 - T4 - 83m²</v>
      </c>
      <c r="C96" s="444"/>
      <c r="D96" s="444"/>
      <c r="E96" s="444"/>
      <c r="F96" s="444"/>
      <c r="G96" s="444"/>
      <c r="H96" s="444"/>
      <c r="I96" s="444"/>
      <c r="J96" s="444"/>
      <c r="K96" s="444"/>
      <c r="L96" s="444"/>
      <c r="M96" s="444"/>
      <c r="N96" s="444"/>
      <c r="O96" s="444"/>
      <c r="P96" s="444"/>
      <c r="Q96" s="444"/>
      <c r="R96" s="444"/>
      <c r="S96" s="444"/>
      <c r="T96" s="444"/>
      <c r="U96" s="444"/>
      <c r="V96" s="444">
        <v>81.064000000000078</v>
      </c>
      <c r="W96" s="444">
        <v>83.5</v>
      </c>
      <c r="X96" s="444">
        <v>89.299999999999955</v>
      </c>
      <c r="Y96" s="444">
        <v>85.699999999999818</v>
      </c>
      <c r="Z96" s="444"/>
      <c r="AA96" s="444"/>
      <c r="AB96" s="444"/>
      <c r="AC96" s="444"/>
      <c r="AD96" s="444"/>
      <c r="AE96" s="444"/>
      <c r="AF96" s="444"/>
      <c r="AG96" s="444"/>
      <c r="AH96" s="444"/>
      <c r="AI96" s="444"/>
      <c r="AJ96" s="444"/>
      <c r="AK96" s="444"/>
      <c r="AL96" s="444"/>
      <c r="AM96" s="444"/>
      <c r="AN96" s="444"/>
      <c r="AO96" s="444"/>
      <c r="AP96" s="444"/>
      <c r="AQ96" s="444"/>
      <c r="AR96" s="444"/>
      <c r="AS96" s="444"/>
      <c r="AT96" s="444"/>
      <c r="AU96" s="444"/>
      <c r="AV96" s="444"/>
      <c r="AW96" s="444"/>
      <c r="AX96" s="444"/>
      <c r="AY96" s="444"/>
      <c r="AZ96" s="444"/>
      <c r="BA96" s="444"/>
      <c r="BB96" s="444"/>
      <c r="BC96" s="444"/>
    </row>
    <row r="97" spans="1:55" x14ac:dyDescent="0.25">
      <c r="A97" s="186">
        <v>33</v>
      </c>
      <c r="B97" s="72" t="str">
        <f t="shared" si="2"/>
        <v>GE2.2 - 279 - T3 - 70m²</v>
      </c>
      <c r="C97" s="444"/>
      <c r="D97" s="444"/>
      <c r="E97" s="444"/>
      <c r="F97" s="444"/>
      <c r="G97" s="444"/>
      <c r="H97" s="444"/>
      <c r="I97" s="444"/>
      <c r="J97" s="444"/>
      <c r="K97" s="444"/>
      <c r="L97" s="444"/>
      <c r="M97" s="444"/>
      <c r="N97" s="444"/>
      <c r="O97" s="444"/>
      <c r="P97" s="444"/>
      <c r="Q97" s="444"/>
      <c r="R97" s="444"/>
      <c r="S97" s="444"/>
      <c r="T97" s="444"/>
      <c r="U97" s="444"/>
      <c r="V97" s="444">
        <v>47.663999999999987</v>
      </c>
      <c r="W97" s="444">
        <v>43.399999999999977</v>
      </c>
      <c r="X97" s="444">
        <v>39.299999999999955</v>
      </c>
      <c r="Y97" s="444">
        <v>41.700000000000045</v>
      </c>
      <c r="Z97" s="444"/>
      <c r="AA97" s="444"/>
      <c r="AB97" s="444"/>
      <c r="AC97" s="444"/>
      <c r="AD97" s="444"/>
      <c r="AE97" s="444"/>
      <c r="AF97" s="444"/>
      <c r="AG97" s="444"/>
      <c r="AH97" s="444"/>
      <c r="AI97" s="444"/>
      <c r="AJ97" s="444"/>
      <c r="AK97" s="444"/>
      <c r="AL97" s="444"/>
      <c r="AM97" s="444"/>
      <c r="AN97" s="444"/>
      <c r="AO97" s="444"/>
      <c r="AP97" s="444"/>
      <c r="AQ97" s="444"/>
      <c r="AR97" s="444"/>
      <c r="AS97" s="444"/>
      <c r="AT97" s="444"/>
      <c r="AU97" s="444"/>
      <c r="AV97" s="444"/>
      <c r="AW97" s="444"/>
      <c r="AX97" s="444"/>
      <c r="AY97" s="444"/>
      <c r="AZ97" s="444"/>
      <c r="BA97" s="444"/>
      <c r="BB97" s="444"/>
      <c r="BC97" s="444"/>
    </row>
    <row r="98" spans="1:55" x14ac:dyDescent="0.25">
      <c r="A98" s="186">
        <v>34</v>
      </c>
      <c r="B98" s="72" t="str">
        <f t="shared" si="2"/>
        <v>GE2.2 - 288 - T3 - 68m²</v>
      </c>
      <c r="C98" s="444"/>
      <c r="D98" s="444"/>
      <c r="E98" s="444"/>
      <c r="F98" s="444"/>
      <c r="G98" s="444"/>
      <c r="H98" s="444"/>
      <c r="I98" s="444"/>
      <c r="J98" s="444"/>
      <c r="K98" s="444"/>
      <c r="L98" s="444"/>
      <c r="M98" s="444"/>
      <c r="N98" s="444"/>
      <c r="O98" s="444"/>
      <c r="P98" s="444"/>
      <c r="Q98" s="444"/>
      <c r="R98" s="444"/>
      <c r="S98" s="444"/>
      <c r="T98" s="444"/>
      <c r="U98" s="444"/>
      <c r="V98" s="444">
        <v>34.100999999999999</v>
      </c>
      <c r="W98" s="444">
        <v>35.100000000000023</v>
      </c>
      <c r="X98" s="444">
        <v>36.300000000000068</v>
      </c>
      <c r="Y98" s="444">
        <v>35.099999999999909</v>
      </c>
      <c r="Z98" s="444"/>
      <c r="AA98" s="444"/>
      <c r="AB98" s="444"/>
      <c r="AC98" s="444"/>
      <c r="AD98" s="444"/>
      <c r="AE98" s="444"/>
      <c r="AF98" s="444"/>
      <c r="AG98" s="444"/>
      <c r="AH98" s="444"/>
      <c r="AI98" s="444"/>
      <c r="AJ98" s="444"/>
      <c r="AK98" s="444"/>
      <c r="AL98" s="444"/>
      <c r="AM98" s="444"/>
      <c r="AN98" s="444"/>
      <c r="AO98" s="444"/>
      <c r="AP98" s="444"/>
      <c r="AQ98" s="444"/>
      <c r="AR98" s="444"/>
      <c r="AS98" s="444"/>
      <c r="AT98" s="444"/>
      <c r="AU98" s="444"/>
      <c r="AV98" s="444"/>
      <c r="AW98" s="444"/>
      <c r="AX98" s="444"/>
      <c r="AY98" s="444"/>
      <c r="AZ98" s="444"/>
      <c r="BA98" s="444"/>
      <c r="BB98" s="444"/>
      <c r="BC98" s="444"/>
    </row>
    <row r="99" spans="1:55" x14ac:dyDescent="0.25">
      <c r="A99" s="186">
        <v>35</v>
      </c>
      <c r="B99" s="72" t="str">
        <f t="shared" si="2"/>
        <v>GE2.2 - 291 - T3 - 62m²</v>
      </c>
      <c r="C99" s="444"/>
      <c r="D99" s="444"/>
      <c r="E99" s="444"/>
      <c r="F99" s="444"/>
      <c r="G99" s="444"/>
      <c r="H99" s="444"/>
      <c r="I99" s="444"/>
      <c r="J99" s="444"/>
      <c r="K99" s="444"/>
      <c r="L99" s="444"/>
      <c r="M99" s="444"/>
      <c r="N99" s="444"/>
      <c r="O99" s="444"/>
      <c r="P99" s="444"/>
      <c r="Q99" s="444"/>
      <c r="R99" s="444"/>
      <c r="S99" s="444"/>
      <c r="T99" s="444"/>
      <c r="U99" s="444"/>
      <c r="V99" s="444">
        <v>12.576000000000022</v>
      </c>
      <c r="W99" s="444">
        <v>22.600000000000136</v>
      </c>
      <c r="X99" s="444">
        <v>12.599999999999909</v>
      </c>
      <c r="Y99" s="444">
        <v>18.799999999999955</v>
      </c>
      <c r="Z99" s="444"/>
      <c r="AA99" s="444"/>
      <c r="AB99" s="444"/>
      <c r="AC99" s="444"/>
      <c r="AD99" s="444"/>
      <c r="AE99" s="444"/>
      <c r="AF99" s="444"/>
      <c r="AG99" s="444"/>
      <c r="AH99" s="444"/>
      <c r="AI99" s="444"/>
      <c r="AJ99" s="444"/>
      <c r="AK99" s="444"/>
      <c r="AL99" s="444"/>
      <c r="AM99" s="444"/>
      <c r="AN99" s="444"/>
      <c r="AO99" s="444"/>
      <c r="AP99" s="444"/>
      <c r="AQ99" s="444"/>
      <c r="AR99" s="444"/>
      <c r="AS99" s="444"/>
      <c r="AT99" s="444"/>
      <c r="AU99" s="444"/>
      <c r="AV99" s="444"/>
      <c r="AW99" s="444"/>
      <c r="AX99" s="444"/>
      <c r="AY99" s="444"/>
      <c r="AZ99" s="444"/>
      <c r="BA99" s="444"/>
      <c r="BB99" s="444"/>
      <c r="BC99" s="444"/>
    </row>
    <row r="100" spans="1:55" x14ac:dyDescent="0.25">
      <c r="A100" s="186">
        <v>36</v>
      </c>
      <c r="B100" s="72" t="str">
        <f t="shared" si="2"/>
        <v>GE2.2 - 294 - T3 - 63m²</v>
      </c>
      <c r="C100" s="444"/>
      <c r="D100" s="444"/>
      <c r="E100" s="444"/>
      <c r="F100" s="444"/>
      <c r="G100" s="444"/>
      <c r="H100" s="444"/>
      <c r="I100" s="444"/>
      <c r="J100" s="444"/>
      <c r="K100" s="444"/>
      <c r="L100" s="444"/>
      <c r="M100" s="444"/>
      <c r="N100" s="444"/>
      <c r="O100" s="444"/>
      <c r="P100" s="444"/>
      <c r="Q100" s="444"/>
      <c r="R100" s="444"/>
      <c r="S100" s="444"/>
      <c r="T100" s="444"/>
      <c r="U100" s="444"/>
      <c r="V100" s="444">
        <v>47.339999999999691</v>
      </c>
      <c r="W100" s="444">
        <v>67.799999999999727</v>
      </c>
      <c r="X100" s="444">
        <v>56.700000000000273</v>
      </c>
      <c r="Y100" s="444">
        <v>59</v>
      </c>
      <c r="Z100" s="444"/>
      <c r="AA100" s="444"/>
      <c r="AB100" s="444"/>
      <c r="AC100" s="444"/>
      <c r="AD100" s="444"/>
      <c r="AE100" s="444"/>
      <c r="AF100" s="444"/>
      <c r="AG100" s="444"/>
      <c r="AH100" s="444"/>
      <c r="AI100" s="444"/>
      <c r="AJ100" s="444"/>
      <c r="AK100" s="444"/>
      <c r="AL100" s="444"/>
      <c r="AM100" s="444"/>
      <c r="AN100" s="444"/>
      <c r="AO100" s="444"/>
      <c r="AP100" s="444"/>
      <c r="AQ100" s="444"/>
      <c r="AR100" s="444"/>
      <c r="AS100" s="444"/>
      <c r="AT100" s="444"/>
      <c r="AU100" s="444"/>
      <c r="AV100" s="444"/>
      <c r="AW100" s="444"/>
      <c r="AX100" s="444"/>
      <c r="AY100" s="444"/>
      <c r="AZ100" s="444"/>
      <c r="BA100" s="444"/>
      <c r="BB100" s="444"/>
      <c r="BC100" s="444"/>
    </row>
    <row r="101" spans="1:55" x14ac:dyDescent="0.25">
      <c r="A101" s="186">
        <v>37</v>
      </c>
      <c r="B101" s="72" t="str">
        <f t="shared" si="2"/>
        <v>GE2.2 - 298 - T5 - 93m²</v>
      </c>
      <c r="C101" s="444"/>
      <c r="D101" s="444"/>
      <c r="E101" s="444"/>
      <c r="F101" s="444"/>
      <c r="G101" s="444"/>
      <c r="H101" s="444"/>
      <c r="I101" s="444"/>
      <c r="J101" s="444"/>
      <c r="K101" s="444"/>
      <c r="L101" s="444"/>
      <c r="M101" s="444"/>
      <c r="N101" s="444"/>
      <c r="O101" s="444"/>
      <c r="P101" s="444"/>
      <c r="Q101" s="444"/>
      <c r="R101" s="444"/>
      <c r="S101" s="444"/>
      <c r="T101" s="444"/>
      <c r="U101" s="444"/>
      <c r="V101" s="444">
        <v>72.385999999999967</v>
      </c>
      <c r="W101" s="444">
        <v>74</v>
      </c>
      <c r="X101" s="444">
        <v>74.599999999999909</v>
      </c>
      <c r="Y101" s="444">
        <v>70.700000000000045</v>
      </c>
      <c r="Z101" s="444"/>
      <c r="AA101" s="444"/>
      <c r="AB101" s="444"/>
      <c r="AC101" s="444"/>
      <c r="AD101" s="444"/>
      <c r="AE101" s="444"/>
      <c r="AF101" s="444"/>
      <c r="AG101" s="444"/>
      <c r="AH101" s="444"/>
      <c r="AI101" s="444"/>
      <c r="AJ101" s="444"/>
      <c r="AK101" s="444"/>
      <c r="AL101" s="444"/>
      <c r="AM101" s="444"/>
      <c r="AN101" s="444"/>
      <c r="AO101" s="444"/>
      <c r="AP101" s="444"/>
      <c r="AQ101" s="444"/>
      <c r="AR101" s="444"/>
      <c r="AS101" s="444"/>
      <c r="AT101" s="444"/>
      <c r="AU101" s="444"/>
      <c r="AV101" s="444"/>
      <c r="AW101" s="444"/>
      <c r="AX101" s="444"/>
      <c r="AY101" s="444"/>
      <c r="AZ101" s="444"/>
      <c r="BA101" s="444"/>
      <c r="BB101" s="444"/>
      <c r="BC101" s="444"/>
    </row>
    <row r="102" spans="1:55" x14ac:dyDescent="0.25">
      <c r="A102" s="186">
        <v>38</v>
      </c>
      <c r="B102" s="72" t="str">
        <f t="shared" si="2"/>
        <v>GE2.2 - 301 - T4 - 79m²</v>
      </c>
      <c r="C102" s="444"/>
      <c r="D102" s="444"/>
      <c r="E102" s="444"/>
      <c r="F102" s="444"/>
      <c r="G102" s="444"/>
      <c r="H102" s="444"/>
      <c r="I102" s="444"/>
      <c r="J102" s="444"/>
      <c r="K102" s="444"/>
      <c r="L102" s="444"/>
      <c r="M102" s="444"/>
      <c r="N102" s="444"/>
      <c r="O102" s="444"/>
      <c r="P102" s="444"/>
      <c r="Q102" s="444"/>
      <c r="R102" s="444"/>
      <c r="S102" s="444"/>
      <c r="T102" s="444"/>
      <c r="U102" s="444"/>
      <c r="V102" s="444">
        <v>70.535000000000082</v>
      </c>
      <c r="W102" s="444">
        <v>75.099999999999909</v>
      </c>
      <c r="X102" s="444">
        <v>76.400000000000091</v>
      </c>
      <c r="Y102" s="444">
        <v>65</v>
      </c>
      <c r="Z102" s="444"/>
      <c r="AA102" s="444"/>
      <c r="AB102" s="444"/>
      <c r="AC102" s="444"/>
      <c r="AD102" s="444"/>
      <c r="AE102" s="444"/>
      <c r="AF102" s="444"/>
      <c r="AG102" s="444"/>
      <c r="AH102" s="444"/>
      <c r="AI102" s="444"/>
      <c r="AJ102" s="444"/>
      <c r="AK102" s="444"/>
      <c r="AL102" s="444"/>
      <c r="AM102" s="444"/>
      <c r="AN102" s="444"/>
      <c r="AO102" s="444"/>
      <c r="AP102" s="444"/>
      <c r="AQ102" s="444"/>
      <c r="AR102" s="444"/>
      <c r="AS102" s="444"/>
      <c r="AT102" s="444"/>
      <c r="AU102" s="444"/>
      <c r="AV102" s="444"/>
      <c r="AW102" s="444"/>
      <c r="AX102" s="444"/>
      <c r="AY102" s="444"/>
      <c r="AZ102" s="444"/>
      <c r="BA102" s="444"/>
      <c r="BB102" s="444"/>
      <c r="BC102" s="444"/>
    </row>
    <row r="103" spans="1:55" x14ac:dyDescent="0.25">
      <c r="A103" s="186">
        <v>39</v>
      </c>
      <c r="B103" s="72" t="str">
        <f t="shared" si="2"/>
        <v>GE2.2 - 311 - T4 - 74m²</v>
      </c>
      <c r="C103" s="444"/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4"/>
      <c r="Q103" s="444"/>
      <c r="R103" s="444"/>
      <c r="S103" s="444"/>
      <c r="T103" s="444"/>
      <c r="U103" s="444"/>
      <c r="V103" s="444">
        <v>37.513999999999896</v>
      </c>
      <c r="W103" s="444">
        <v>32.600000000000023</v>
      </c>
      <c r="X103" s="444">
        <v>32.799999999999955</v>
      </c>
      <c r="Y103" s="444">
        <v>36</v>
      </c>
      <c r="Z103" s="444"/>
      <c r="AA103" s="444"/>
      <c r="AB103" s="444"/>
      <c r="AC103" s="444"/>
      <c r="AD103" s="444"/>
      <c r="AE103" s="444"/>
      <c r="AF103" s="444"/>
      <c r="AG103" s="444"/>
      <c r="AH103" s="444"/>
      <c r="AI103" s="444"/>
      <c r="AJ103" s="444"/>
      <c r="AK103" s="444"/>
      <c r="AL103" s="444"/>
      <c r="AM103" s="444"/>
      <c r="AN103" s="444"/>
      <c r="AO103" s="444"/>
      <c r="AP103" s="444"/>
      <c r="AQ103" s="444"/>
      <c r="AR103" s="444"/>
      <c r="AS103" s="444"/>
      <c r="AT103" s="444"/>
      <c r="AU103" s="444"/>
      <c r="AV103" s="444"/>
      <c r="AW103" s="444"/>
      <c r="AX103" s="444"/>
      <c r="AY103" s="444"/>
      <c r="AZ103" s="444"/>
      <c r="BA103" s="444"/>
      <c r="BB103" s="444"/>
      <c r="BC103" s="444"/>
    </row>
    <row r="104" spans="1:55" x14ac:dyDescent="0.25">
      <c r="A104" s="186">
        <v>40</v>
      </c>
      <c r="B104" s="72" t="str">
        <f t="shared" si="2"/>
        <v>GE2.2 - 313 - T4 - 75m²</v>
      </c>
      <c r="C104" s="444"/>
      <c r="D104" s="444"/>
      <c r="E104" s="444"/>
      <c r="F104" s="444"/>
      <c r="G104" s="444"/>
      <c r="H104" s="444"/>
      <c r="I104" s="444"/>
      <c r="J104" s="444"/>
      <c r="K104" s="444"/>
      <c r="L104" s="444"/>
      <c r="M104" s="444"/>
      <c r="N104" s="444"/>
      <c r="O104" s="444"/>
      <c r="P104" s="444"/>
      <c r="Q104" s="444"/>
      <c r="R104" s="444"/>
      <c r="S104" s="444"/>
      <c r="T104" s="444"/>
      <c r="U104" s="444"/>
      <c r="V104" s="444">
        <v>29.324999999999932</v>
      </c>
      <c r="W104" s="444">
        <v>25.600000000000023</v>
      </c>
      <c r="X104" s="444">
        <v>28.200000000000045</v>
      </c>
      <c r="Y104" s="444">
        <v>25.799999999999955</v>
      </c>
      <c r="Z104" s="444"/>
      <c r="AA104" s="444"/>
      <c r="AB104" s="444"/>
      <c r="AC104" s="444"/>
      <c r="AD104" s="444"/>
      <c r="AE104" s="444"/>
      <c r="AF104" s="444"/>
      <c r="AG104" s="444"/>
      <c r="AH104" s="444"/>
      <c r="AI104" s="444"/>
      <c r="AJ104" s="444"/>
      <c r="AK104" s="444"/>
      <c r="AL104" s="444"/>
      <c r="AM104" s="444"/>
      <c r="AN104" s="444"/>
      <c r="AO104" s="444"/>
      <c r="AP104" s="444"/>
      <c r="AQ104" s="444"/>
      <c r="AR104" s="444"/>
      <c r="AS104" s="444"/>
      <c r="AT104" s="444"/>
      <c r="AU104" s="444"/>
      <c r="AV104" s="444"/>
      <c r="AW104" s="444"/>
      <c r="AX104" s="444"/>
      <c r="AY104" s="444"/>
      <c r="AZ104" s="444"/>
      <c r="BA104" s="444"/>
      <c r="BB104" s="444"/>
      <c r="BC104" s="444"/>
    </row>
    <row r="105" spans="1:55" x14ac:dyDescent="0.25">
      <c r="A105" s="186">
        <v>41</v>
      </c>
      <c r="B105" s="72" t="str">
        <f t="shared" si="2"/>
        <v>GE2.2 - 315 - T4 - 75m²</v>
      </c>
      <c r="C105" s="444"/>
      <c r="D105" s="444"/>
      <c r="E105" s="444"/>
      <c r="F105" s="444"/>
      <c r="G105" s="444"/>
      <c r="H105" s="444"/>
      <c r="I105" s="444"/>
      <c r="J105" s="444"/>
      <c r="K105" s="444"/>
      <c r="L105" s="444"/>
      <c r="M105" s="444"/>
      <c r="N105" s="444"/>
      <c r="O105" s="444"/>
      <c r="P105" s="444"/>
      <c r="Q105" s="444"/>
      <c r="R105" s="444"/>
      <c r="S105" s="444"/>
      <c r="T105" s="444"/>
      <c r="U105" s="444"/>
      <c r="V105" s="444">
        <v>49.913999999999987</v>
      </c>
      <c r="W105" s="444">
        <v>59.699999999999818</v>
      </c>
      <c r="X105" s="444">
        <v>53.100000000000136</v>
      </c>
      <c r="Y105" s="444">
        <v>49.799999999999955</v>
      </c>
      <c r="Z105" s="444"/>
      <c r="AA105" s="444"/>
      <c r="AB105" s="444"/>
      <c r="AC105" s="444"/>
      <c r="AD105" s="444"/>
      <c r="AE105" s="444"/>
      <c r="AF105" s="444"/>
      <c r="AG105" s="444"/>
      <c r="AH105" s="444"/>
      <c r="AI105" s="444"/>
      <c r="AJ105" s="444"/>
      <c r="AK105" s="444"/>
      <c r="AL105" s="444"/>
      <c r="AM105" s="444"/>
      <c r="AN105" s="444"/>
      <c r="AO105" s="444"/>
      <c r="AP105" s="444"/>
      <c r="AQ105" s="444"/>
      <c r="AR105" s="444"/>
      <c r="AS105" s="444"/>
      <c r="AT105" s="444"/>
      <c r="AU105" s="444"/>
      <c r="AV105" s="444"/>
      <c r="AW105" s="444"/>
      <c r="AX105" s="444"/>
      <c r="AY105" s="444"/>
      <c r="AZ105" s="444"/>
      <c r="BA105" s="444"/>
      <c r="BB105" s="444"/>
      <c r="BC105" s="444"/>
    </row>
    <row r="106" spans="1:55" x14ac:dyDescent="0.25">
      <c r="A106" s="186">
        <v>42</v>
      </c>
      <c r="B106" s="72"/>
      <c r="C106" s="445"/>
      <c r="D106" s="445"/>
      <c r="E106" s="445"/>
      <c r="F106" s="445"/>
      <c r="G106" s="445"/>
      <c r="H106" s="445"/>
      <c r="I106" s="445"/>
      <c r="J106" s="445"/>
      <c r="K106" s="445"/>
      <c r="L106" s="445"/>
      <c r="M106" s="445"/>
      <c r="N106" s="445"/>
      <c r="O106" s="445"/>
      <c r="P106" s="445"/>
      <c r="Q106" s="445"/>
      <c r="R106" s="445"/>
      <c r="S106" s="445"/>
      <c r="T106" s="445"/>
      <c r="U106" s="445"/>
      <c r="V106" s="445">
        <v>51.216076923076912</v>
      </c>
      <c r="W106" s="445">
        <v>53.09999999999998</v>
      </c>
      <c r="X106" s="445">
        <v>50.715384615384629</v>
      </c>
      <c r="Y106" s="445">
        <v>49.761538461538457</v>
      </c>
      <c r="Z106" s="445"/>
      <c r="AA106" s="445"/>
      <c r="AB106" s="445"/>
      <c r="AC106" s="445"/>
      <c r="AD106" s="445"/>
      <c r="AE106" s="445"/>
      <c r="AF106" s="445"/>
      <c r="AG106" s="445"/>
      <c r="AH106" s="445"/>
      <c r="AI106" s="445"/>
      <c r="AJ106" s="445"/>
      <c r="AK106" s="445"/>
      <c r="AL106" s="445"/>
      <c r="AM106" s="445"/>
      <c r="AN106" s="445"/>
      <c r="AO106" s="445"/>
      <c r="AP106" s="445"/>
      <c r="AQ106" s="445"/>
      <c r="AR106" s="445"/>
      <c r="AS106" s="445"/>
      <c r="AT106" s="445"/>
      <c r="AU106" s="445"/>
      <c r="AV106" s="445"/>
      <c r="AW106" s="445"/>
      <c r="AX106" s="445"/>
      <c r="AY106" s="445"/>
      <c r="AZ106" s="445"/>
      <c r="BA106" s="445"/>
      <c r="BB106" s="445"/>
      <c r="BC106" s="445"/>
    </row>
    <row r="107" spans="1:55" x14ac:dyDescent="0.25">
      <c r="A107" s="186">
        <v>43</v>
      </c>
      <c r="B107" s="72" t="str">
        <f t="shared" ref="B107:B112" si="3">B52</f>
        <v>SO - 284 - T - 64m²</v>
      </c>
      <c r="C107" s="444"/>
      <c r="D107" s="444"/>
      <c r="E107" s="444"/>
      <c r="F107" s="444"/>
      <c r="G107" s="444"/>
      <c r="H107" s="444"/>
      <c r="I107" s="444"/>
      <c r="J107" s="444"/>
      <c r="K107" s="444"/>
      <c r="L107" s="444"/>
      <c r="M107" s="444"/>
      <c r="N107" s="444"/>
      <c r="O107" s="444"/>
      <c r="P107" s="444"/>
      <c r="Q107" s="444"/>
      <c r="R107" s="444"/>
      <c r="S107" s="444"/>
      <c r="T107" s="444"/>
      <c r="U107" s="444"/>
      <c r="V107" s="444">
        <v>63.753000000000156</v>
      </c>
      <c r="W107" s="444">
        <v>63.199999999999818</v>
      </c>
      <c r="X107" s="444">
        <v>64</v>
      </c>
      <c r="Y107" s="444">
        <v>63.400000000000091</v>
      </c>
      <c r="Z107" s="444"/>
      <c r="AA107" s="444"/>
      <c r="AB107" s="444"/>
      <c r="AC107" s="444"/>
      <c r="AD107" s="444"/>
      <c r="AE107" s="444"/>
      <c r="AF107" s="444"/>
      <c r="AG107" s="444"/>
      <c r="AH107" s="444"/>
      <c r="AI107" s="444"/>
      <c r="AJ107" s="444"/>
      <c r="AK107" s="444"/>
      <c r="AL107" s="444"/>
      <c r="AM107" s="444"/>
      <c r="AN107" s="444"/>
      <c r="AO107" s="444"/>
      <c r="AP107" s="444"/>
      <c r="AQ107" s="444"/>
      <c r="AR107" s="444"/>
      <c r="AS107" s="444"/>
      <c r="AT107" s="444"/>
      <c r="AU107" s="444"/>
      <c r="AV107" s="444"/>
      <c r="AW107" s="444"/>
      <c r="AX107" s="444"/>
      <c r="AY107" s="444"/>
      <c r="AZ107" s="444"/>
      <c r="BA107" s="444"/>
      <c r="BB107" s="444"/>
      <c r="BC107" s="444"/>
    </row>
    <row r="108" spans="1:55" x14ac:dyDescent="0.25">
      <c r="A108" s="186">
        <v>44</v>
      </c>
      <c r="B108" s="72" t="str">
        <f t="shared" si="3"/>
        <v>SO - 287 - T - 81m²</v>
      </c>
      <c r="C108" s="444"/>
      <c r="D108" s="444"/>
      <c r="E108" s="444"/>
      <c r="F108" s="444"/>
      <c r="G108" s="444"/>
      <c r="H108" s="444"/>
      <c r="I108" s="444"/>
      <c r="J108" s="444"/>
      <c r="K108" s="444"/>
      <c r="L108" s="444"/>
      <c r="M108" s="444"/>
      <c r="N108" s="444"/>
      <c r="O108" s="444"/>
      <c r="P108" s="444"/>
      <c r="Q108" s="444"/>
      <c r="R108" s="444"/>
      <c r="S108" s="444"/>
      <c r="T108" s="444"/>
      <c r="U108" s="444"/>
      <c r="V108" s="444">
        <v>34.771000000000072</v>
      </c>
      <c r="W108" s="444">
        <v>33.200000000000045</v>
      </c>
      <c r="X108" s="444">
        <v>34.399999999999864</v>
      </c>
      <c r="Y108" s="444">
        <v>35.600000000000136</v>
      </c>
      <c r="Z108" s="444"/>
      <c r="AA108" s="444"/>
      <c r="AB108" s="444"/>
      <c r="AC108" s="444"/>
      <c r="AD108" s="444"/>
      <c r="AE108" s="444"/>
      <c r="AF108" s="444"/>
      <c r="AG108" s="444"/>
      <c r="AH108" s="444"/>
      <c r="AI108" s="444"/>
      <c r="AJ108" s="444"/>
      <c r="AK108" s="444"/>
      <c r="AL108" s="444"/>
      <c r="AM108" s="444"/>
      <c r="AN108" s="444"/>
      <c r="AO108" s="444"/>
      <c r="AP108" s="444"/>
      <c r="AQ108" s="444"/>
      <c r="AR108" s="444"/>
      <c r="AS108" s="444"/>
      <c r="AT108" s="444"/>
      <c r="AU108" s="444"/>
      <c r="AV108" s="444"/>
      <c r="AW108" s="444"/>
      <c r="AX108" s="444"/>
      <c r="AY108" s="444"/>
      <c r="AZ108" s="444"/>
      <c r="BA108" s="444"/>
      <c r="BB108" s="444"/>
      <c r="BC108" s="444"/>
    </row>
    <row r="109" spans="1:55" x14ac:dyDescent="0.25">
      <c r="A109" s="186">
        <v>45</v>
      </c>
      <c r="B109" s="72" t="str">
        <f t="shared" si="3"/>
        <v>SO - 290 - T - 40m²</v>
      </c>
      <c r="C109" s="444"/>
      <c r="D109" s="444"/>
      <c r="E109" s="444"/>
      <c r="F109" s="444"/>
      <c r="G109" s="444"/>
      <c r="H109" s="444"/>
      <c r="I109" s="444"/>
      <c r="J109" s="444"/>
      <c r="K109" s="444"/>
      <c r="L109" s="444"/>
      <c r="M109" s="444"/>
      <c r="N109" s="444"/>
      <c r="O109" s="444"/>
      <c r="P109" s="444"/>
      <c r="Q109" s="444"/>
      <c r="R109" s="444"/>
      <c r="S109" s="444"/>
      <c r="T109" s="444"/>
      <c r="U109" s="444"/>
      <c r="V109" s="444">
        <v>22.73599999999999</v>
      </c>
      <c r="W109" s="444">
        <v>26.699999999999989</v>
      </c>
      <c r="X109" s="444">
        <v>23</v>
      </c>
      <c r="Y109" s="444">
        <v>26.799999999999955</v>
      </c>
      <c r="Z109" s="444"/>
      <c r="AA109" s="444"/>
      <c r="AB109" s="444"/>
      <c r="AC109" s="444"/>
      <c r="AD109" s="444"/>
      <c r="AE109" s="444"/>
      <c r="AF109" s="444"/>
      <c r="AG109" s="444"/>
      <c r="AH109" s="444"/>
      <c r="AI109" s="444"/>
      <c r="AJ109" s="444"/>
      <c r="AK109" s="444"/>
      <c r="AL109" s="444"/>
      <c r="AM109" s="444"/>
      <c r="AN109" s="444"/>
      <c r="AO109" s="444"/>
      <c r="AP109" s="444"/>
      <c r="AQ109" s="444"/>
      <c r="AR109" s="444"/>
      <c r="AS109" s="444"/>
      <c r="AT109" s="444"/>
      <c r="AU109" s="444"/>
      <c r="AV109" s="444"/>
      <c r="AW109" s="444"/>
      <c r="AX109" s="444"/>
      <c r="AY109" s="444"/>
      <c r="AZ109" s="444"/>
      <c r="BA109" s="444"/>
      <c r="BB109" s="444"/>
      <c r="BC109" s="444"/>
    </row>
    <row r="110" spans="1:55" x14ac:dyDescent="0.25">
      <c r="A110" s="186">
        <v>46</v>
      </c>
      <c r="B110" s="72" t="str">
        <f t="shared" si="3"/>
        <v>SO - 305 - T - 66m²</v>
      </c>
      <c r="C110" s="444"/>
      <c r="D110" s="444"/>
      <c r="E110" s="444"/>
      <c r="F110" s="444"/>
      <c r="G110" s="444"/>
      <c r="H110" s="444"/>
      <c r="I110" s="444"/>
      <c r="J110" s="444"/>
      <c r="K110" s="444"/>
      <c r="L110" s="444"/>
      <c r="M110" s="444"/>
      <c r="N110" s="444"/>
      <c r="O110" s="444"/>
      <c r="P110" s="444"/>
      <c r="Q110" s="444"/>
      <c r="R110" s="444"/>
      <c r="S110" s="444"/>
      <c r="T110" s="444"/>
      <c r="U110" s="444"/>
      <c r="V110" s="444">
        <v>38.368000000000052</v>
      </c>
      <c r="W110" s="444">
        <v>37.599999999999909</v>
      </c>
      <c r="X110" s="444">
        <v>40.700000000000045</v>
      </c>
      <c r="Y110" s="444">
        <v>43.799999999999955</v>
      </c>
      <c r="Z110" s="444"/>
      <c r="AA110" s="444"/>
      <c r="AB110" s="444"/>
      <c r="AC110" s="444"/>
      <c r="AD110" s="444"/>
      <c r="AE110" s="444"/>
      <c r="AF110" s="444"/>
      <c r="AG110" s="444"/>
      <c r="AH110" s="444"/>
      <c r="AI110" s="444"/>
      <c r="AJ110" s="444"/>
      <c r="AK110" s="444"/>
      <c r="AL110" s="444"/>
      <c r="AM110" s="444"/>
      <c r="AN110" s="444"/>
      <c r="AO110" s="444"/>
      <c r="AP110" s="444"/>
      <c r="AQ110" s="444"/>
      <c r="AR110" s="444"/>
      <c r="AS110" s="444"/>
      <c r="AT110" s="444"/>
      <c r="AU110" s="444"/>
      <c r="AV110" s="444"/>
      <c r="AW110" s="444"/>
      <c r="AX110" s="444"/>
      <c r="AY110" s="444"/>
      <c r="AZ110" s="444"/>
      <c r="BA110" s="444"/>
      <c r="BB110" s="444"/>
      <c r="BC110" s="444"/>
    </row>
    <row r="111" spans="1:55" x14ac:dyDescent="0.25">
      <c r="A111" s="186">
        <v>47</v>
      </c>
      <c r="B111" s="72" t="str">
        <f t="shared" si="3"/>
        <v>SO - 309 - T - 66m²</v>
      </c>
      <c r="C111" s="444"/>
      <c r="D111" s="444"/>
      <c r="E111" s="444"/>
      <c r="F111" s="444"/>
      <c r="G111" s="444"/>
      <c r="H111" s="444"/>
      <c r="I111" s="444"/>
      <c r="J111" s="444"/>
      <c r="K111" s="444"/>
      <c r="L111" s="444"/>
      <c r="M111" s="444"/>
      <c r="N111" s="444"/>
      <c r="O111" s="444"/>
      <c r="P111" s="444"/>
      <c r="Q111" s="444"/>
      <c r="R111" s="444"/>
      <c r="S111" s="444"/>
      <c r="T111" s="444"/>
      <c r="U111" s="444"/>
      <c r="V111" s="444">
        <v>22.321000000000026</v>
      </c>
      <c r="W111" s="444">
        <v>20.199999999999932</v>
      </c>
      <c r="X111" s="444">
        <v>19.5</v>
      </c>
      <c r="Y111" s="444">
        <v>17</v>
      </c>
      <c r="Z111" s="444"/>
      <c r="AA111" s="444"/>
      <c r="AB111" s="444"/>
      <c r="AC111" s="444"/>
      <c r="AD111" s="444"/>
      <c r="AE111" s="444"/>
      <c r="AF111" s="444"/>
      <c r="AG111" s="444"/>
      <c r="AH111" s="444"/>
      <c r="AI111" s="444"/>
      <c r="AJ111" s="444"/>
      <c r="AK111" s="444"/>
      <c r="AL111" s="444"/>
      <c r="AM111" s="444"/>
      <c r="AN111" s="444"/>
      <c r="AO111" s="444"/>
      <c r="AP111" s="444"/>
      <c r="AQ111" s="444"/>
      <c r="AR111" s="444"/>
      <c r="AS111" s="444"/>
      <c r="AT111" s="444"/>
      <c r="AU111" s="444"/>
      <c r="AV111" s="444"/>
      <c r="AW111" s="444"/>
      <c r="AX111" s="444"/>
      <c r="AY111" s="444"/>
      <c r="AZ111" s="444"/>
      <c r="BA111" s="444"/>
      <c r="BB111" s="444"/>
      <c r="BC111" s="444"/>
    </row>
    <row r="112" spans="1:55" x14ac:dyDescent="0.25">
      <c r="A112" s="186">
        <v>48</v>
      </c>
      <c r="B112" s="72" t="str">
        <f t="shared" si="3"/>
        <v>SO - 310 - T - 54m²</v>
      </c>
      <c r="C112" s="444"/>
      <c r="D112" s="444"/>
      <c r="E112" s="444"/>
      <c r="F112" s="444"/>
      <c r="G112" s="444"/>
      <c r="H112" s="444"/>
      <c r="I112" s="444"/>
      <c r="J112" s="444"/>
      <c r="K112" s="444"/>
      <c r="L112" s="444"/>
      <c r="M112" s="444"/>
      <c r="N112" s="444"/>
      <c r="O112" s="444"/>
      <c r="P112" s="444"/>
      <c r="Q112" s="444"/>
      <c r="R112" s="444"/>
      <c r="S112" s="444"/>
      <c r="T112" s="444"/>
      <c r="U112" s="444"/>
      <c r="V112" s="444">
        <v>55.595000000000027</v>
      </c>
      <c r="W112" s="444">
        <v>54.299999999999955</v>
      </c>
      <c r="X112" s="444">
        <v>35.200000000000045</v>
      </c>
      <c r="Y112" s="444">
        <v>15.299999999999955</v>
      </c>
      <c r="Z112" s="444"/>
      <c r="AA112" s="444"/>
      <c r="AB112" s="444"/>
      <c r="AC112" s="444"/>
      <c r="AD112" s="444"/>
      <c r="AE112" s="444"/>
      <c r="AF112" s="444"/>
      <c r="AG112" s="444"/>
      <c r="AH112" s="444"/>
      <c r="AI112" s="444"/>
      <c r="AJ112" s="444"/>
      <c r="AK112" s="444"/>
      <c r="AL112" s="444"/>
      <c r="AM112" s="444"/>
      <c r="AN112" s="444"/>
      <c r="AO112" s="444"/>
      <c r="AP112" s="444"/>
      <c r="AQ112" s="444"/>
      <c r="AR112" s="444"/>
      <c r="AS112" s="444"/>
      <c r="AT112" s="444"/>
      <c r="AU112" s="444"/>
      <c r="AV112" s="444"/>
      <c r="AW112" s="444"/>
      <c r="AX112" s="444"/>
      <c r="AY112" s="444"/>
      <c r="AZ112" s="444"/>
      <c r="BA112" s="444"/>
      <c r="BB112" s="444"/>
      <c r="BC112" s="444"/>
    </row>
    <row r="113" spans="1:55" x14ac:dyDescent="0.25">
      <c r="A113" s="186"/>
      <c r="B113" s="72"/>
      <c r="C113" s="445"/>
      <c r="D113" s="445"/>
      <c r="E113" s="445"/>
      <c r="F113" s="445"/>
      <c r="G113" s="445"/>
      <c r="H113" s="445"/>
      <c r="I113" s="445"/>
      <c r="J113" s="445"/>
      <c r="K113" s="445"/>
      <c r="L113" s="445"/>
      <c r="M113" s="445"/>
      <c r="N113" s="445"/>
      <c r="O113" s="445"/>
      <c r="P113" s="445"/>
      <c r="Q113" s="445"/>
      <c r="R113" s="445"/>
      <c r="S113" s="445"/>
      <c r="T113" s="445"/>
      <c r="U113" s="445"/>
      <c r="V113" s="445">
        <v>45.828775147928987</v>
      </c>
      <c r="W113" s="445">
        <v>47.930769230769165</v>
      </c>
      <c r="X113" s="445">
        <v>45.331952662721925</v>
      </c>
      <c r="Y113" s="445">
        <v>42.920118343195277</v>
      </c>
      <c r="Z113" s="445"/>
      <c r="AA113" s="445"/>
      <c r="AB113" s="445"/>
      <c r="AC113" s="445"/>
      <c r="AD113" s="445"/>
      <c r="AE113" s="445"/>
      <c r="AF113" s="445"/>
      <c r="AG113" s="445"/>
      <c r="AH113" s="445"/>
      <c r="AI113" s="445"/>
      <c r="AJ113" s="445"/>
      <c r="AK113" s="445"/>
      <c r="AL113" s="445"/>
      <c r="AM113" s="445"/>
      <c r="AN113" s="445"/>
      <c r="AO113" s="445"/>
      <c r="AP113" s="445"/>
      <c r="AQ113" s="445"/>
      <c r="AR113" s="445"/>
      <c r="AS113" s="445"/>
      <c r="AT113" s="445"/>
      <c r="AU113" s="445"/>
      <c r="AV113" s="445"/>
      <c r="AW113" s="445"/>
      <c r="AX113" s="445"/>
      <c r="AY113" s="445"/>
      <c r="AZ113" s="445"/>
      <c r="BA113" s="445"/>
      <c r="BB113" s="445"/>
      <c r="BC113" s="445"/>
    </row>
    <row r="114" spans="1:55" x14ac:dyDescent="0.25">
      <c r="A114" s="187"/>
    </row>
    <row r="115" spans="1:55" x14ac:dyDescent="0.25">
      <c r="A115" s="187"/>
    </row>
    <row r="116" spans="1:55" x14ac:dyDescent="0.25">
      <c r="A116" s="187"/>
    </row>
    <row r="117" spans="1:55" x14ac:dyDescent="0.25">
      <c r="A117" s="187"/>
      <c r="B117" s="352" t="s">
        <v>251</v>
      </c>
      <c r="C117" s="154" t="s">
        <v>241</v>
      </c>
    </row>
    <row r="118" spans="1:55" x14ac:dyDescent="0.25">
      <c r="A118" s="187"/>
      <c r="B118" s="169" t="s">
        <v>133</v>
      </c>
      <c r="C118" s="186">
        <v>3</v>
      </c>
      <c r="D118" s="186">
        <v>4</v>
      </c>
      <c r="E118" s="186">
        <v>5</v>
      </c>
      <c r="F118" s="186">
        <v>6</v>
      </c>
      <c r="G118" s="186">
        <v>7</v>
      </c>
      <c r="H118" s="186">
        <v>8</v>
      </c>
      <c r="I118" s="186">
        <v>9</v>
      </c>
      <c r="J118" s="186">
        <v>10</v>
      </c>
      <c r="K118" s="186">
        <v>11</v>
      </c>
      <c r="L118" s="186">
        <v>12</v>
      </c>
      <c r="M118" s="186">
        <v>13</v>
      </c>
      <c r="N118" s="186">
        <v>14</v>
      </c>
      <c r="O118" s="186">
        <v>15</v>
      </c>
      <c r="P118" s="186">
        <v>16</v>
      </c>
      <c r="Q118" s="186">
        <v>17</v>
      </c>
      <c r="R118" s="186">
        <v>18</v>
      </c>
      <c r="S118" s="186">
        <v>19</v>
      </c>
      <c r="T118" s="186">
        <v>20</v>
      </c>
      <c r="U118" s="186">
        <v>21</v>
      </c>
      <c r="V118" s="186">
        <v>22</v>
      </c>
      <c r="W118" s="186">
        <v>23</v>
      </c>
      <c r="X118" s="186">
        <v>24</v>
      </c>
      <c r="Y118" s="186">
        <v>25</v>
      </c>
      <c r="Z118" s="186">
        <v>26</v>
      </c>
      <c r="AA118" s="186">
        <v>27</v>
      </c>
      <c r="AB118" s="186">
        <v>28</v>
      </c>
      <c r="AC118" s="186">
        <v>29</v>
      </c>
      <c r="AD118" s="186">
        <v>30</v>
      </c>
      <c r="AE118" s="186">
        <v>31</v>
      </c>
      <c r="AF118" s="186">
        <v>32</v>
      </c>
      <c r="AG118" s="186">
        <v>33</v>
      </c>
      <c r="AH118" s="186">
        <v>34</v>
      </c>
      <c r="AI118" s="186">
        <v>35</v>
      </c>
      <c r="AJ118" s="186">
        <v>36</v>
      </c>
      <c r="AK118" s="186">
        <v>37</v>
      </c>
      <c r="AL118" s="186">
        <v>38</v>
      </c>
      <c r="AM118" s="186">
        <v>39</v>
      </c>
      <c r="AN118" s="186">
        <v>40</v>
      </c>
      <c r="AO118" s="186">
        <v>41</v>
      </c>
      <c r="AP118" s="186">
        <v>42</v>
      </c>
      <c r="AQ118" s="186">
        <v>43</v>
      </c>
      <c r="AR118" s="186">
        <v>44</v>
      </c>
      <c r="AS118" s="186">
        <v>45</v>
      </c>
      <c r="AT118" s="186">
        <v>46</v>
      </c>
      <c r="AU118" s="186">
        <v>47</v>
      </c>
      <c r="AV118" s="186">
        <v>48</v>
      </c>
      <c r="AW118" s="186">
        <v>49</v>
      </c>
      <c r="AX118" s="186">
        <v>50</v>
      </c>
      <c r="AY118" s="186">
        <v>51</v>
      </c>
      <c r="AZ118" s="186">
        <v>52</v>
      </c>
      <c r="BA118" s="186">
        <v>53</v>
      </c>
      <c r="BB118" s="186">
        <v>53</v>
      </c>
      <c r="BC118" s="186"/>
    </row>
    <row r="119" spans="1:55" s="19" customFormat="1" x14ac:dyDescent="0.25">
      <c r="A119" s="191"/>
      <c r="B119" s="71" t="s">
        <v>251</v>
      </c>
      <c r="C119" s="75" t="str">
        <f>C64</f>
        <v>2014-S01</v>
      </c>
      <c r="D119" s="75" t="str">
        <f t="shared" ref="D119:BC119" si="4">D64</f>
        <v>2014-S02</v>
      </c>
      <c r="E119" s="75" t="str">
        <f t="shared" si="4"/>
        <v>2014-S03</v>
      </c>
      <c r="F119" s="75" t="str">
        <f t="shared" si="4"/>
        <v>2014-S04</v>
      </c>
      <c r="G119" s="75" t="str">
        <f t="shared" si="4"/>
        <v>2014-S05</v>
      </c>
      <c r="H119" s="75" t="str">
        <f t="shared" si="4"/>
        <v>2014-S06</v>
      </c>
      <c r="I119" s="75" t="str">
        <f t="shared" si="4"/>
        <v>2014-S07</v>
      </c>
      <c r="J119" s="75" t="str">
        <f t="shared" si="4"/>
        <v>2014-S08</v>
      </c>
      <c r="K119" s="75" t="str">
        <f t="shared" si="4"/>
        <v>2014-S09</v>
      </c>
      <c r="L119" s="75" t="str">
        <f t="shared" si="4"/>
        <v>2014-S10</v>
      </c>
      <c r="M119" s="75" t="str">
        <f t="shared" si="4"/>
        <v>2014-S11</v>
      </c>
      <c r="N119" s="75" t="str">
        <f t="shared" si="4"/>
        <v>2014-S12</v>
      </c>
      <c r="O119" s="75" t="str">
        <f t="shared" si="4"/>
        <v>2014-S13</v>
      </c>
      <c r="P119" s="75" t="str">
        <f t="shared" si="4"/>
        <v>2014-S14</v>
      </c>
      <c r="Q119" s="75" t="str">
        <f t="shared" si="4"/>
        <v>2014-S15</v>
      </c>
      <c r="R119" s="75" t="str">
        <f t="shared" si="4"/>
        <v>2014-S16</v>
      </c>
      <c r="S119" s="75" t="str">
        <f t="shared" si="4"/>
        <v>2014-S17</v>
      </c>
      <c r="T119" s="75" t="str">
        <f t="shared" si="4"/>
        <v>2014-S18</v>
      </c>
      <c r="U119" s="75" t="str">
        <f t="shared" si="4"/>
        <v>2014-S19</v>
      </c>
      <c r="V119" s="75" t="str">
        <f t="shared" si="4"/>
        <v>2014-S20</v>
      </c>
      <c r="W119" s="75" t="str">
        <f t="shared" si="4"/>
        <v>2014-S21</v>
      </c>
      <c r="X119" s="75" t="str">
        <f t="shared" si="4"/>
        <v>2014-S22</v>
      </c>
      <c r="Y119" s="75" t="str">
        <f t="shared" si="4"/>
        <v>2014-S23</v>
      </c>
      <c r="Z119" s="75" t="str">
        <f t="shared" si="4"/>
        <v>2014-S24</v>
      </c>
      <c r="AA119" s="75" t="str">
        <f t="shared" si="4"/>
        <v>2014-S25</v>
      </c>
      <c r="AB119" s="75" t="str">
        <f t="shared" si="4"/>
        <v>2014-S26</v>
      </c>
      <c r="AC119" s="75" t="str">
        <f t="shared" si="4"/>
        <v>2014-S27</v>
      </c>
      <c r="AD119" s="75" t="str">
        <f t="shared" si="4"/>
        <v>2014-S28</v>
      </c>
      <c r="AE119" s="75" t="str">
        <f t="shared" si="4"/>
        <v>2014-S29</v>
      </c>
      <c r="AF119" s="75" t="str">
        <f t="shared" si="4"/>
        <v>2014-S30</v>
      </c>
      <c r="AG119" s="75" t="str">
        <f t="shared" si="4"/>
        <v>2014-S31</v>
      </c>
      <c r="AH119" s="75" t="str">
        <f t="shared" si="4"/>
        <v>2014-S32</v>
      </c>
      <c r="AI119" s="75" t="str">
        <f t="shared" si="4"/>
        <v>2014-S33</v>
      </c>
      <c r="AJ119" s="75" t="str">
        <f t="shared" si="4"/>
        <v>2014-S34</v>
      </c>
      <c r="AK119" s="75" t="str">
        <f t="shared" si="4"/>
        <v>2014-S35</v>
      </c>
      <c r="AL119" s="75" t="str">
        <f t="shared" si="4"/>
        <v>2014-S36</v>
      </c>
      <c r="AM119" s="75" t="str">
        <f t="shared" si="4"/>
        <v>2014-S37</v>
      </c>
      <c r="AN119" s="75" t="str">
        <f t="shared" si="4"/>
        <v>2014-S38</v>
      </c>
      <c r="AO119" s="75" t="str">
        <f t="shared" si="4"/>
        <v>2014-S39</v>
      </c>
      <c r="AP119" s="75" t="str">
        <f t="shared" si="4"/>
        <v>2014-S40</v>
      </c>
      <c r="AQ119" s="75" t="str">
        <f t="shared" si="4"/>
        <v>2014-S41</v>
      </c>
      <c r="AR119" s="75" t="str">
        <f t="shared" si="4"/>
        <v>2014-S42</v>
      </c>
      <c r="AS119" s="75" t="str">
        <f t="shared" si="4"/>
        <v>2014-S43</v>
      </c>
      <c r="AT119" s="75" t="str">
        <f t="shared" si="4"/>
        <v>2014-S44</v>
      </c>
      <c r="AU119" s="75" t="str">
        <f t="shared" si="4"/>
        <v>2014-S45</v>
      </c>
      <c r="AV119" s="75" t="str">
        <f t="shared" si="4"/>
        <v>2014-S46</v>
      </c>
      <c r="AW119" s="75" t="str">
        <f t="shared" si="4"/>
        <v>2014-S47</v>
      </c>
      <c r="AX119" s="75" t="str">
        <f t="shared" si="4"/>
        <v>2014-S48</v>
      </c>
      <c r="AY119" s="75" t="str">
        <f t="shared" si="4"/>
        <v>2014-S49</v>
      </c>
      <c r="AZ119" s="75" t="str">
        <f t="shared" si="4"/>
        <v>2014-S50</v>
      </c>
      <c r="BA119" s="75" t="str">
        <f t="shared" si="4"/>
        <v>2014-S51</v>
      </c>
      <c r="BB119" s="75" t="str">
        <f t="shared" si="4"/>
        <v>2014-S52</v>
      </c>
      <c r="BC119" s="75" t="str">
        <f t="shared" si="4"/>
        <v>2014-S53</v>
      </c>
    </row>
    <row r="120" spans="1:55" hidden="1" x14ac:dyDescent="0.25">
      <c r="A120" s="186">
        <v>1</v>
      </c>
      <c r="B120" s="72" t="str">
        <f t="shared" ref="B120:B132" si="5">B65</f>
        <v>GC - 274 - T4 - 83m²</v>
      </c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>
        <v>2059.999999999995</v>
      </c>
      <c r="W120" s="194">
        <v>2199.9999999999959</v>
      </c>
      <c r="X120" s="194">
        <v>1899.9999999999986</v>
      </c>
      <c r="Y120" s="194">
        <v>2400.0000000000055</v>
      </c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</row>
    <row r="121" spans="1:55" hidden="1" x14ac:dyDescent="0.25">
      <c r="A121" s="186">
        <v>2</v>
      </c>
      <c r="B121" s="72" t="str">
        <f t="shared" si="5"/>
        <v>GC - 277 - T2 - 53m²</v>
      </c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>
        <v>434.99999999999875</v>
      </c>
      <c r="W121" s="194">
        <v>1100.0000000000014</v>
      </c>
      <c r="X121" s="194">
        <v>1100.0000000000014</v>
      </c>
      <c r="Y121" s="194">
        <v>500</v>
      </c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4"/>
      <c r="AT121" s="194"/>
      <c r="AU121" s="194"/>
      <c r="AV121" s="194"/>
      <c r="AW121" s="194"/>
      <c r="AX121" s="194"/>
      <c r="AY121" s="194"/>
      <c r="AZ121" s="194"/>
      <c r="BA121" s="194"/>
      <c r="BB121" s="194"/>
      <c r="BC121" s="194"/>
    </row>
    <row r="122" spans="1:55" hidden="1" x14ac:dyDescent="0.25">
      <c r="A122" s="186">
        <v>3</v>
      </c>
      <c r="B122" s="72" t="str">
        <f t="shared" si="5"/>
        <v>GC - 281 - T3 - 71m²</v>
      </c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>
        <v>2645.0000000000032</v>
      </c>
      <c r="W122" s="194">
        <v>2000</v>
      </c>
      <c r="X122" s="194">
        <v>2800.0000000000041</v>
      </c>
      <c r="Y122" s="194">
        <v>2000</v>
      </c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4"/>
      <c r="AT122" s="194"/>
      <c r="AU122" s="194"/>
      <c r="AV122" s="194"/>
      <c r="AW122" s="194"/>
      <c r="AX122" s="194"/>
      <c r="AY122" s="194"/>
      <c r="AZ122" s="194"/>
      <c r="BA122" s="194"/>
      <c r="BB122" s="194"/>
      <c r="BC122" s="194"/>
    </row>
    <row r="123" spans="1:55" hidden="1" x14ac:dyDescent="0.25">
      <c r="A123" s="186">
        <v>4</v>
      </c>
      <c r="B123" s="72" t="str">
        <f t="shared" si="5"/>
        <v>GC - 283 - T3 - 70m²</v>
      </c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>
        <v>1012.9999999999982</v>
      </c>
      <c r="W123" s="194">
        <v>1099.999999999998</v>
      </c>
      <c r="X123" s="194">
        <v>1000</v>
      </c>
      <c r="Y123" s="194">
        <v>1199.9999999999993</v>
      </c>
      <c r="Z123" s="194"/>
      <c r="AA123" s="194"/>
      <c r="AB123" s="194"/>
      <c r="AC123" s="194"/>
      <c r="AD123" s="194"/>
      <c r="AE123" s="194"/>
      <c r="AF123" s="194"/>
      <c r="AG123" s="194"/>
      <c r="AH123" s="194"/>
      <c r="AI123" s="194"/>
      <c r="AJ123" s="194"/>
      <c r="AK123" s="194"/>
      <c r="AL123" s="194"/>
      <c r="AM123" s="194"/>
      <c r="AN123" s="194"/>
      <c r="AO123" s="194"/>
      <c r="AP123" s="194"/>
      <c r="AQ123" s="194"/>
      <c r="AR123" s="194"/>
      <c r="AS123" s="194"/>
      <c r="AT123" s="194"/>
      <c r="AU123" s="194"/>
      <c r="AV123" s="194"/>
      <c r="AW123" s="194"/>
      <c r="AX123" s="194"/>
      <c r="AY123" s="194"/>
      <c r="AZ123" s="194"/>
      <c r="BA123" s="194"/>
      <c r="BB123" s="194"/>
      <c r="BC123" s="194"/>
    </row>
    <row r="124" spans="1:55" hidden="1" x14ac:dyDescent="0.25">
      <c r="A124" s="186">
        <v>5</v>
      </c>
      <c r="B124" s="72" t="str">
        <f t="shared" si="5"/>
        <v>GC - 285 - T3 - 64m²</v>
      </c>
      <c r="C124" s="194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>
        <v>1367.9999999999986</v>
      </c>
      <c r="W124" s="194">
        <v>1600.0000000000014</v>
      </c>
      <c r="X124" s="194">
        <v>1299.9999999999973</v>
      </c>
      <c r="Y124" s="194">
        <v>1600.0000000000014</v>
      </c>
      <c r="Z124" s="194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  <c r="AK124" s="194"/>
      <c r="AL124" s="194"/>
      <c r="AM124" s="194"/>
      <c r="AN124" s="194"/>
      <c r="AO124" s="194"/>
      <c r="AP124" s="194"/>
      <c r="AQ124" s="194"/>
      <c r="AR124" s="194"/>
      <c r="AS124" s="194"/>
      <c r="AT124" s="194"/>
      <c r="AU124" s="194"/>
      <c r="AV124" s="194"/>
      <c r="AW124" s="194"/>
      <c r="AX124" s="194"/>
      <c r="AY124" s="194"/>
      <c r="AZ124" s="194"/>
      <c r="BA124" s="194"/>
      <c r="BB124" s="194"/>
      <c r="BC124" s="194"/>
    </row>
    <row r="125" spans="1:55" hidden="1" x14ac:dyDescent="0.25">
      <c r="A125" s="186">
        <v>6</v>
      </c>
      <c r="B125" s="72" t="str">
        <f t="shared" si="5"/>
        <v>GC - 286 - T3 - 68m²</v>
      </c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>
        <v>2890.0000000000005</v>
      </c>
      <c r="W125" s="194">
        <v>3100.0000000000014</v>
      </c>
      <c r="X125" s="194">
        <v>3100.0000000000014</v>
      </c>
      <c r="Y125" s="194">
        <v>3500</v>
      </c>
      <c r="Z125" s="194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4"/>
      <c r="AL125" s="194"/>
      <c r="AM125" s="194"/>
      <c r="AN125" s="194"/>
      <c r="AO125" s="194"/>
      <c r="AP125" s="194"/>
      <c r="AQ125" s="194"/>
      <c r="AR125" s="194"/>
      <c r="AS125" s="194"/>
      <c r="AT125" s="194"/>
      <c r="AU125" s="194"/>
      <c r="AV125" s="194"/>
      <c r="AW125" s="194"/>
      <c r="AX125" s="194"/>
      <c r="AY125" s="194"/>
      <c r="AZ125" s="194"/>
      <c r="BA125" s="194"/>
      <c r="BB125" s="194"/>
      <c r="BC125" s="194"/>
    </row>
    <row r="126" spans="1:55" hidden="1" x14ac:dyDescent="0.25">
      <c r="A126" s="186">
        <v>7</v>
      </c>
      <c r="B126" s="72" t="str">
        <f t="shared" si="5"/>
        <v>GC - 289 - T3 - 76m²</v>
      </c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>
        <v>470.00000000000063</v>
      </c>
      <c r="W126" s="194">
        <v>700.00000000000102</v>
      </c>
      <c r="X126" s="194">
        <v>500</v>
      </c>
      <c r="Y126" s="194">
        <v>500</v>
      </c>
      <c r="Z126" s="194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4"/>
      <c r="AL126" s="194"/>
      <c r="AM126" s="194"/>
      <c r="AN126" s="194"/>
      <c r="AO126" s="194"/>
      <c r="AP126" s="194"/>
      <c r="AQ126" s="194"/>
      <c r="AR126" s="194"/>
      <c r="AS126" s="194"/>
      <c r="AT126" s="194"/>
      <c r="AU126" s="194"/>
      <c r="AV126" s="194"/>
      <c r="AW126" s="194"/>
      <c r="AX126" s="194"/>
      <c r="AY126" s="194"/>
      <c r="AZ126" s="194"/>
      <c r="BA126" s="194"/>
      <c r="BB126" s="194"/>
      <c r="BC126" s="194"/>
    </row>
    <row r="127" spans="1:55" hidden="1" x14ac:dyDescent="0.25">
      <c r="A127" s="186">
        <v>8</v>
      </c>
      <c r="B127" s="72" t="str">
        <f t="shared" si="5"/>
        <v>GC - 303 - T4 - 81m²</v>
      </c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>
        <v>1942.9999999999977</v>
      </c>
      <c r="W127" s="194">
        <v>1500</v>
      </c>
      <c r="X127" s="194">
        <v>2799.9999999999973</v>
      </c>
      <c r="Y127" s="194">
        <v>2100.0000000000014</v>
      </c>
      <c r="Z127" s="194"/>
      <c r="AA127" s="194"/>
      <c r="AB127" s="194"/>
      <c r="AC127" s="194"/>
      <c r="AD127" s="194"/>
      <c r="AE127" s="194"/>
      <c r="AF127" s="194"/>
      <c r="AG127" s="194"/>
      <c r="AH127" s="194"/>
      <c r="AI127" s="194"/>
      <c r="AJ127" s="194"/>
      <c r="AK127" s="194"/>
      <c r="AL127" s="194"/>
      <c r="AM127" s="194"/>
      <c r="AN127" s="194"/>
      <c r="AO127" s="194"/>
      <c r="AP127" s="194"/>
      <c r="AQ127" s="194"/>
      <c r="AR127" s="194"/>
      <c r="AS127" s="194"/>
      <c r="AT127" s="194"/>
      <c r="AU127" s="194"/>
      <c r="AV127" s="194"/>
      <c r="AW127" s="194"/>
      <c r="AX127" s="194"/>
      <c r="AY127" s="194"/>
      <c r="AZ127" s="194"/>
      <c r="BA127" s="194"/>
      <c r="BB127" s="194"/>
      <c r="BC127" s="194"/>
    </row>
    <row r="128" spans="1:55" hidden="1" x14ac:dyDescent="0.25">
      <c r="A128" s="186">
        <v>9</v>
      </c>
      <c r="B128" s="72" t="str">
        <f t="shared" si="5"/>
        <v>GC - 304 - T3 - 66m²</v>
      </c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>
        <v>3484.0000000000018</v>
      </c>
      <c r="W128" s="194">
        <v>3399.9999999999986</v>
      </c>
      <c r="X128" s="194">
        <v>1899.9999999999986</v>
      </c>
      <c r="Y128" s="194">
        <v>1799.9999999999973</v>
      </c>
      <c r="Z128" s="194"/>
      <c r="AA128" s="194"/>
      <c r="AB128" s="194"/>
      <c r="AC128" s="194"/>
      <c r="AD128" s="194"/>
      <c r="AE128" s="194"/>
      <c r="AF128" s="194"/>
      <c r="AG128" s="194"/>
      <c r="AH128" s="194"/>
      <c r="AI128" s="194"/>
      <c r="AJ128" s="194"/>
      <c r="AK128" s="194"/>
      <c r="AL128" s="194"/>
      <c r="AM128" s="194"/>
      <c r="AN128" s="194"/>
      <c r="AO128" s="194"/>
      <c r="AP128" s="194"/>
      <c r="AQ128" s="194"/>
      <c r="AR128" s="194"/>
      <c r="AS128" s="194"/>
      <c r="AT128" s="194"/>
      <c r="AU128" s="194"/>
      <c r="AV128" s="194"/>
      <c r="AW128" s="194"/>
      <c r="AX128" s="194"/>
      <c r="AY128" s="194"/>
      <c r="AZ128" s="194"/>
      <c r="BA128" s="194"/>
      <c r="BB128" s="194"/>
      <c r="BC128" s="194"/>
    </row>
    <row r="129" spans="1:55" hidden="1" x14ac:dyDescent="0.25">
      <c r="A129" s="186">
        <v>10</v>
      </c>
      <c r="B129" s="72" t="str">
        <f t="shared" si="5"/>
        <v>GC - 306 - T3 - 66m²</v>
      </c>
      <c r="C129" s="194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>
        <v>932.99999999999977</v>
      </c>
      <c r="W129" s="194">
        <v>899.99999999999864</v>
      </c>
      <c r="X129" s="194">
        <v>1100.0000000000014</v>
      </c>
      <c r="Y129" s="194">
        <v>1600.0000000000014</v>
      </c>
      <c r="Z129" s="194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  <c r="AK129" s="194"/>
      <c r="AL129" s="194"/>
      <c r="AM129" s="194"/>
      <c r="AN129" s="194"/>
      <c r="AO129" s="194"/>
      <c r="AP129" s="194"/>
      <c r="AQ129" s="194"/>
      <c r="AR129" s="194"/>
      <c r="AS129" s="194"/>
      <c r="AT129" s="194"/>
      <c r="AU129" s="194"/>
      <c r="AV129" s="194"/>
      <c r="AW129" s="194"/>
      <c r="AX129" s="194"/>
      <c r="AY129" s="194"/>
      <c r="AZ129" s="194"/>
      <c r="BA129" s="194"/>
      <c r="BB129" s="194"/>
      <c r="BC129" s="194"/>
    </row>
    <row r="130" spans="1:55" hidden="1" x14ac:dyDescent="0.25">
      <c r="A130" s="186">
        <v>11</v>
      </c>
      <c r="B130" s="72" t="str">
        <f t="shared" si="5"/>
        <v>GC - 307 - T3 - 66m²</v>
      </c>
      <c r="C130" s="194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>
        <v>3253.9999999999909</v>
      </c>
      <c r="W130" s="194">
        <v>3500</v>
      </c>
      <c r="X130" s="194">
        <v>3099.9999999999945</v>
      </c>
      <c r="Y130" s="194">
        <v>3400.0000000000055</v>
      </c>
      <c r="Z130" s="194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4"/>
      <c r="AL130" s="194"/>
      <c r="AM130" s="194"/>
      <c r="AN130" s="194"/>
      <c r="AO130" s="194"/>
      <c r="AP130" s="194"/>
      <c r="AQ130" s="194"/>
      <c r="AR130" s="194"/>
      <c r="AS130" s="194"/>
      <c r="AT130" s="194"/>
      <c r="AU130" s="194"/>
      <c r="AV130" s="194"/>
      <c r="AW130" s="194"/>
      <c r="AX130" s="194"/>
      <c r="AY130" s="194"/>
      <c r="AZ130" s="194"/>
      <c r="BA130" s="194"/>
      <c r="BB130" s="194"/>
      <c r="BC130" s="194"/>
    </row>
    <row r="131" spans="1:55" hidden="1" x14ac:dyDescent="0.25">
      <c r="A131" s="186">
        <v>12</v>
      </c>
      <c r="B131" s="72" t="str">
        <f t="shared" si="5"/>
        <v>GC - 308 - T3 - 66m²</v>
      </c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>
        <v>1684.9999999999986</v>
      </c>
      <c r="W131" s="194">
        <v>2000</v>
      </c>
      <c r="X131" s="194">
        <v>2699.9999999999991</v>
      </c>
      <c r="Y131" s="194">
        <v>1500</v>
      </c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194"/>
      <c r="AL131" s="194"/>
      <c r="AM131" s="194"/>
      <c r="AN131" s="194"/>
      <c r="AO131" s="194"/>
      <c r="AP131" s="194"/>
      <c r="AQ131" s="194"/>
      <c r="AR131" s="194"/>
      <c r="AS131" s="194"/>
      <c r="AT131" s="194"/>
      <c r="AU131" s="194"/>
      <c r="AV131" s="194"/>
      <c r="AW131" s="194"/>
      <c r="AX131" s="194"/>
      <c r="AY131" s="194"/>
      <c r="AZ131" s="194"/>
      <c r="BA131" s="194"/>
      <c r="BB131" s="194"/>
      <c r="BC131" s="194"/>
    </row>
    <row r="132" spans="1:55" hidden="1" x14ac:dyDescent="0.25">
      <c r="A132" s="186">
        <v>13</v>
      </c>
      <c r="B132" s="72" t="str">
        <f t="shared" si="5"/>
        <v>GC - 314 - T4 - 75m²</v>
      </c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>
        <v>4771.0000000000009</v>
      </c>
      <c r="W132" s="194">
        <v>4400.0000000000055</v>
      </c>
      <c r="X132" s="194">
        <v>4899.9999999999918</v>
      </c>
      <c r="Y132" s="194">
        <v>4400.0000000000055</v>
      </c>
      <c r="Z132" s="194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4"/>
      <c r="AL132" s="194"/>
      <c r="AM132" s="194"/>
      <c r="AN132" s="194"/>
      <c r="AO132" s="194"/>
      <c r="AP132" s="194"/>
      <c r="AQ132" s="194"/>
      <c r="AR132" s="194"/>
      <c r="AS132" s="194"/>
      <c r="AT132" s="194"/>
      <c r="AU132" s="194"/>
      <c r="AV132" s="194"/>
      <c r="AW132" s="194"/>
      <c r="AX132" s="194"/>
      <c r="AY132" s="194"/>
      <c r="AZ132" s="194"/>
      <c r="BA132" s="194"/>
      <c r="BB132" s="194"/>
      <c r="BC132" s="194"/>
    </row>
    <row r="133" spans="1:55" hidden="1" x14ac:dyDescent="0.25">
      <c r="A133" s="186">
        <v>14</v>
      </c>
      <c r="B133" s="72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>
        <v>2073.1538461538448</v>
      </c>
      <c r="W133" s="195">
        <v>2115.3846153846162</v>
      </c>
      <c r="X133" s="195">
        <v>2169.2307692307681</v>
      </c>
      <c r="Y133" s="195">
        <v>2038.4615384615395</v>
      </c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95"/>
      <c r="AZ133" s="195"/>
      <c r="BA133" s="195"/>
      <c r="BB133" s="195"/>
      <c r="BC133" s="195"/>
    </row>
    <row r="134" spans="1:55" hidden="1" x14ac:dyDescent="0.25">
      <c r="A134" s="186">
        <v>15</v>
      </c>
      <c r="B134" s="72" t="str">
        <f t="shared" ref="B134:B146" si="6">B79</f>
        <v>GE2.1 - 275 - T3 - 74m²</v>
      </c>
      <c r="C134" s="194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>
        <v>1472.9999999999991</v>
      </c>
      <c r="W134" s="194">
        <v>2200.0000000000027</v>
      </c>
      <c r="X134" s="194">
        <v>2699.9999999999959</v>
      </c>
      <c r="Y134" s="194">
        <v>2300.0000000000041</v>
      </c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4"/>
      <c r="AT134" s="194"/>
      <c r="AU134" s="194"/>
      <c r="AV134" s="194"/>
      <c r="AW134" s="194"/>
      <c r="AX134" s="194"/>
      <c r="AY134" s="194"/>
      <c r="AZ134" s="194"/>
      <c r="BA134" s="194"/>
      <c r="BB134" s="194"/>
      <c r="BC134" s="194"/>
    </row>
    <row r="135" spans="1:55" hidden="1" x14ac:dyDescent="0.25">
      <c r="A135" s="186">
        <v>16</v>
      </c>
      <c r="B135" s="72" t="str">
        <f t="shared" si="6"/>
        <v>GE2.1 - 278 - T2 - 57m²</v>
      </c>
      <c r="C135" s="194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>
        <v>352.00000000000034</v>
      </c>
      <c r="W135" s="194">
        <v>399.99999999999858</v>
      </c>
      <c r="X135" s="194">
        <v>300.00000000000068</v>
      </c>
      <c r="Y135" s="194">
        <v>400.00000000000034</v>
      </c>
      <c r="Z135" s="194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4"/>
      <c r="AL135" s="194"/>
      <c r="AM135" s="194"/>
      <c r="AN135" s="194"/>
      <c r="AO135" s="194"/>
      <c r="AP135" s="194"/>
      <c r="AQ135" s="194"/>
      <c r="AR135" s="194"/>
      <c r="AS135" s="194"/>
      <c r="AT135" s="194"/>
      <c r="AU135" s="194"/>
      <c r="AV135" s="194"/>
      <c r="AW135" s="194"/>
      <c r="AX135" s="194"/>
      <c r="AY135" s="194"/>
      <c r="AZ135" s="194"/>
      <c r="BA135" s="194"/>
      <c r="BB135" s="194"/>
      <c r="BC135" s="194"/>
    </row>
    <row r="136" spans="1:55" hidden="1" x14ac:dyDescent="0.25">
      <c r="A136" s="186">
        <v>17</v>
      </c>
      <c r="B136" s="72" t="str">
        <f t="shared" si="6"/>
        <v>GE2.1 - 280 - T3 - 66m²</v>
      </c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>
        <v>0</v>
      </c>
      <c r="W136" s="194">
        <v>100.00000000000009</v>
      </c>
      <c r="X136" s="194">
        <v>0</v>
      </c>
      <c r="Y136" s="194">
        <v>300.00000000000006</v>
      </c>
      <c r="Z136" s="194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4"/>
      <c r="AT136" s="194"/>
      <c r="AU136" s="194"/>
      <c r="AV136" s="194"/>
      <c r="AW136" s="194"/>
      <c r="AX136" s="194"/>
      <c r="AY136" s="194"/>
      <c r="AZ136" s="194"/>
      <c r="BA136" s="194"/>
      <c r="BB136" s="194"/>
      <c r="BC136" s="194"/>
    </row>
    <row r="137" spans="1:55" hidden="1" x14ac:dyDescent="0.25">
      <c r="A137" s="186">
        <v>18</v>
      </c>
      <c r="B137" s="72" t="str">
        <f t="shared" si="6"/>
        <v>GE2.1 - 282 - T4 - 78m²</v>
      </c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>
        <v>609.99999999999943</v>
      </c>
      <c r="W137" s="194">
        <v>700.00000000000102</v>
      </c>
      <c r="X137" s="194">
        <v>599.99999999999966</v>
      </c>
      <c r="Y137" s="194">
        <v>699.99999999999932</v>
      </c>
      <c r="Z137" s="194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4"/>
      <c r="AL137" s="194"/>
      <c r="AM137" s="194"/>
      <c r="AN137" s="194"/>
      <c r="AO137" s="194"/>
      <c r="AP137" s="194"/>
      <c r="AQ137" s="194"/>
      <c r="AR137" s="194"/>
      <c r="AS137" s="194"/>
      <c r="AT137" s="194"/>
      <c r="AU137" s="194"/>
      <c r="AV137" s="194"/>
      <c r="AW137" s="194"/>
      <c r="AX137" s="194"/>
      <c r="AY137" s="194"/>
      <c r="AZ137" s="194"/>
      <c r="BA137" s="194"/>
      <c r="BB137" s="194"/>
      <c r="BC137" s="194"/>
    </row>
    <row r="138" spans="1:55" hidden="1" x14ac:dyDescent="0.25">
      <c r="A138" s="186">
        <v>19</v>
      </c>
      <c r="B138" s="72" t="str">
        <f t="shared" si="6"/>
        <v>GE2.1 - 292 - T3 - 63m²</v>
      </c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>
        <v>855.00000000000216</v>
      </c>
      <c r="W138" s="194">
        <v>800.00000000000068</v>
      </c>
      <c r="X138" s="194">
        <v>899.99999999999864</v>
      </c>
      <c r="Y138" s="194">
        <v>1000</v>
      </c>
      <c r="Z138" s="194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4"/>
      <c r="AL138" s="194"/>
      <c r="AM138" s="194"/>
      <c r="AN138" s="194"/>
      <c r="AO138" s="194"/>
      <c r="AP138" s="194"/>
      <c r="AQ138" s="194"/>
      <c r="AR138" s="194"/>
      <c r="AS138" s="194"/>
      <c r="AT138" s="194"/>
      <c r="AU138" s="194"/>
      <c r="AV138" s="194"/>
      <c r="AW138" s="194"/>
      <c r="AX138" s="194"/>
      <c r="AY138" s="194"/>
      <c r="AZ138" s="194"/>
      <c r="BA138" s="194"/>
      <c r="BB138" s="194"/>
      <c r="BC138" s="194"/>
    </row>
    <row r="139" spans="1:55" hidden="1" x14ac:dyDescent="0.25">
      <c r="A139" s="186">
        <v>20</v>
      </c>
      <c r="B139" s="72" t="str">
        <f t="shared" si="6"/>
        <v>GE2.1 - 293 - T3 - 63m²</v>
      </c>
      <c r="C139" s="194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>
        <v>3423.9999999999995</v>
      </c>
      <c r="W139" s="194">
        <v>3200.0000000000027</v>
      </c>
      <c r="X139" s="194">
        <v>3100.0000000000014</v>
      </c>
      <c r="Y139" s="194">
        <v>2699.9999999999959</v>
      </c>
      <c r="Z139" s="194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94"/>
      <c r="AK139" s="194"/>
      <c r="AL139" s="194"/>
      <c r="AM139" s="194"/>
      <c r="AN139" s="194"/>
      <c r="AO139" s="194"/>
      <c r="AP139" s="194"/>
      <c r="AQ139" s="194"/>
      <c r="AR139" s="194"/>
      <c r="AS139" s="194"/>
      <c r="AT139" s="194"/>
      <c r="AU139" s="194"/>
      <c r="AV139" s="194"/>
      <c r="AW139" s="194"/>
      <c r="AX139" s="194"/>
      <c r="AY139" s="194"/>
      <c r="AZ139" s="194"/>
      <c r="BA139" s="194"/>
      <c r="BB139" s="194"/>
      <c r="BC139" s="194"/>
    </row>
    <row r="140" spans="1:55" hidden="1" x14ac:dyDescent="0.25">
      <c r="A140" s="186">
        <v>21</v>
      </c>
      <c r="B140" s="72" t="str">
        <f t="shared" si="6"/>
        <v>GE2.1 - 295 - T3 - 63m²</v>
      </c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>
        <v>3549.0000000000064</v>
      </c>
      <c r="W140" s="194">
        <v>3899.9999999999914</v>
      </c>
      <c r="X140" s="194">
        <v>3700.0000000000027</v>
      </c>
      <c r="Y140" s="194">
        <v>4100.0000000000082</v>
      </c>
      <c r="Z140" s="194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4"/>
      <c r="AL140" s="194"/>
      <c r="AM140" s="194"/>
      <c r="AN140" s="194"/>
      <c r="AO140" s="194"/>
      <c r="AP140" s="194"/>
      <c r="AQ140" s="194"/>
      <c r="AR140" s="194"/>
      <c r="AS140" s="194"/>
      <c r="AT140" s="194"/>
      <c r="AU140" s="194"/>
      <c r="AV140" s="194"/>
      <c r="AW140" s="194"/>
      <c r="AX140" s="194"/>
      <c r="AY140" s="194"/>
      <c r="AZ140" s="194"/>
      <c r="BA140" s="194"/>
      <c r="BB140" s="194"/>
      <c r="BC140" s="194"/>
    </row>
    <row r="141" spans="1:55" hidden="1" x14ac:dyDescent="0.25">
      <c r="A141" s="186">
        <v>22</v>
      </c>
      <c r="B141" s="72" t="str">
        <f t="shared" si="6"/>
        <v>GE2.1 - 296 - T4 - 78m²</v>
      </c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>
        <v>1616.9999999999973</v>
      </c>
      <c r="W141" s="194">
        <v>899.99999999999864</v>
      </c>
      <c r="X141" s="194">
        <v>1199.9999999999957</v>
      </c>
      <c r="Y141" s="194">
        <v>1000</v>
      </c>
      <c r="Z141" s="194"/>
      <c r="AA141" s="194"/>
      <c r="AB141" s="194"/>
      <c r="AC141" s="194"/>
      <c r="AD141" s="194"/>
      <c r="AE141" s="194"/>
      <c r="AF141" s="194"/>
      <c r="AG141" s="194"/>
      <c r="AH141" s="194"/>
      <c r="AI141" s="194"/>
      <c r="AJ141" s="194"/>
      <c r="AK141" s="194"/>
      <c r="AL141" s="194"/>
      <c r="AM141" s="194"/>
      <c r="AN141" s="194"/>
      <c r="AO141" s="194"/>
      <c r="AP141" s="194"/>
      <c r="AQ141" s="194"/>
      <c r="AR141" s="194"/>
      <c r="AS141" s="194"/>
      <c r="AT141" s="194"/>
      <c r="AU141" s="194"/>
      <c r="AV141" s="194"/>
      <c r="AW141" s="194"/>
      <c r="AX141" s="194"/>
      <c r="AY141" s="194"/>
      <c r="AZ141" s="194"/>
      <c r="BA141" s="194"/>
      <c r="BB141" s="194"/>
      <c r="BC141" s="194"/>
    </row>
    <row r="142" spans="1:55" hidden="1" x14ac:dyDescent="0.25">
      <c r="A142" s="186">
        <v>23</v>
      </c>
      <c r="B142" s="72" t="str">
        <f t="shared" si="6"/>
        <v>GE2.1 - 297 - T4 - 79m²</v>
      </c>
      <c r="C142" s="194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>
        <v>4753</v>
      </c>
      <c r="W142" s="194">
        <v>4700.0000000000027</v>
      </c>
      <c r="X142" s="194">
        <v>5000</v>
      </c>
      <c r="Y142" s="194">
        <v>4599.9999999999945</v>
      </c>
      <c r="Z142" s="194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  <c r="AK142" s="194"/>
      <c r="AL142" s="194"/>
      <c r="AM142" s="194"/>
      <c r="AN142" s="194"/>
      <c r="AO142" s="194"/>
      <c r="AP142" s="194"/>
      <c r="AQ142" s="194"/>
      <c r="AR142" s="194"/>
      <c r="AS142" s="194"/>
      <c r="AT142" s="194"/>
      <c r="AU142" s="194"/>
      <c r="AV142" s="194"/>
      <c r="AW142" s="194"/>
      <c r="AX142" s="194"/>
      <c r="AY142" s="194"/>
      <c r="AZ142" s="194"/>
      <c r="BA142" s="194"/>
      <c r="BB142" s="194"/>
      <c r="BC142" s="194"/>
    </row>
    <row r="143" spans="1:55" hidden="1" x14ac:dyDescent="0.25">
      <c r="A143" s="186">
        <v>24</v>
      </c>
      <c r="B143" s="72" t="str">
        <f t="shared" si="6"/>
        <v>GE2.1 - 299 - T4 - 79m²</v>
      </c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>
        <v>1243.000000000002</v>
      </c>
      <c r="W143" s="194">
        <v>699.99999999999932</v>
      </c>
      <c r="X143" s="194">
        <v>0</v>
      </c>
      <c r="Y143" s="194">
        <v>800.00000000000068</v>
      </c>
      <c r="Z143" s="194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4"/>
      <c r="AL143" s="194"/>
      <c r="AM143" s="194"/>
      <c r="AN143" s="194"/>
      <c r="AO143" s="194"/>
      <c r="AP143" s="194"/>
      <c r="AQ143" s="194"/>
      <c r="AR143" s="194"/>
      <c r="AS143" s="194"/>
      <c r="AT143" s="194"/>
      <c r="AU143" s="194"/>
      <c r="AV143" s="194"/>
      <c r="AW143" s="194"/>
      <c r="AX143" s="194"/>
      <c r="AY143" s="194"/>
      <c r="AZ143" s="194"/>
      <c r="BA143" s="194"/>
      <c r="BB143" s="194"/>
      <c r="BC143" s="194"/>
    </row>
    <row r="144" spans="1:55" hidden="1" x14ac:dyDescent="0.25">
      <c r="A144" s="186">
        <v>25</v>
      </c>
      <c r="B144" s="72" t="str">
        <f t="shared" si="6"/>
        <v>GE2.1 - 300 - T5 - 93m²</v>
      </c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>
        <v>2631.9999999999977</v>
      </c>
      <c r="W144" s="194">
        <v>2700.0000000000027</v>
      </c>
      <c r="X144" s="194">
        <v>2399.9999999999986</v>
      </c>
      <c r="Y144" s="194">
        <v>2500</v>
      </c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4"/>
      <c r="AT144" s="194"/>
      <c r="AU144" s="194"/>
      <c r="AV144" s="194"/>
      <c r="AW144" s="194"/>
      <c r="AX144" s="194"/>
      <c r="AY144" s="194"/>
      <c r="AZ144" s="194"/>
      <c r="BA144" s="194"/>
      <c r="BB144" s="194"/>
      <c r="BC144" s="194"/>
    </row>
    <row r="145" spans="1:55" hidden="1" x14ac:dyDescent="0.25">
      <c r="A145" s="186">
        <v>26</v>
      </c>
      <c r="B145" s="72" t="str">
        <f t="shared" si="6"/>
        <v>GE2.1 - 302 - T5 - 93m²</v>
      </c>
      <c r="C145" s="194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>
        <v>1952.9999999999959</v>
      </c>
      <c r="W145" s="194">
        <v>2399.9999999999986</v>
      </c>
      <c r="X145" s="194">
        <v>1899.9999999999986</v>
      </c>
      <c r="Y145" s="194">
        <v>2100.0000000000014</v>
      </c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4"/>
      <c r="AT145" s="194"/>
      <c r="AU145" s="194"/>
      <c r="AV145" s="194"/>
      <c r="AW145" s="194"/>
      <c r="AX145" s="194"/>
      <c r="AY145" s="194"/>
      <c r="AZ145" s="194"/>
      <c r="BA145" s="194"/>
      <c r="BB145" s="194"/>
      <c r="BC145" s="194"/>
    </row>
    <row r="146" spans="1:55" hidden="1" x14ac:dyDescent="0.25">
      <c r="A146" s="186">
        <v>27</v>
      </c>
      <c r="B146" s="72" t="str">
        <f t="shared" si="6"/>
        <v>GE2.1 - 312 - T4 - 75m²</v>
      </c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>
        <v>1939.9999999999977</v>
      </c>
      <c r="W146" s="194">
        <v>1100.0000000000014</v>
      </c>
      <c r="X146" s="194">
        <v>799.99999999999716</v>
      </c>
      <c r="Y146" s="194">
        <v>1100.0000000000014</v>
      </c>
      <c r="Z146" s="194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4"/>
      <c r="AL146" s="194"/>
      <c r="AM146" s="194"/>
      <c r="AN146" s="194"/>
      <c r="AO146" s="194"/>
      <c r="AP146" s="194"/>
      <c r="AQ146" s="194"/>
      <c r="AR146" s="194"/>
      <c r="AS146" s="194"/>
      <c r="AT146" s="194"/>
      <c r="AU146" s="194"/>
      <c r="AV146" s="194"/>
      <c r="AW146" s="194"/>
      <c r="AX146" s="194"/>
      <c r="AY146" s="194"/>
      <c r="AZ146" s="194"/>
      <c r="BA146" s="194"/>
      <c r="BB146" s="194"/>
      <c r="BC146" s="194"/>
    </row>
    <row r="147" spans="1:55" hidden="1" x14ac:dyDescent="0.25">
      <c r="A147" s="186">
        <v>28</v>
      </c>
      <c r="B147" s="72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>
        <v>1876.9999999999998</v>
      </c>
      <c r="W147" s="195">
        <v>1830.7692307692307</v>
      </c>
      <c r="X147" s="195">
        <v>1738.4615384615379</v>
      </c>
      <c r="Y147" s="195">
        <v>1815.3846153846155</v>
      </c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95"/>
      <c r="AZ147" s="195"/>
      <c r="BA147" s="195"/>
      <c r="BB147" s="195"/>
      <c r="BC147" s="195"/>
    </row>
    <row r="148" spans="1:55" x14ac:dyDescent="0.25">
      <c r="A148" s="186">
        <v>29</v>
      </c>
      <c r="B148" s="72" t="str">
        <f t="shared" ref="B148:B160" si="7">B93</f>
        <v>GE2.2 - 271 - T3 - 74m²</v>
      </c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>
        <v>1814.9999999999977</v>
      </c>
      <c r="W148" s="194">
        <v>2299.9999999999973</v>
      </c>
      <c r="X148" s="194">
        <v>1399.9999999999986</v>
      </c>
      <c r="Y148" s="194">
        <v>1800.0000000000043</v>
      </c>
      <c r="Z148" s="194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4"/>
      <c r="AL148" s="194"/>
      <c r="AM148" s="194"/>
      <c r="AN148" s="194"/>
      <c r="AO148" s="194"/>
      <c r="AP148" s="194"/>
      <c r="AQ148" s="194"/>
      <c r="AR148" s="194"/>
      <c r="AS148" s="194"/>
      <c r="AT148" s="194"/>
      <c r="AU148" s="194"/>
      <c r="AV148" s="194"/>
      <c r="AW148" s="194"/>
      <c r="AX148" s="194"/>
      <c r="AY148" s="194"/>
      <c r="AZ148" s="194"/>
      <c r="BA148" s="194"/>
      <c r="BB148" s="194"/>
      <c r="BC148" s="194"/>
    </row>
    <row r="149" spans="1:55" x14ac:dyDescent="0.25">
      <c r="A149" s="186">
        <v>30</v>
      </c>
      <c r="B149" s="72" t="str">
        <f t="shared" si="7"/>
        <v>GE2.2 - 272 - T3 - 74m²</v>
      </c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>
        <v>1848.9999999999966</v>
      </c>
      <c r="W149" s="194">
        <v>1700.0000000000027</v>
      </c>
      <c r="X149" s="194">
        <v>1899.9999999999986</v>
      </c>
      <c r="Y149" s="194">
        <v>1799.9999999999973</v>
      </c>
      <c r="Z149" s="194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4"/>
      <c r="AL149" s="194"/>
      <c r="AM149" s="194"/>
      <c r="AN149" s="194"/>
      <c r="AO149" s="194"/>
      <c r="AP149" s="194"/>
      <c r="AQ149" s="194"/>
      <c r="AR149" s="194"/>
      <c r="AS149" s="194"/>
      <c r="AT149" s="194"/>
      <c r="AU149" s="194"/>
      <c r="AV149" s="194"/>
      <c r="AW149" s="194"/>
      <c r="AX149" s="194"/>
      <c r="AY149" s="194"/>
      <c r="AZ149" s="194"/>
      <c r="BA149" s="194"/>
      <c r="BB149" s="194"/>
      <c r="BC149" s="194"/>
    </row>
    <row r="150" spans="1:55" x14ac:dyDescent="0.25">
      <c r="A150" s="186">
        <v>31</v>
      </c>
      <c r="B150" s="72" t="str">
        <f t="shared" si="7"/>
        <v>GE2.2 - 273 - T3 - 74m²</v>
      </c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>
        <v>1917.9999999999957</v>
      </c>
      <c r="W150" s="194">
        <v>2000</v>
      </c>
      <c r="X150" s="194">
        <v>2500</v>
      </c>
      <c r="Y150" s="194">
        <v>2000</v>
      </c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4"/>
      <c r="AT150" s="194"/>
      <c r="AU150" s="194"/>
      <c r="AV150" s="194"/>
      <c r="AW150" s="194"/>
      <c r="AX150" s="194"/>
      <c r="AY150" s="194"/>
      <c r="AZ150" s="194"/>
      <c r="BA150" s="194"/>
      <c r="BB150" s="194"/>
      <c r="BC150" s="194"/>
    </row>
    <row r="151" spans="1:55" x14ac:dyDescent="0.25">
      <c r="A151" s="186">
        <v>32</v>
      </c>
      <c r="B151" s="72" t="str">
        <f t="shared" si="7"/>
        <v>GE2.2 - 276 - T4 - 83m²</v>
      </c>
      <c r="C151" s="194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>
        <v>2000.9999999999977</v>
      </c>
      <c r="W151" s="194">
        <v>1899.9999999999986</v>
      </c>
      <c r="X151" s="194">
        <v>2299.9999999999973</v>
      </c>
      <c r="Y151" s="194">
        <v>2100.0000000000014</v>
      </c>
      <c r="Z151" s="194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4"/>
      <c r="AT151" s="194"/>
      <c r="AU151" s="194"/>
      <c r="AV151" s="194"/>
      <c r="AW151" s="194"/>
      <c r="AX151" s="194"/>
      <c r="AY151" s="194"/>
      <c r="AZ151" s="194"/>
      <c r="BA151" s="194"/>
      <c r="BB151" s="194"/>
      <c r="BC151" s="194"/>
    </row>
    <row r="152" spans="1:55" x14ac:dyDescent="0.25">
      <c r="A152" s="186">
        <v>33</v>
      </c>
      <c r="B152" s="72" t="str">
        <f t="shared" si="7"/>
        <v>GE2.2 - 279 - T3 - 70m²</v>
      </c>
      <c r="C152" s="194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>
        <v>1415.0000000000027</v>
      </c>
      <c r="W152" s="194">
        <v>1899.9999999999986</v>
      </c>
      <c r="X152" s="194">
        <v>1300.0000000000007</v>
      </c>
      <c r="Y152" s="194">
        <v>1800.0000000000007</v>
      </c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4"/>
      <c r="AT152" s="194"/>
      <c r="AU152" s="194"/>
      <c r="AV152" s="194"/>
      <c r="AW152" s="194"/>
      <c r="AX152" s="194"/>
      <c r="AY152" s="194"/>
      <c r="AZ152" s="194"/>
      <c r="BA152" s="194"/>
      <c r="BB152" s="194"/>
      <c r="BC152" s="194"/>
    </row>
    <row r="153" spans="1:55" x14ac:dyDescent="0.25">
      <c r="A153" s="186">
        <v>34</v>
      </c>
      <c r="B153" s="72" t="str">
        <f t="shared" si="7"/>
        <v>GE2.2 - 288 - T3 - 68m²</v>
      </c>
      <c r="C153" s="194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>
        <v>874.00000000000227</v>
      </c>
      <c r="W153" s="194">
        <v>899.99999999999864</v>
      </c>
      <c r="X153" s="194">
        <v>1000</v>
      </c>
      <c r="Y153" s="194">
        <v>900.00000000000216</v>
      </c>
      <c r="Z153" s="194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4"/>
      <c r="AL153" s="194"/>
      <c r="AM153" s="194"/>
      <c r="AN153" s="194"/>
      <c r="AO153" s="194"/>
      <c r="AP153" s="194"/>
      <c r="AQ153" s="194"/>
      <c r="AR153" s="194"/>
      <c r="AS153" s="194"/>
      <c r="AT153" s="194"/>
      <c r="AU153" s="194"/>
      <c r="AV153" s="194"/>
      <c r="AW153" s="194"/>
      <c r="AX153" s="194"/>
      <c r="AY153" s="194"/>
      <c r="AZ153" s="194"/>
      <c r="BA153" s="194"/>
      <c r="BB153" s="194"/>
      <c r="BC153" s="194"/>
    </row>
    <row r="154" spans="1:55" x14ac:dyDescent="0.25">
      <c r="A154" s="186">
        <v>35</v>
      </c>
      <c r="B154" s="72" t="str">
        <f t="shared" si="7"/>
        <v>GE2.2 - 291 - T3 - 62m²</v>
      </c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>
        <v>118.99999999999977</v>
      </c>
      <c r="W154" s="194">
        <v>699.99999999999932</v>
      </c>
      <c r="X154" s="194">
        <v>100.00000000000142</v>
      </c>
      <c r="Y154" s="194">
        <v>399.99999999999858</v>
      </c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4"/>
      <c r="AT154" s="194"/>
      <c r="AU154" s="194"/>
      <c r="AV154" s="194"/>
      <c r="AW154" s="194"/>
      <c r="AX154" s="194"/>
      <c r="AY154" s="194"/>
      <c r="AZ154" s="194"/>
      <c r="BA154" s="194"/>
      <c r="BB154" s="194"/>
      <c r="BC154" s="194"/>
    </row>
    <row r="155" spans="1:55" x14ac:dyDescent="0.25">
      <c r="A155" s="186">
        <v>36</v>
      </c>
      <c r="B155" s="72" t="str">
        <f t="shared" si="7"/>
        <v>GE2.2 - 294 - T3 - 63m²</v>
      </c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>
        <v>735.99999999999704</v>
      </c>
      <c r="W155" s="194">
        <v>1199.9999999999993</v>
      </c>
      <c r="X155" s="194">
        <v>1199.9999999999993</v>
      </c>
      <c r="Y155" s="194">
        <v>1399.9999999999986</v>
      </c>
      <c r="Z155" s="194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194"/>
      <c r="AT155" s="194"/>
      <c r="AU155" s="194"/>
      <c r="AV155" s="194"/>
      <c r="AW155" s="194"/>
      <c r="AX155" s="194"/>
      <c r="AY155" s="194"/>
      <c r="AZ155" s="194"/>
      <c r="BA155" s="194"/>
      <c r="BB155" s="194"/>
      <c r="BC155" s="194"/>
    </row>
    <row r="156" spans="1:55" x14ac:dyDescent="0.25">
      <c r="A156" s="186">
        <v>37</v>
      </c>
      <c r="B156" s="72" t="str">
        <f t="shared" si="7"/>
        <v>GE2.2 - 298 - T5 - 93m²</v>
      </c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>
        <v>5104.99999999999</v>
      </c>
      <c r="W156" s="194">
        <v>4800.0000000000109</v>
      </c>
      <c r="X156" s="194">
        <v>5299.9999999999973</v>
      </c>
      <c r="Y156" s="194">
        <v>4700.0000000000027</v>
      </c>
      <c r="Z156" s="194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194"/>
      <c r="AT156" s="194"/>
      <c r="AU156" s="194"/>
      <c r="AV156" s="194"/>
      <c r="AW156" s="194"/>
      <c r="AX156" s="194"/>
      <c r="AY156" s="194"/>
      <c r="AZ156" s="194"/>
      <c r="BA156" s="194"/>
      <c r="BB156" s="194"/>
      <c r="BC156" s="194"/>
    </row>
    <row r="157" spans="1:55" x14ac:dyDescent="0.25">
      <c r="A157" s="186">
        <v>38</v>
      </c>
      <c r="B157" s="72" t="str">
        <f t="shared" si="7"/>
        <v>GE2.2 - 301 - T4 - 79m²</v>
      </c>
      <c r="C157" s="194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>
        <v>2116.9999999999973</v>
      </c>
      <c r="W157" s="194">
        <v>1800.0000000000043</v>
      </c>
      <c r="X157" s="194">
        <v>2699.9999999999959</v>
      </c>
      <c r="Y157" s="194">
        <v>1500</v>
      </c>
      <c r="Z157" s="194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194"/>
      <c r="AT157" s="194"/>
      <c r="AU157" s="194"/>
      <c r="AV157" s="194"/>
      <c r="AW157" s="194"/>
      <c r="AX157" s="194"/>
      <c r="AY157" s="194"/>
      <c r="AZ157" s="194"/>
      <c r="BA157" s="194"/>
      <c r="BB157" s="194"/>
      <c r="BC157" s="194"/>
    </row>
    <row r="158" spans="1:55" x14ac:dyDescent="0.25">
      <c r="A158" s="186">
        <v>39</v>
      </c>
      <c r="B158" s="72" t="str">
        <f t="shared" si="7"/>
        <v>GE2.2 - 311 - T4 - 74m²</v>
      </c>
      <c r="C158" s="194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>
        <v>2259.9999999999982</v>
      </c>
      <c r="W158" s="194">
        <v>1500</v>
      </c>
      <c r="X158" s="194">
        <v>1900.0000000000057</v>
      </c>
      <c r="Y158" s="194">
        <v>2000</v>
      </c>
      <c r="Z158" s="194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4"/>
      <c r="AL158" s="194"/>
      <c r="AM158" s="194"/>
      <c r="AN158" s="194"/>
      <c r="AO158" s="194"/>
      <c r="AP158" s="194"/>
      <c r="AQ158" s="194"/>
      <c r="AR158" s="194"/>
      <c r="AS158" s="194"/>
      <c r="AT158" s="194"/>
      <c r="AU158" s="194"/>
      <c r="AV158" s="194"/>
      <c r="AW158" s="194"/>
      <c r="AX158" s="194"/>
      <c r="AY158" s="194"/>
      <c r="AZ158" s="194"/>
      <c r="BA158" s="194"/>
      <c r="BB158" s="194"/>
      <c r="BC158" s="194"/>
    </row>
    <row r="159" spans="1:55" x14ac:dyDescent="0.25">
      <c r="A159" s="186">
        <v>40</v>
      </c>
      <c r="B159" s="72" t="str">
        <f t="shared" si="7"/>
        <v>GE2.2 - 313 - T4 - 75m²</v>
      </c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>
        <v>1162.0000000000025</v>
      </c>
      <c r="W159" s="194">
        <v>1300.0000000000007</v>
      </c>
      <c r="X159" s="194">
        <v>1000</v>
      </c>
      <c r="Y159" s="194">
        <v>899.99999999999864</v>
      </c>
      <c r="Z159" s="194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4"/>
      <c r="AL159" s="194"/>
      <c r="AM159" s="194"/>
      <c r="AN159" s="194"/>
      <c r="AO159" s="194"/>
      <c r="AP159" s="194"/>
      <c r="AQ159" s="194"/>
      <c r="AR159" s="194"/>
      <c r="AS159" s="194"/>
      <c r="AT159" s="194"/>
      <c r="AU159" s="194"/>
      <c r="AV159" s="194"/>
      <c r="AW159" s="194"/>
      <c r="AX159" s="194"/>
      <c r="AY159" s="194"/>
      <c r="AZ159" s="194"/>
      <c r="BA159" s="194"/>
      <c r="BB159" s="194"/>
      <c r="BC159" s="194"/>
    </row>
    <row r="160" spans="1:55" x14ac:dyDescent="0.25">
      <c r="A160" s="186">
        <v>41</v>
      </c>
      <c r="B160" s="72" t="str">
        <f t="shared" si="7"/>
        <v>GE2.2 - 315 - T4 - 75m²</v>
      </c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>
        <v>2219.0000000000014</v>
      </c>
      <c r="W160" s="194">
        <v>3299.9999999999973</v>
      </c>
      <c r="X160" s="194">
        <v>2899.9999999999986</v>
      </c>
      <c r="Y160" s="194">
        <v>2600.0000000000014</v>
      </c>
      <c r="Z160" s="194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4"/>
      <c r="AL160" s="194"/>
      <c r="AM160" s="194"/>
      <c r="AN160" s="194"/>
      <c r="AO160" s="194"/>
      <c r="AP160" s="194"/>
      <c r="AQ160" s="194"/>
      <c r="AR160" s="194"/>
      <c r="AS160" s="194"/>
      <c r="AT160" s="194"/>
      <c r="AU160" s="194"/>
      <c r="AV160" s="194"/>
      <c r="AW160" s="194"/>
      <c r="AX160" s="194"/>
      <c r="AY160" s="194"/>
      <c r="AZ160" s="194"/>
      <c r="BA160" s="194"/>
      <c r="BB160" s="194"/>
      <c r="BC160" s="194"/>
    </row>
    <row r="161" spans="1:55" x14ac:dyDescent="0.25">
      <c r="A161" s="186">
        <v>42</v>
      </c>
      <c r="B161" s="72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>
        <v>1814.6153846153827</v>
      </c>
      <c r="W161" s="195">
        <v>1946.1538461538466</v>
      </c>
      <c r="X161" s="195">
        <v>1961.5384615384612</v>
      </c>
      <c r="Y161" s="195">
        <v>1838.4615384615388</v>
      </c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  <c r="AN161" s="195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Y161" s="195"/>
      <c r="AZ161" s="195"/>
      <c r="BA161" s="195"/>
      <c r="BB161" s="195"/>
      <c r="BC161" s="195"/>
    </row>
    <row r="162" spans="1:55" x14ac:dyDescent="0.25">
      <c r="A162" s="186">
        <v>43</v>
      </c>
      <c r="B162" s="72" t="str">
        <f t="shared" ref="B162:B167" si="8">B107</f>
        <v>SO - 284 - T - 64m²</v>
      </c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>
        <v>165.00000000000003</v>
      </c>
      <c r="W162" s="194">
        <v>399.99999999999949</v>
      </c>
      <c r="X162" s="194">
        <v>300.00000000000068</v>
      </c>
      <c r="Y162" s="194">
        <v>199.99999999999929</v>
      </c>
      <c r="Z162" s="194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  <c r="AK162" s="194"/>
      <c r="AL162" s="194"/>
      <c r="AM162" s="194"/>
      <c r="AN162" s="194"/>
      <c r="AO162" s="194"/>
      <c r="AP162" s="194"/>
      <c r="AQ162" s="194"/>
      <c r="AR162" s="194"/>
      <c r="AS162" s="194"/>
      <c r="AT162" s="194"/>
      <c r="AU162" s="194"/>
      <c r="AV162" s="194"/>
      <c r="AW162" s="194"/>
      <c r="AX162" s="194"/>
      <c r="AY162" s="194"/>
      <c r="AZ162" s="194"/>
      <c r="BA162" s="194"/>
      <c r="BB162" s="194"/>
      <c r="BC162" s="194"/>
    </row>
    <row r="163" spans="1:55" x14ac:dyDescent="0.25">
      <c r="A163" s="186">
        <v>44</v>
      </c>
      <c r="B163" s="72" t="str">
        <f t="shared" si="8"/>
        <v>SO - 287 - T - 81m²</v>
      </c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>
        <v>962.99999999999739</v>
      </c>
      <c r="W163" s="194">
        <v>1000</v>
      </c>
      <c r="X163" s="194">
        <v>1200.0000000000027</v>
      </c>
      <c r="Y163" s="194">
        <v>1199.9999999999957</v>
      </c>
      <c r="Z163" s="194"/>
      <c r="AA163" s="194"/>
      <c r="AB163" s="194"/>
      <c r="AC163" s="194"/>
      <c r="AD163" s="194"/>
      <c r="AE163" s="194"/>
      <c r="AF163" s="194"/>
      <c r="AG163" s="194"/>
      <c r="AH163" s="194"/>
      <c r="AI163" s="194"/>
      <c r="AJ163" s="194"/>
      <c r="AK163" s="194"/>
      <c r="AL163" s="194"/>
      <c r="AM163" s="194"/>
      <c r="AN163" s="194"/>
      <c r="AO163" s="194"/>
      <c r="AP163" s="194"/>
      <c r="AQ163" s="194"/>
      <c r="AR163" s="194"/>
      <c r="AS163" s="194"/>
      <c r="AT163" s="194"/>
      <c r="AU163" s="194"/>
      <c r="AV163" s="194"/>
      <c r="AW163" s="194"/>
      <c r="AX163" s="194"/>
      <c r="AY163" s="194"/>
      <c r="AZ163" s="194"/>
      <c r="BA163" s="194"/>
      <c r="BB163" s="194"/>
      <c r="BC163" s="194"/>
    </row>
    <row r="164" spans="1:55" x14ac:dyDescent="0.25">
      <c r="A164" s="186">
        <v>45</v>
      </c>
      <c r="B164" s="72" t="str">
        <f t="shared" si="8"/>
        <v>SO - 290 - T - 40m²</v>
      </c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>
        <v>972.99999999999898</v>
      </c>
      <c r="W164" s="194">
        <v>1500</v>
      </c>
      <c r="X164" s="194">
        <v>700.00000000000284</v>
      </c>
      <c r="Y164" s="194">
        <v>1099.999999999998</v>
      </c>
      <c r="Z164" s="194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4"/>
      <c r="AL164" s="194"/>
      <c r="AM164" s="194"/>
      <c r="AN164" s="194"/>
      <c r="AO164" s="194"/>
      <c r="AP164" s="194"/>
      <c r="AQ164" s="194"/>
      <c r="AR164" s="194"/>
      <c r="AS164" s="194"/>
      <c r="AT164" s="194"/>
      <c r="AU164" s="194"/>
      <c r="AV164" s="194"/>
      <c r="AW164" s="194"/>
      <c r="AX164" s="194"/>
      <c r="AY164" s="194"/>
      <c r="AZ164" s="194"/>
      <c r="BA164" s="194"/>
      <c r="BB164" s="194"/>
      <c r="BC164" s="194"/>
    </row>
    <row r="165" spans="1:55" x14ac:dyDescent="0.25">
      <c r="A165" s="186">
        <v>46</v>
      </c>
      <c r="B165" s="72" t="str">
        <f t="shared" si="8"/>
        <v>SO - 305 - T - 66m²</v>
      </c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>
        <v>1299.9999999999973</v>
      </c>
      <c r="W165" s="194">
        <v>1700.0000000000027</v>
      </c>
      <c r="X165" s="194">
        <v>2000</v>
      </c>
      <c r="Y165" s="194">
        <v>2000</v>
      </c>
      <c r="Z165" s="194"/>
      <c r="AA165" s="194"/>
      <c r="AB165" s="194"/>
      <c r="AC165" s="194"/>
      <c r="AD165" s="194"/>
      <c r="AE165" s="194"/>
      <c r="AF165" s="194"/>
      <c r="AG165" s="194"/>
      <c r="AH165" s="194"/>
      <c r="AI165" s="194"/>
      <c r="AJ165" s="194"/>
      <c r="AK165" s="194"/>
      <c r="AL165" s="194"/>
      <c r="AM165" s="194"/>
      <c r="AN165" s="194"/>
      <c r="AO165" s="194"/>
      <c r="AP165" s="194"/>
      <c r="AQ165" s="194"/>
      <c r="AR165" s="194"/>
      <c r="AS165" s="194"/>
      <c r="AT165" s="194"/>
      <c r="AU165" s="194"/>
      <c r="AV165" s="194"/>
      <c r="AW165" s="194"/>
      <c r="AX165" s="194"/>
      <c r="AY165" s="194"/>
      <c r="AZ165" s="194"/>
      <c r="BA165" s="194"/>
      <c r="BB165" s="194"/>
      <c r="BC165" s="194"/>
    </row>
    <row r="166" spans="1:55" x14ac:dyDescent="0.25">
      <c r="A166" s="186">
        <v>47</v>
      </c>
      <c r="B166" s="72" t="str">
        <f t="shared" si="8"/>
        <v>SO - 309 - T - 66m²</v>
      </c>
      <c r="C166" s="194"/>
      <c r="D166" s="194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>
        <v>1198.0000000000005</v>
      </c>
      <c r="W166" s="194">
        <v>800.00000000000068</v>
      </c>
      <c r="X166" s="194">
        <v>1100.0000000000014</v>
      </c>
      <c r="Y166" s="194">
        <v>1500</v>
      </c>
      <c r="Z166" s="194"/>
      <c r="AA166" s="194"/>
      <c r="AB166" s="194"/>
      <c r="AC166" s="194"/>
      <c r="AD166" s="194"/>
      <c r="AE166" s="194"/>
      <c r="AF166" s="194"/>
      <c r="AG166" s="194"/>
      <c r="AH166" s="194"/>
      <c r="AI166" s="194"/>
      <c r="AJ166" s="194"/>
      <c r="AK166" s="194"/>
      <c r="AL166" s="194"/>
      <c r="AM166" s="194"/>
      <c r="AN166" s="194"/>
      <c r="AO166" s="194"/>
      <c r="AP166" s="194"/>
      <c r="AQ166" s="194"/>
      <c r="AR166" s="194"/>
      <c r="AS166" s="194"/>
      <c r="AT166" s="194"/>
      <c r="AU166" s="194"/>
      <c r="AV166" s="194"/>
      <c r="AW166" s="194"/>
      <c r="AX166" s="194"/>
      <c r="AY166" s="194"/>
      <c r="AZ166" s="194"/>
      <c r="BA166" s="194"/>
      <c r="BB166" s="194"/>
      <c r="BC166" s="194"/>
    </row>
    <row r="167" spans="1:55" x14ac:dyDescent="0.25">
      <c r="A167" s="186">
        <v>48</v>
      </c>
      <c r="B167" s="72" t="str">
        <f t="shared" si="8"/>
        <v>SO - 310 - T - 54m²</v>
      </c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>
        <v>1814</v>
      </c>
      <c r="W167" s="194">
        <v>1800.0000000000007</v>
      </c>
      <c r="X167" s="194">
        <v>1700.0000000000027</v>
      </c>
      <c r="Y167" s="194">
        <v>1599.9999999999943</v>
      </c>
      <c r="Z167" s="194"/>
      <c r="AA167" s="194"/>
      <c r="AB167" s="194"/>
      <c r="AC167" s="194"/>
      <c r="AD167" s="194"/>
      <c r="AE167" s="194"/>
      <c r="AF167" s="194"/>
      <c r="AG167" s="194"/>
      <c r="AH167" s="194"/>
      <c r="AI167" s="194"/>
      <c r="AJ167" s="194"/>
      <c r="AK167" s="194"/>
      <c r="AL167" s="194"/>
      <c r="AM167" s="194"/>
      <c r="AN167" s="194"/>
      <c r="AO167" s="194"/>
      <c r="AP167" s="194"/>
      <c r="AQ167" s="194"/>
      <c r="AR167" s="194"/>
      <c r="AS167" s="194"/>
      <c r="AT167" s="194"/>
      <c r="AU167" s="194"/>
      <c r="AV167" s="194"/>
      <c r="AW167" s="194"/>
      <c r="AX167" s="194"/>
      <c r="AY167" s="194"/>
      <c r="AZ167" s="194"/>
      <c r="BA167" s="194"/>
      <c r="BB167" s="194"/>
      <c r="BC167" s="194"/>
    </row>
    <row r="168" spans="1:55" x14ac:dyDescent="0.25">
      <c r="A168" s="186"/>
      <c r="B168" s="72"/>
      <c r="C168" s="195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>
        <v>1678.9704142011817</v>
      </c>
      <c r="W168" s="195">
        <v>1200.0000000000007</v>
      </c>
      <c r="X168" s="195">
        <v>1843.1952662721899</v>
      </c>
      <c r="Y168" s="195">
        <v>1733.7278106508868</v>
      </c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95"/>
      <c r="BA168" s="195"/>
      <c r="BB168" s="195"/>
      <c r="BC168" s="195"/>
    </row>
    <row r="169" spans="1:55" x14ac:dyDescent="0.25">
      <c r="A169" s="187"/>
    </row>
    <row r="170" spans="1:55" x14ac:dyDescent="0.25">
      <c r="A170" s="187"/>
    </row>
    <row r="172" spans="1:55" x14ac:dyDescent="0.25">
      <c r="A172" s="187"/>
      <c r="B172" s="429" t="s">
        <v>252</v>
      </c>
      <c r="C172" s="154" t="s">
        <v>241</v>
      </c>
    </row>
    <row r="173" spans="1:55" x14ac:dyDescent="0.25">
      <c r="A173" s="187"/>
      <c r="B173" s="169" t="s">
        <v>133</v>
      </c>
      <c r="C173" s="186">
        <v>3</v>
      </c>
      <c r="D173" s="186">
        <v>4</v>
      </c>
      <c r="E173" s="186">
        <v>5</v>
      </c>
      <c r="F173" s="186">
        <v>6</v>
      </c>
      <c r="G173" s="186">
        <v>7</v>
      </c>
      <c r="H173" s="186">
        <v>8</v>
      </c>
      <c r="I173" s="186">
        <v>9</v>
      </c>
      <c r="J173" s="186">
        <v>10</v>
      </c>
      <c r="K173" s="186">
        <v>11</v>
      </c>
      <c r="L173" s="186">
        <v>12</v>
      </c>
      <c r="M173" s="186">
        <v>13</v>
      </c>
      <c r="N173" s="186">
        <v>14</v>
      </c>
      <c r="O173" s="186">
        <v>15</v>
      </c>
      <c r="P173" s="186">
        <v>16</v>
      </c>
      <c r="Q173" s="186">
        <v>17</v>
      </c>
      <c r="R173" s="186">
        <v>18</v>
      </c>
      <c r="S173" s="186">
        <v>19</v>
      </c>
      <c r="T173" s="186">
        <v>20</v>
      </c>
      <c r="U173" s="186">
        <v>21</v>
      </c>
      <c r="V173" s="186">
        <v>22</v>
      </c>
      <c r="W173" s="186">
        <v>23</v>
      </c>
      <c r="X173" s="186">
        <v>24</v>
      </c>
      <c r="Y173" s="186">
        <v>25</v>
      </c>
      <c r="Z173" s="186">
        <v>26</v>
      </c>
      <c r="AA173" s="186">
        <v>27</v>
      </c>
      <c r="AB173" s="186">
        <v>28</v>
      </c>
      <c r="AC173" s="186">
        <v>29</v>
      </c>
      <c r="AD173" s="186">
        <v>30</v>
      </c>
      <c r="AE173" s="186">
        <v>31</v>
      </c>
      <c r="AF173" s="186">
        <v>32</v>
      </c>
      <c r="AG173" s="186">
        <v>33</v>
      </c>
      <c r="AH173" s="186">
        <v>34</v>
      </c>
      <c r="AI173" s="186">
        <v>35</v>
      </c>
      <c r="AJ173" s="186">
        <v>36</v>
      </c>
      <c r="AK173" s="186">
        <v>37</v>
      </c>
      <c r="AL173" s="186">
        <v>38</v>
      </c>
      <c r="AM173" s="186">
        <v>39</v>
      </c>
      <c r="AN173" s="186">
        <v>40</v>
      </c>
      <c r="AO173" s="186">
        <v>41</v>
      </c>
      <c r="AP173" s="186">
        <v>42</v>
      </c>
      <c r="AQ173" s="186">
        <v>43</v>
      </c>
      <c r="AR173" s="186">
        <v>44</v>
      </c>
      <c r="AS173" s="186">
        <v>45</v>
      </c>
      <c r="AT173" s="186">
        <v>46</v>
      </c>
      <c r="AU173" s="186">
        <v>47</v>
      </c>
      <c r="AV173" s="186">
        <v>48</v>
      </c>
      <c r="AW173" s="186">
        <v>49</v>
      </c>
      <c r="AX173" s="186">
        <v>50</v>
      </c>
      <c r="AY173" s="186">
        <v>51</v>
      </c>
      <c r="AZ173" s="186">
        <v>52</v>
      </c>
      <c r="BA173" s="186">
        <v>53</v>
      </c>
      <c r="BB173" s="186">
        <v>53</v>
      </c>
      <c r="BC173" s="186"/>
    </row>
    <row r="174" spans="1:55" s="19" customFormat="1" x14ac:dyDescent="0.25">
      <c r="A174" s="191"/>
      <c r="B174" s="426" t="s">
        <v>252</v>
      </c>
      <c r="C174" s="427" t="str">
        <f>C119</f>
        <v>2014-S01</v>
      </c>
      <c r="D174" s="427" t="str">
        <f t="shared" ref="D174:BC174" si="9">D119</f>
        <v>2014-S02</v>
      </c>
      <c r="E174" s="427" t="str">
        <f t="shared" si="9"/>
        <v>2014-S03</v>
      </c>
      <c r="F174" s="427" t="str">
        <f t="shared" si="9"/>
        <v>2014-S04</v>
      </c>
      <c r="G174" s="427" t="str">
        <f t="shared" si="9"/>
        <v>2014-S05</v>
      </c>
      <c r="H174" s="427" t="str">
        <f t="shared" si="9"/>
        <v>2014-S06</v>
      </c>
      <c r="I174" s="427" t="str">
        <f t="shared" si="9"/>
        <v>2014-S07</v>
      </c>
      <c r="J174" s="427" t="str">
        <f t="shared" si="9"/>
        <v>2014-S08</v>
      </c>
      <c r="K174" s="427" t="str">
        <f t="shared" si="9"/>
        <v>2014-S09</v>
      </c>
      <c r="L174" s="427" t="str">
        <f t="shared" si="9"/>
        <v>2014-S10</v>
      </c>
      <c r="M174" s="427" t="str">
        <f t="shared" si="9"/>
        <v>2014-S11</v>
      </c>
      <c r="N174" s="427" t="str">
        <f t="shared" si="9"/>
        <v>2014-S12</v>
      </c>
      <c r="O174" s="427" t="str">
        <f t="shared" si="9"/>
        <v>2014-S13</v>
      </c>
      <c r="P174" s="427" t="str">
        <f t="shared" si="9"/>
        <v>2014-S14</v>
      </c>
      <c r="Q174" s="427" t="str">
        <f t="shared" si="9"/>
        <v>2014-S15</v>
      </c>
      <c r="R174" s="427" t="str">
        <f t="shared" si="9"/>
        <v>2014-S16</v>
      </c>
      <c r="S174" s="427" t="str">
        <f t="shared" si="9"/>
        <v>2014-S17</v>
      </c>
      <c r="T174" s="427" t="str">
        <f t="shared" si="9"/>
        <v>2014-S18</v>
      </c>
      <c r="U174" s="427" t="str">
        <f t="shared" si="9"/>
        <v>2014-S19</v>
      </c>
      <c r="V174" s="427" t="str">
        <f t="shared" si="9"/>
        <v>2014-S20</v>
      </c>
      <c r="W174" s="427" t="str">
        <f t="shared" si="9"/>
        <v>2014-S21</v>
      </c>
      <c r="X174" s="427" t="str">
        <f t="shared" si="9"/>
        <v>2014-S22</v>
      </c>
      <c r="Y174" s="427" t="str">
        <f t="shared" si="9"/>
        <v>2014-S23</v>
      </c>
      <c r="Z174" s="427" t="str">
        <f t="shared" si="9"/>
        <v>2014-S24</v>
      </c>
      <c r="AA174" s="427" t="str">
        <f t="shared" si="9"/>
        <v>2014-S25</v>
      </c>
      <c r="AB174" s="427" t="str">
        <f t="shared" si="9"/>
        <v>2014-S26</v>
      </c>
      <c r="AC174" s="427" t="str">
        <f t="shared" si="9"/>
        <v>2014-S27</v>
      </c>
      <c r="AD174" s="427" t="str">
        <f t="shared" si="9"/>
        <v>2014-S28</v>
      </c>
      <c r="AE174" s="427" t="str">
        <f t="shared" si="9"/>
        <v>2014-S29</v>
      </c>
      <c r="AF174" s="427" t="str">
        <f t="shared" si="9"/>
        <v>2014-S30</v>
      </c>
      <c r="AG174" s="427" t="str">
        <f t="shared" si="9"/>
        <v>2014-S31</v>
      </c>
      <c r="AH174" s="427" t="str">
        <f t="shared" si="9"/>
        <v>2014-S32</v>
      </c>
      <c r="AI174" s="427" t="str">
        <f t="shared" si="9"/>
        <v>2014-S33</v>
      </c>
      <c r="AJ174" s="427" t="str">
        <f t="shared" si="9"/>
        <v>2014-S34</v>
      </c>
      <c r="AK174" s="427" t="str">
        <f t="shared" si="9"/>
        <v>2014-S35</v>
      </c>
      <c r="AL174" s="427" t="str">
        <f t="shared" si="9"/>
        <v>2014-S36</v>
      </c>
      <c r="AM174" s="427" t="str">
        <f t="shared" si="9"/>
        <v>2014-S37</v>
      </c>
      <c r="AN174" s="427" t="str">
        <f t="shared" si="9"/>
        <v>2014-S38</v>
      </c>
      <c r="AO174" s="427" t="str">
        <f t="shared" si="9"/>
        <v>2014-S39</v>
      </c>
      <c r="AP174" s="427" t="str">
        <f t="shared" si="9"/>
        <v>2014-S40</v>
      </c>
      <c r="AQ174" s="427" t="str">
        <f t="shared" si="9"/>
        <v>2014-S41</v>
      </c>
      <c r="AR174" s="427" t="str">
        <f t="shared" si="9"/>
        <v>2014-S42</v>
      </c>
      <c r="AS174" s="427" t="str">
        <f t="shared" si="9"/>
        <v>2014-S43</v>
      </c>
      <c r="AT174" s="427" t="str">
        <f t="shared" si="9"/>
        <v>2014-S44</v>
      </c>
      <c r="AU174" s="427" t="str">
        <f t="shared" si="9"/>
        <v>2014-S45</v>
      </c>
      <c r="AV174" s="427" t="str">
        <f t="shared" si="9"/>
        <v>2014-S46</v>
      </c>
      <c r="AW174" s="427" t="str">
        <f t="shared" si="9"/>
        <v>2014-S47</v>
      </c>
      <c r="AX174" s="427" t="str">
        <f t="shared" si="9"/>
        <v>2014-S48</v>
      </c>
      <c r="AY174" s="427" t="str">
        <f t="shared" si="9"/>
        <v>2014-S49</v>
      </c>
      <c r="AZ174" s="427" t="str">
        <f t="shared" si="9"/>
        <v>2014-S50</v>
      </c>
      <c r="BA174" s="427" t="str">
        <f t="shared" si="9"/>
        <v>2014-S51</v>
      </c>
      <c r="BB174" s="427" t="str">
        <f t="shared" si="9"/>
        <v>2014-S52</v>
      </c>
      <c r="BC174" s="427" t="str">
        <f t="shared" si="9"/>
        <v>2014-S53</v>
      </c>
    </row>
    <row r="175" spans="1:55" hidden="1" x14ac:dyDescent="0.25">
      <c r="A175" s="186">
        <v>1</v>
      </c>
      <c r="B175" s="72" t="str">
        <f t="shared" ref="B175:B187" si="10">B120</f>
        <v>GC - 274 - T4 - 83m²</v>
      </c>
      <c r="C175" s="300"/>
      <c r="D175" s="300"/>
      <c r="E175" s="300"/>
      <c r="F175" s="300"/>
      <c r="G175" s="300"/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>
        <v>0.42230522088353367</v>
      </c>
      <c r="W175" s="300">
        <v>0.48915662650602426</v>
      </c>
      <c r="X175" s="300">
        <v>0.32610441767068249</v>
      </c>
      <c r="Y175" s="300">
        <v>0.43480589022757732</v>
      </c>
      <c r="Z175" s="300"/>
      <c r="AA175" s="300"/>
      <c r="AB175" s="300"/>
      <c r="AC175" s="300"/>
      <c r="AD175" s="300"/>
      <c r="AE175" s="300"/>
      <c r="AF175" s="300"/>
      <c r="AG175" s="300"/>
      <c r="AH175" s="300"/>
      <c r="AI175" s="300"/>
      <c r="AJ175" s="300"/>
      <c r="AK175" s="300"/>
      <c r="AL175" s="300"/>
      <c r="AM175" s="300"/>
      <c r="AN175" s="300"/>
      <c r="AO175" s="300"/>
      <c r="AP175" s="300"/>
      <c r="AQ175" s="300"/>
      <c r="AR175" s="300"/>
      <c r="AS175" s="300"/>
      <c r="AT175" s="300"/>
      <c r="AU175" s="300"/>
      <c r="AV175" s="300"/>
      <c r="AW175" s="300"/>
      <c r="AX175" s="300"/>
      <c r="AY175" s="300"/>
      <c r="AZ175" s="300"/>
      <c r="BA175" s="300"/>
      <c r="BB175" s="300"/>
      <c r="BC175" s="300"/>
    </row>
    <row r="176" spans="1:55" hidden="1" x14ac:dyDescent="0.25">
      <c r="A176" s="186">
        <v>2</v>
      </c>
      <c r="B176" s="72" t="str">
        <f t="shared" si="10"/>
        <v>GC - 277 - T2 - 53m²</v>
      </c>
      <c r="C176" s="300"/>
      <c r="D176" s="300"/>
      <c r="E176" s="300"/>
      <c r="F176" s="300"/>
      <c r="G176" s="300"/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>
        <v>0.14639832285115353</v>
      </c>
      <c r="W176" s="300">
        <v>0.34046121593291429</v>
      </c>
      <c r="X176" s="300">
        <v>0.34046121593291429</v>
      </c>
      <c r="Y176" s="300">
        <v>0.17023060796645642</v>
      </c>
      <c r="Z176" s="300"/>
      <c r="AA176" s="300"/>
      <c r="AB176" s="300"/>
      <c r="AC176" s="300"/>
      <c r="AD176" s="300"/>
      <c r="AE176" s="300"/>
      <c r="AF176" s="300"/>
      <c r="AG176" s="300"/>
      <c r="AH176" s="300"/>
      <c r="AI176" s="300"/>
      <c r="AJ176" s="300"/>
      <c r="AK176" s="300"/>
      <c r="AL176" s="300"/>
      <c r="AM176" s="300"/>
      <c r="AN176" s="300"/>
      <c r="AO176" s="300"/>
      <c r="AP176" s="300"/>
      <c r="AQ176" s="300"/>
      <c r="AR176" s="300"/>
      <c r="AS176" s="300"/>
      <c r="AT176" s="300"/>
      <c r="AU176" s="300"/>
      <c r="AV176" s="300"/>
      <c r="AW176" s="300"/>
      <c r="AX176" s="300"/>
      <c r="AY176" s="300"/>
      <c r="AZ176" s="300"/>
      <c r="BA176" s="300"/>
      <c r="BB176" s="300"/>
      <c r="BC176" s="300"/>
    </row>
    <row r="177" spans="1:55" hidden="1" x14ac:dyDescent="0.25">
      <c r="A177" s="186">
        <v>3</v>
      </c>
      <c r="B177" s="72" t="str">
        <f t="shared" si="10"/>
        <v>GC - 281 - T3 - 71m²</v>
      </c>
      <c r="C177" s="300"/>
      <c r="D177" s="300"/>
      <c r="E177" s="300"/>
      <c r="F177" s="300"/>
      <c r="G177" s="300"/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>
        <v>1.0286604068857588</v>
      </c>
      <c r="W177" s="300">
        <v>0.69890453834115895</v>
      </c>
      <c r="X177" s="300">
        <v>1.0801251956181528</v>
      </c>
      <c r="Y177" s="300">
        <v>0.63536776212832546</v>
      </c>
      <c r="Z177" s="300"/>
      <c r="AA177" s="300"/>
      <c r="AB177" s="300"/>
      <c r="AC177" s="300"/>
      <c r="AD177" s="300"/>
      <c r="AE177" s="300"/>
      <c r="AF177" s="300"/>
      <c r="AG177" s="300"/>
      <c r="AH177" s="300"/>
      <c r="AI177" s="300"/>
      <c r="AJ177" s="300"/>
      <c r="AK177" s="300"/>
      <c r="AL177" s="300"/>
      <c r="AM177" s="300"/>
      <c r="AN177" s="300"/>
      <c r="AO177" s="300"/>
      <c r="AP177" s="300"/>
      <c r="AQ177" s="300"/>
      <c r="AR177" s="300"/>
      <c r="AS177" s="300"/>
      <c r="AT177" s="300"/>
      <c r="AU177" s="300"/>
      <c r="AV177" s="300"/>
      <c r="AW177" s="300"/>
      <c r="AX177" s="300"/>
      <c r="AY177" s="300"/>
      <c r="AZ177" s="300"/>
      <c r="BA177" s="300"/>
      <c r="BB177" s="300"/>
      <c r="BC177" s="300"/>
    </row>
    <row r="178" spans="1:55" hidden="1" x14ac:dyDescent="0.25">
      <c r="A178" s="186">
        <v>4</v>
      </c>
      <c r="B178" s="72" t="str">
        <f t="shared" si="10"/>
        <v>GC - 283 - T3 - 70m²</v>
      </c>
      <c r="C178" s="300"/>
      <c r="D178" s="300"/>
      <c r="E178" s="300"/>
      <c r="F178" s="300"/>
      <c r="G178" s="300"/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>
        <v>0.2126666666666667</v>
      </c>
      <c r="W178" s="300">
        <v>0.25777777777777799</v>
      </c>
      <c r="X178" s="300">
        <v>0.19333333333333322</v>
      </c>
      <c r="Y178" s="300">
        <v>0.128888888888889</v>
      </c>
      <c r="Z178" s="300"/>
      <c r="AA178" s="300"/>
      <c r="AB178" s="300"/>
      <c r="AC178" s="300"/>
      <c r="AD178" s="300"/>
      <c r="AE178" s="300"/>
      <c r="AF178" s="300"/>
      <c r="AG178" s="300"/>
      <c r="AH178" s="300"/>
      <c r="AI178" s="300"/>
      <c r="AJ178" s="300"/>
      <c r="AK178" s="300"/>
      <c r="AL178" s="300"/>
      <c r="AM178" s="300"/>
      <c r="AN178" s="300"/>
      <c r="AO178" s="300"/>
      <c r="AP178" s="300"/>
      <c r="AQ178" s="300"/>
      <c r="AR178" s="300"/>
      <c r="AS178" s="300"/>
      <c r="AT178" s="300"/>
      <c r="AU178" s="300"/>
      <c r="AV178" s="300"/>
      <c r="AW178" s="300"/>
      <c r="AX178" s="300"/>
      <c r="AY178" s="300"/>
      <c r="AZ178" s="300"/>
      <c r="BA178" s="300"/>
      <c r="BB178" s="300"/>
      <c r="BC178" s="300"/>
    </row>
    <row r="179" spans="1:55" hidden="1" x14ac:dyDescent="0.25">
      <c r="A179" s="186">
        <v>5</v>
      </c>
      <c r="B179" s="446" t="str">
        <f t="shared" si="10"/>
        <v>GC - 285 - T3 - 64m²</v>
      </c>
      <c r="C179" s="300"/>
      <c r="D179" s="300"/>
      <c r="E179" s="300"/>
      <c r="F179" s="300"/>
      <c r="G179" s="300"/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>
        <v>-0.23542361113343049</v>
      </c>
      <c r="W179" s="300">
        <v>-0.14097222218939956</v>
      </c>
      <c r="X179" s="300">
        <v>-0.21145833336615596</v>
      </c>
      <c r="Y179" s="300">
        <v>-0.35243055555555552</v>
      </c>
      <c r="Z179" s="300"/>
      <c r="AA179" s="300"/>
      <c r="AB179" s="300"/>
      <c r="AC179" s="300"/>
      <c r="AD179" s="300"/>
      <c r="AE179" s="300"/>
      <c r="AF179" s="300"/>
      <c r="AG179" s="300"/>
      <c r="AH179" s="300"/>
      <c r="AI179" s="300"/>
      <c r="AJ179" s="300"/>
      <c r="AK179" s="300"/>
      <c r="AL179" s="300"/>
      <c r="AM179" s="300"/>
      <c r="AN179" s="300"/>
      <c r="AO179" s="300"/>
      <c r="AP179" s="300"/>
      <c r="AQ179" s="300"/>
      <c r="AR179" s="300"/>
      <c r="AS179" s="300"/>
      <c r="AT179" s="300"/>
      <c r="AU179" s="300"/>
      <c r="AV179" s="300"/>
      <c r="AW179" s="300"/>
      <c r="AX179" s="300"/>
      <c r="AY179" s="300"/>
      <c r="AZ179" s="300"/>
      <c r="BA179" s="300"/>
      <c r="BB179" s="300"/>
      <c r="BC179" s="300"/>
    </row>
    <row r="180" spans="1:55" hidden="1" x14ac:dyDescent="0.25">
      <c r="A180" s="186">
        <v>6</v>
      </c>
      <c r="B180" s="72" t="str">
        <f t="shared" si="10"/>
        <v>GC - 286 - T3 - 68m²</v>
      </c>
      <c r="C180" s="300"/>
      <c r="D180" s="300"/>
      <c r="E180" s="300"/>
      <c r="F180" s="300"/>
      <c r="G180" s="300"/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>
        <v>0.80536601307189437</v>
      </c>
      <c r="W180" s="300">
        <v>0.59705882352941075</v>
      </c>
      <c r="X180" s="300">
        <v>0.86241830065359526</v>
      </c>
      <c r="Y180" s="300">
        <v>0.92875816993464178</v>
      </c>
      <c r="Z180" s="300"/>
      <c r="AA180" s="300"/>
      <c r="AB180" s="300"/>
      <c r="AC180" s="300"/>
      <c r="AD180" s="300"/>
      <c r="AE180" s="300"/>
      <c r="AF180" s="300"/>
      <c r="AG180" s="300"/>
      <c r="AH180" s="300"/>
      <c r="AI180" s="300"/>
      <c r="AJ180" s="300"/>
      <c r="AK180" s="300"/>
      <c r="AL180" s="300"/>
      <c r="AM180" s="300"/>
      <c r="AN180" s="300"/>
      <c r="AO180" s="300"/>
      <c r="AP180" s="300"/>
      <c r="AQ180" s="300"/>
      <c r="AR180" s="300"/>
      <c r="AS180" s="300"/>
      <c r="AT180" s="300"/>
      <c r="AU180" s="300"/>
      <c r="AV180" s="300"/>
      <c r="AW180" s="300"/>
      <c r="AX180" s="300"/>
      <c r="AY180" s="300"/>
      <c r="AZ180" s="300"/>
      <c r="BA180" s="300"/>
      <c r="BB180" s="300"/>
      <c r="BC180" s="300"/>
    </row>
    <row r="181" spans="1:55" hidden="1" x14ac:dyDescent="0.25">
      <c r="A181" s="186">
        <v>7</v>
      </c>
      <c r="B181" s="72" t="str">
        <f t="shared" si="10"/>
        <v>GC - 289 - T3 - 76m²</v>
      </c>
      <c r="C181" s="300"/>
      <c r="D181" s="300"/>
      <c r="E181" s="300"/>
      <c r="F181" s="300"/>
      <c r="G181" s="300"/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>
        <v>9.3783625730994358E-2</v>
      </c>
      <c r="W181" s="300">
        <v>-5.9356725146198622E-2</v>
      </c>
      <c r="X181" s="300">
        <v>0.11871345029239724</v>
      </c>
      <c r="Y181" s="300">
        <v>5.9356725146199142E-2</v>
      </c>
      <c r="Z181" s="300"/>
      <c r="AA181" s="300"/>
      <c r="AB181" s="300"/>
      <c r="AC181" s="300"/>
      <c r="AD181" s="300"/>
      <c r="AE181" s="300"/>
      <c r="AF181" s="300"/>
      <c r="AG181" s="300"/>
      <c r="AH181" s="300"/>
      <c r="AI181" s="300"/>
      <c r="AJ181" s="300"/>
      <c r="AK181" s="300"/>
      <c r="AL181" s="300"/>
      <c r="AM181" s="300"/>
      <c r="AN181" s="300"/>
      <c r="AO181" s="300"/>
      <c r="AP181" s="300"/>
      <c r="AQ181" s="300"/>
      <c r="AR181" s="300"/>
      <c r="AS181" s="300"/>
      <c r="AT181" s="300"/>
      <c r="AU181" s="300"/>
      <c r="AV181" s="300"/>
      <c r="AW181" s="300"/>
      <c r="AX181" s="300"/>
      <c r="AY181" s="300"/>
      <c r="AZ181" s="300"/>
      <c r="BA181" s="300"/>
      <c r="BB181" s="300"/>
      <c r="BC181" s="300"/>
    </row>
    <row r="182" spans="1:55" hidden="1" x14ac:dyDescent="0.25">
      <c r="A182" s="186">
        <v>8</v>
      </c>
      <c r="B182" s="72" t="str">
        <f t="shared" si="10"/>
        <v>GC - 303 - T4 - 81m²</v>
      </c>
      <c r="C182" s="300"/>
      <c r="D182" s="300"/>
      <c r="E182" s="300"/>
      <c r="F182" s="300"/>
      <c r="G182" s="300"/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>
        <v>0.23001097393689995</v>
      </c>
      <c r="W182" s="300">
        <v>0.2784636488340192</v>
      </c>
      <c r="X182" s="300">
        <v>0.33415637860082281</v>
      </c>
      <c r="Y182" s="300">
        <v>0.22277091906721555</v>
      </c>
      <c r="Z182" s="300"/>
      <c r="AA182" s="300"/>
      <c r="AB182" s="300"/>
      <c r="AC182" s="300"/>
      <c r="AD182" s="300"/>
      <c r="AE182" s="300"/>
      <c r="AF182" s="300"/>
      <c r="AG182" s="300"/>
      <c r="AH182" s="300"/>
      <c r="AI182" s="300"/>
      <c r="AJ182" s="300"/>
      <c r="AK182" s="300"/>
      <c r="AL182" s="300"/>
      <c r="AM182" s="300"/>
      <c r="AN182" s="300"/>
      <c r="AO182" s="300"/>
      <c r="AP182" s="300"/>
      <c r="AQ182" s="300"/>
      <c r="AR182" s="300"/>
      <c r="AS182" s="300"/>
      <c r="AT182" s="300"/>
      <c r="AU182" s="300"/>
      <c r="AV182" s="300"/>
      <c r="AW182" s="300"/>
      <c r="AX182" s="300"/>
      <c r="AY182" s="300"/>
      <c r="AZ182" s="300"/>
      <c r="BA182" s="300"/>
      <c r="BB182" s="300"/>
      <c r="BC182" s="300"/>
    </row>
    <row r="183" spans="1:55" hidden="1" x14ac:dyDescent="0.25">
      <c r="A183" s="186">
        <v>9</v>
      </c>
      <c r="B183" s="72" t="str">
        <f t="shared" si="10"/>
        <v>GC - 304 - T3 - 66m²</v>
      </c>
      <c r="C183" s="300"/>
      <c r="D183" s="300"/>
      <c r="E183" s="300"/>
      <c r="F183" s="300"/>
      <c r="G183" s="300"/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>
        <v>1.2665286195286178</v>
      </c>
      <c r="W183" s="300">
        <v>1.3670033670033668</v>
      </c>
      <c r="X183" s="300">
        <v>0.61515151515151412</v>
      </c>
      <c r="Y183" s="300">
        <v>0.47845117845118035</v>
      </c>
      <c r="Z183" s="300"/>
      <c r="AA183" s="300"/>
      <c r="AB183" s="300"/>
      <c r="AC183" s="300"/>
      <c r="AD183" s="300"/>
      <c r="AE183" s="300"/>
      <c r="AF183" s="300"/>
      <c r="AG183" s="300"/>
      <c r="AH183" s="300"/>
      <c r="AI183" s="300"/>
      <c r="AJ183" s="300"/>
      <c r="AK183" s="300"/>
      <c r="AL183" s="300"/>
      <c r="AM183" s="300"/>
      <c r="AN183" s="300"/>
      <c r="AO183" s="300"/>
      <c r="AP183" s="300"/>
      <c r="AQ183" s="300"/>
      <c r="AR183" s="300"/>
      <c r="AS183" s="300"/>
      <c r="AT183" s="300"/>
      <c r="AU183" s="300"/>
      <c r="AV183" s="300"/>
      <c r="AW183" s="300"/>
      <c r="AX183" s="300"/>
      <c r="AY183" s="300"/>
      <c r="AZ183" s="300"/>
      <c r="BA183" s="300"/>
      <c r="BB183" s="300"/>
      <c r="BC183" s="300"/>
    </row>
    <row r="184" spans="1:55" hidden="1" x14ac:dyDescent="0.25">
      <c r="A184" s="186">
        <v>10</v>
      </c>
      <c r="B184" s="72" t="str">
        <f t="shared" si="10"/>
        <v>GC - 306 - T3 - 66m²</v>
      </c>
      <c r="C184" s="300"/>
      <c r="D184" s="300"/>
      <c r="E184" s="300"/>
      <c r="F184" s="300"/>
      <c r="G184" s="300"/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>
        <v>0.2433265993265992</v>
      </c>
      <c r="W184" s="300">
        <v>0.41010101010100986</v>
      </c>
      <c r="X184" s="300">
        <v>0.27340067340067359</v>
      </c>
      <c r="Y184" s="300">
        <v>0.20505050505050551</v>
      </c>
      <c r="Z184" s="300"/>
      <c r="AA184" s="300"/>
      <c r="AB184" s="300"/>
      <c r="AC184" s="300"/>
      <c r="AD184" s="300"/>
      <c r="AE184" s="300"/>
      <c r="AF184" s="300"/>
      <c r="AG184" s="300"/>
      <c r="AH184" s="300"/>
      <c r="AI184" s="300"/>
      <c r="AJ184" s="300"/>
      <c r="AK184" s="300"/>
      <c r="AL184" s="300"/>
      <c r="AM184" s="300"/>
      <c r="AN184" s="300"/>
      <c r="AO184" s="300"/>
      <c r="AP184" s="300"/>
      <c r="AQ184" s="300"/>
      <c r="AR184" s="300"/>
      <c r="AS184" s="300"/>
      <c r="AT184" s="300"/>
      <c r="AU184" s="300"/>
      <c r="AV184" s="300"/>
      <c r="AW184" s="300"/>
      <c r="AX184" s="300"/>
      <c r="AY184" s="300"/>
      <c r="AZ184" s="300"/>
      <c r="BA184" s="300"/>
      <c r="BB184" s="300"/>
      <c r="BC184" s="300"/>
    </row>
    <row r="185" spans="1:55" hidden="1" x14ac:dyDescent="0.25">
      <c r="A185" s="186">
        <v>11</v>
      </c>
      <c r="B185" s="72" t="str">
        <f t="shared" si="10"/>
        <v>GC - 307 - T3 - 66m²</v>
      </c>
      <c r="C185" s="300"/>
      <c r="D185" s="300"/>
      <c r="E185" s="300"/>
      <c r="F185" s="300"/>
      <c r="G185" s="300"/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>
        <v>0</v>
      </c>
      <c r="W185" s="300">
        <v>0</v>
      </c>
      <c r="X185" s="300">
        <v>0</v>
      </c>
      <c r="Y185" s="300">
        <v>0</v>
      </c>
      <c r="Z185" s="300"/>
      <c r="AA185" s="300"/>
      <c r="AB185" s="300"/>
      <c r="AC185" s="300"/>
      <c r="AD185" s="300"/>
      <c r="AE185" s="300"/>
      <c r="AF185" s="300"/>
      <c r="AG185" s="300"/>
      <c r="AH185" s="300"/>
      <c r="AI185" s="300"/>
      <c r="AJ185" s="300"/>
      <c r="AK185" s="300"/>
      <c r="AL185" s="300"/>
      <c r="AM185" s="300"/>
      <c r="AN185" s="300"/>
      <c r="AO185" s="300"/>
      <c r="AP185" s="300"/>
      <c r="AQ185" s="300"/>
      <c r="AR185" s="300"/>
      <c r="AS185" s="300"/>
      <c r="AT185" s="300"/>
      <c r="AU185" s="300"/>
      <c r="AV185" s="300"/>
      <c r="AW185" s="300"/>
      <c r="AX185" s="300"/>
      <c r="AY185" s="300"/>
      <c r="AZ185" s="300"/>
      <c r="BA185" s="300"/>
      <c r="BB185" s="300"/>
      <c r="BC185" s="300"/>
    </row>
    <row r="186" spans="1:55" hidden="1" x14ac:dyDescent="0.25">
      <c r="A186" s="186">
        <v>12</v>
      </c>
      <c r="B186" s="72" t="str">
        <f t="shared" si="10"/>
        <v>GC - 308 - T3 - 66m²</v>
      </c>
      <c r="C186" s="300"/>
      <c r="D186" s="300"/>
      <c r="E186" s="300"/>
      <c r="F186" s="300"/>
      <c r="G186" s="300"/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>
        <v>0.4230875420875419</v>
      </c>
      <c r="W186" s="300">
        <v>0.47845117845117796</v>
      </c>
      <c r="X186" s="300">
        <v>0.68350168350168339</v>
      </c>
      <c r="Y186" s="300">
        <v>0.34175084175084169</v>
      </c>
      <c r="Z186" s="300"/>
      <c r="AA186" s="300"/>
      <c r="AB186" s="300"/>
      <c r="AC186" s="300"/>
      <c r="AD186" s="300"/>
      <c r="AE186" s="300"/>
      <c r="AF186" s="300"/>
      <c r="AG186" s="300"/>
      <c r="AH186" s="300"/>
      <c r="AI186" s="300"/>
      <c r="AJ186" s="300"/>
      <c r="AK186" s="300"/>
      <c r="AL186" s="300"/>
      <c r="AM186" s="300"/>
      <c r="AN186" s="300"/>
      <c r="AO186" s="300"/>
      <c r="AP186" s="300"/>
      <c r="AQ186" s="300"/>
      <c r="AR186" s="300"/>
      <c r="AS186" s="300"/>
      <c r="AT186" s="300"/>
      <c r="AU186" s="300"/>
      <c r="AV186" s="300"/>
      <c r="AW186" s="300"/>
      <c r="AX186" s="300"/>
      <c r="AY186" s="300"/>
      <c r="AZ186" s="300"/>
      <c r="BA186" s="300"/>
      <c r="BB186" s="300"/>
      <c r="BC186" s="300"/>
    </row>
    <row r="187" spans="1:55" hidden="1" x14ac:dyDescent="0.25">
      <c r="A187" s="186">
        <v>13</v>
      </c>
      <c r="B187" s="72" t="str">
        <f t="shared" si="10"/>
        <v>GC - 314 - T4 - 75m²</v>
      </c>
      <c r="C187" s="300"/>
      <c r="D187" s="300"/>
      <c r="E187" s="300"/>
      <c r="F187" s="300"/>
      <c r="G187" s="300"/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>
        <v>1.5987377777777783</v>
      </c>
      <c r="W187" s="300">
        <v>1.6841481481481464</v>
      </c>
      <c r="X187" s="300">
        <v>1.5638518518518527</v>
      </c>
      <c r="Y187" s="300">
        <v>1.3232592592592609</v>
      </c>
      <c r="Z187" s="300"/>
      <c r="AA187" s="300"/>
      <c r="AB187" s="300"/>
      <c r="AC187" s="300"/>
      <c r="AD187" s="300"/>
      <c r="AE187" s="300"/>
      <c r="AF187" s="300"/>
      <c r="AG187" s="300"/>
      <c r="AH187" s="300"/>
      <c r="AI187" s="300"/>
      <c r="AJ187" s="300"/>
      <c r="AK187" s="300"/>
      <c r="AL187" s="300"/>
      <c r="AM187" s="300"/>
      <c r="AN187" s="300"/>
      <c r="AO187" s="300"/>
      <c r="AP187" s="300"/>
      <c r="AQ187" s="300"/>
      <c r="AR187" s="300"/>
      <c r="AS187" s="300"/>
      <c r="AT187" s="300"/>
      <c r="AU187" s="300"/>
      <c r="AV187" s="300"/>
      <c r="AW187" s="300"/>
      <c r="AX187" s="300"/>
      <c r="AY187" s="300"/>
      <c r="AZ187" s="300"/>
      <c r="BA187" s="300"/>
      <c r="BB187" s="300"/>
      <c r="BC187" s="300"/>
    </row>
    <row r="188" spans="1:55" hidden="1" x14ac:dyDescent="0.25">
      <c r="A188" s="186">
        <v>14</v>
      </c>
      <c r="B188" s="428"/>
      <c r="C188" s="301"/>
      <c r="D188" s="301"/>
      <c r="E188" s="301"/>
      <c r="F188" s="301"/>
      <c r="G188" s="301"/>
      <c r="H188" s="301"/>
      <c r="I188" s="301"/>
      <c r="J188" s="301"/>
      <c r="K188" s="301"/>
      <c r="L188" s="301"/>
      <c r="M188" s="301"/>
      <c r="N188" s="301"/>
      <c r="O188" s="301"/>
      <c r="P188" s="301"/>
      <c r="Q188" s="301"/>
      <c r="R188" s="301"/>
      <c r="S188" s="301"/>
      <c r="T188" s="301"/>
      <c r="U188" s="301"/>
      <c r="V188" s="301">
        <v>0.47964985827800061</v>
      </c>
      <c r="W188" s="301">
        <v>0.49239979902226216</v>
      </c>
      <c r="X188" s="301">
        <v>0.47536612943395889</v>
      </c>
      <c r="Y188" s="301">
        <v>0.35202001479350287</v>
      </c>
      <c r="Z188" s="301"/>
      <c r="AA188" s="301"/>
      <c r="AB188" s="301"/>
      <c r="AC188" s="301"/>
      <c r="AD188" s="301"/>
      <c r="AE188" s="301"/>
      <c r="AF188" s="301"/>
      <c r="AG188" s="301"/>
      <c r="AH188" s="301"/>
      <c r="AI188" s="301"/>
      <c r="AJ188" s="301"/>
      <c r="AK188" s="301"/>
      <c r="AL188" s="301"/>
      <c r="AM188" s="301"/>
      <c r="AN188" s="301"/>
      <c r="AO188" s="301"/>
      <c r="AP188" s="301"/>
      <c r="AQ188" s="301"/>
      <c r="AR188" s="301"/>
      <c r="AS188" s="301"/>
      <c r="AT188" s="301"/>
      <c r="AU188" s="301"/>
      <c r="AV188" s="301"/>
      <c r="AW188" s="301"/>
      <c r="AX188" s="301"/>
      <c r="AY188" s="301"/>
      <c r="AZ188" s="301"/>
      <c r="BA188" s="301"/>
      <c r="BB188" s="301"/>
      <c r="BC188" s="301"/>
    </row>
    <row r="189" spans="1:55" hidden="1" x14ac:dyDescent="0.25">
      <c r="A189" s="186">
        <v>15</v>
      </c>
      <c r="B189" s="72" t="str">
        <f t="shared" ref="B189:B201" si="11">B134</f>
        <v>GE2.1 - 275 - T3 - 74m²</v>
      </c>
      <c r="C189" s="300"/>
      <c r="D189" s="300"/>
      <c r="E189" s="300"/>
      <c r="F189" s="300"/>
      <c r="G189" s="300"/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>
        <v>0.50475675675675635</v>
      </c>
      <c r="W189" s="300">
        <v>0.60960960960960953</v>
      </c>
      <c r="X189" s="300">
        <v>0.91441441441441429</v>
      </c>
      <c r="Y189" s="300">
        <v>0.60960960960960953</v>
      </c>
      <c r="Z189" s="300"/>
      <c r="AA189" s="300"/>
      <c r="AB189" s="300"/>
      <c r="AC189" s="300"/>
      <c r="AD189" s="300"/>
      <c r="AE189" s="300"/>
      <c r="AF189" s="300"/>
      <c r="AG189" s="300"/>
      <c r="AH189" s="300"/>
      <c r="AI189" s="300"/>
      <c r="AJ189" s="300"/>
      <c r="AK189" s="300"/>
      <c r="AL189" s="300"/>
      <c r="AM189" s="300"/>
      <c r="AN189" s="300"/>
      <c r="AO189" s="300"/>
      <c r="AP189" s="300"/>
      <c r="AQ189" s="300"/>
      <c r="AR189" s="300"/>
      <c r="AS189" s="300"/>
      <c r="AT189" s="300"/>
      <c r="AU189" s="300"/>
      <c r="AV189" s="300"/>
      <c r="AW189" s="300"/>
      <c r="AX189" s="300"/>
      <c r="AY189" s="300"/>
      <c r="AZ189" s="300"/>
      <c r="BA189" s="300"/>
      <c r="BB189" s="300"/>
      <c r="BC189" s="300"/>
    </row>
    <row r="190" spans="1:55" hidden="1" x14ac:dyDescent="0.25">
      <c r="A190" s="186">
        <v>16</v>
      </c>
      <c r="B190" s="72" t="str">
        <f t="shared" si="11"/>
        <v>GE2.1 - 278 - T2 - 57m²</v>
      </c>
      <c r="C190" s="300"/>
      <c r="D190" s="300"/>
      <c r="E190" s="300"/>
      <c r="F190" s="300"/>
      <c r="G190" s="300"/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>
        <v>6.1730994152047011E-2</v>
      </c>
      <c r="W190" s="300">
        <v>0.39571150097465885</v>
      </c>
      <c r="X190" s="300">
        <v>7.9142300194931833E-2</v>
      </c>
      <c r="Y190" s="300">
        <v>7.9142300194931833E-2</v>
      </c>
      <c r="Z190" s="300"/>
      <c r="AA190" s="300"/>
      <c r="AB190" s="300"/>
      <c r="AC190" s="300"/>
      <c r="AD190" s="300"/>
      <c r="AE190" s="300"/>
      <c r="AF190" s="300"/>
      <c r="AG190" s="300"/>
      <c r="AH190" s="300"/>
      <c r="AI190" s="300"/>
      <c r="AJ190" s="300"/>
      <c r="AK190" s="300"/>
      <c r="AL190" s="300"/>
      <c r="AM190" s="300"/>
      <c r="AN190" s="300"/>
      <c r="AO190" s="300"/>
      <c r="AP190" s="300"/>
      <c r="AQ190" s="300"/>
      <c r="AR190" s="300"/>
      <c r="AS190" s="300"/>
      <c r="AT190" s="300"/>
      <c r="AU190" s="300"/>
      <c r="AV190" s="300"/>
      <c r="AW190" s="300"/>
      <c r="AX190" s="300"/>
      <c r="AY190" s="300"/>
      <c r="AZ190" s="300"/>
      <c r="BA190" s="300"/>
      <c r="BB190" s="300"/>
      <c r="BC190" s="300"/>
    </row>
    <row r="191" spans="1:55" hidden="1" x14ac:dyDescent="0.25">
      <c r="A191" s="186">
        <v>17</v>
      </c>
      <c r="B191" s="72" t="str">
        <f t="shared" si="11"/>
        <v>GE2.1 - 280 - T3 - 66m²</v>
      </c>
      <c r="C191" s="300"/>
      <c r="D191" s="300"/>
      <c r="E191" s="300"/>
      <c r="F191" s="300"/>
      <c r="G191" s="300"/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>
        <v>0</v>
      </c>
      <c r="W191" s="300">
        <v>0.20505050505050501</v>
      </c>
      <c r="X191" s="300">
        <v>0</v>
      </c>
      <c r="Y191" s="300">
        <v>6.8350168350168369E-2</v>
      </c>
      <c r="Z191" s="300"/>
      <c r="AA191" s="300"/>
      <c r="AB191" s="300"/>
      <c r="AC191" s="300"/>
      <c r="AD191" s="300"/>
      <c r="AE191" s="300"/>
      <c r="AF191" s="300"/>
      <c r="AG191" s="300"/>
      <c r="AH191" s="300"/>
      <c r="AI191" s="300"/>
      <c r="AJ191" s="300"/>
      <c r="AK191" s="300"/>
      <c r="AL191" s="300"/>
      <c r="AM191" s="300"/>
      <c r="AN191" s="300"/>
      <c r="AO191" s="300"/>
      <c r="AP191" s="300"/>
      <c r="AQ191" s="300"/>
      <c r="AR191" s="300"/>
      <c r="AS191" s="300"/>
      <c r="AT191" s="300"/>
      <c r="AU191" s="300"/>
      <c r="AV191" s="300"/>
      <c r="AW191" s="300"/>
      <c r="AX191" s="300"/>
      <c r="AY191" s="300"/>
      <c r="AZ191" s="300"/>
      <c r="BA191" s="300"/>
      <c r="BB191" s="300"/>
      <c r="BC191" s="300"/>
    </row>
    <row r="192" spans="1:55" hidden="1" x14ac:dyDescent="0.25">
      <c r="A192" s="186">
        <v>18</v>
      </c>
      <c r="B192" s="72" t="str">
        <f t="shared" si="11"/>
        <v>GE2.1 - 282 - T4 - 78m²</v>
      </c>
      <c r="C192" s="300"/>
      <c r="D192" s="300"/>
      <c r="E192" s="300"/>
      <c r="F192" s="300"/>
      <c r="G192" s="300"/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>
        <v>0.15499715099715086</v>
      </c>
      <c r="W192" s="300">
        <v>5.7834757834757632E-2</v>
      </c>
      <c r="X192" s="300">
        <v>0.17350427350427389</v>
      </c>
      <c r="Y192" s="300">
        <v>0.17350427350427339</v>
      </c>
      <c r="Z192" s="300"/>
      <c r="AA192" s="300"/>
      <c r="AB192" s="300"/>
      <c r="AC192" s="300"/>
      <c r="AD192" s="300"/>
      <c r="AE192" s="300"/>
      <c r="AF192" s="300"/>
      <c r="AG192" s="300"/>
      <c r="AH192" s="300"/>
      <c r="AI192" s="300"/>
      <c r="AJ192" s="300"/>
      <c r="AK192" s="300"/>
      <c r="AL192" s="300"/>
      <c r="AM192" s="300"/>
      <c r="AN192" s="300"/>
      <c r="AO192" s="300"/>
      <c r="AP192" s="300"/>
      <c r="AQ192" s="300"/>
      <c r="AR192" s="300"/>
      <c r="AS192" s="300"/>
      <c r="AT192" s="300"/>
      <c r="AU192" s="300"/>
      <c r="AV192" s="300"/>
      <c r="AW192" s="300"/>
      <c r="AX192" s="300"/>
      <c r="AY192" s="300"/>
      <c r="AZ192" s="300"/>
      <c r="BA192" s="300"/>
      <c r="BB192" s="300"/>
      <c r="BC192" s="300"/>
    </row>
    <row r="193" spans="1:55" hidden="1" x14ac:dyDescent="0.25">
      <c r="A193" s="186">
        <v>19</v>
      </c>
      <c r="B193" s="72" t="str">
        <f t="shared" si="11"/>
        <v>GE2.1 - 292 - T3 - 63m²</v>
      </c>
      <c r="C193" s="300"/>
      <c r="D193" s="300"/>
      <c r="E193" s="300"/>
      <c r="F193" s="300"/>
      <c r="G193" s="300"/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>
        <v>0.29716049382716048</v>
      </c>
      <c r="W193" s="300">
        <v>0.501234567901234</v>
      </c>
      <c r="X193" s="300">
        <v>0.28641975308641998</v>
      </c>
      <c r="Y193" s="300">
        <v>0.28641975308641998</v>
      </c>
      <c r="Z193" s="300"/>
      <c r="AA193" s="300"/>
      <c r="AB193" s="300"/>
      <c r="AC193" s="300"/>
      <c r="AD193" s="300"/>
      <c r="AE193" s="300"/>
      <c r="AF193" s="300"/>
      <c r="AG193" s="300"/>
      <c r="AH193" s="300"/>
      <c r="AI193" s="300"/>
      <c r="AJ193" s="300"/>
      <c r="AK193" s="300"/>
      <c r="AL193" s="300"/>
      <c r="AM193" s="300"/>
      <c r="AN193" s="300"/>
      <c r="AO193" s="300"/>
      <c r="AP193" s="300"/>
      <c r="AQ193" s="300"/>
      <c r="AR193" s="300"/>
      <c r="AS193" s="300"/>
      <c r="AT193" s="300"/>
      <c r="AU193" s="300"/>
      <c r="AV193" s="300"/>
      <c r="AW193" s="300"/>
      <c r="AX193" s="300"/>
      <c r="AY193" s="300"/>
      <c r="AZ193" s="300"/>
      <c r="BA193" s="300"/>
      <c r="BB193" s="300"/>
      <c r="BC193" s="300"/>
    </row>
    <row r="194" spans="1:55" hidden="1" x14ac:dyDescent="0.25">
      <c r="A194" s="186">
        <v>20</v>
      </c>
      <c r="B194" s="72" t="str">
        <f t="shared" si="11"/>
        <v>GE2.1 - 293 - T3 - 63m²</v>
      </c>
      <c r="C194" s="300"/>
      <c r="D194" s="300"/>
      <c r="E194" s="300"/>
      <c r="F194" s="300"/>
      <c r="G194" s="300"/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>
        <v>0.91869135802469082</v>
      </c>
      <c r="W194" s="300">
        <v>0.64444444444444338</v>
      </c>
      <c r="X194" s="300">
        <v>0.93086419753086469</v>
      </c>
      <c r="Y194" s="300">
        <v>0.57283950617283996</v>
      </c>
      <c r="Z194" s="300"/>
      <c r="AA194" s="300"/>
      <c r="AB194" s="300"/>
      <c r="AC194" s="300"/>
      <c r="AD194" s="300"/>
      <c r="AE194" s="300"/>
      <c r="AF194" s="300"/>
      <c r="AG194" s="300"/>
      <c r="AH194" s="300"/>
      <c r="AI194" s="300"/>
      <c r="AJ194" s="300"/>
      <c r="AK194" s="300"/>
      <c r="AL194" s="300"/>
      <c r="AM194" s="300"/>
      <c r="AN194" s="300"/>
      <c r="AO194" s="300"/>
      <c r="AP194" s="300"/>
      <c r="AQ194" s="300"/>
      <c r="AR194" s="300"/>
      <c r="AS194" s="300"/>
      <c r="AT194" s="300"/>
      <c r="AU194" s="300"/>
      <c r="AV194" s="300"/>
      <c r="AW194" s="300"/>
      <c r="AX194" s="300"/>
      <c r="AY194" s="300"/>
      <c r="AZ194" s="300"/>
      <c r="BA194" s="300"/>
      <c r="BB194" s="300"/>
      <c r="BC194" s="300"/>
    </row>
    <row r="195" spans="1:55" hidden="1" x14ac:dyDescent="0.25">
      <c r="A195" s="186">
        <v>21</v>
      </c>
      <c r="B195" s="72" t="str">
        <f t="shared" si="11"/>
        <v>GE2.1 - 295 - T3 - 63m²</v>
      </c>
      <c r="C195" s="300"/>
      <c r="D195" s="300"/>
      <c r="E195" s="300"/>
      <c r="F195" s="300"/>
      <c r="G195" s="300"/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>
        <v>1.201530864197534</v>
      </c>
      <c r="W195" s="300">
        <v>1.2172839506172859</v>
      </c>
      <c r="X195" s="300">
        <v>1.145679012345675</v>
      </c>
      <c r="Y195" s="300">
        <v>1.1456790123456799</v>
      </c>
      <c r="Z195" s="300"/>
      <c r="AA195" s="300"/>
      <c r="AB195" s="300"/>
      <c r="AC195" s="300"/>
      <c r="AD195" s="300"/>
      <c r="AE195" s="300"/>
      <c r="AF195" s="300"/>
      <c r="AG195" s="300"/>
      <c r="AH195" s="300"/>
      <c r="AI195" s="300"/>
      <c r="AJ195" s="300"/>
      <c r="AK195" s="300"/>
      <c r="AL195" s="300"/>
      <c r="AM195" s="300"/>
      <c r="AN195" s="300"/>
      <c r="AO195" s="300"/>
      <c r="AP195" s="300"/>
      <c r="AQ195" s="300"/>
      <c r="AR195" s="300"/>
      <c r="AS195" s="300"/>
      <c r="AT195" s="300"/>
      <c r="AU195" s="300"/>
      <c r="AV195" s="300"/>
      <c r="AW195" s="300"/>
      <c r="AX195" s="300"/>
      <c r="AY195" s="300"/>
      <c r="AZ195" s="300"/>
      <c r="BA195" s="300"/>
      <c r="BB195" s="300"/>
      <c r="BC195" s="300"/>
    </row>
    <row r="196" spans="1:55" hidden="1" x14ac:dyDescent="0.25">
      <c r="A196" s="186">
        <v>22</v>
      </c>
      <c r="B196" s="72" t="str">
        <f t="shared" si="11"/>
        <v>GE2.1 - 296 - T4 - 78m²</v>
      </c>
      <c r="C196" s="300"/>
      <c r="D196" s="300"/>
      <c r="E196" s="300"/>
      <c r="F196" s="300"/>
      <c r="G196" s="300"/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>
        <v>0.28165527065527068</v>
      </c>
      <c r="W196" s="300">
        <v>5.7834757834757632E-2</v>
      </c>
      <c r="X196" s="300">
        <v>0.34700854700854677</v>
      </c>
      <c r="Y196" s="300">
        <v>0.28917378917378916</v>
      </c>
      <c r="Z196" s="300"/>
      <c r="AA196" s="300"/>
      <c r="AB196" s="300"/>
      <c r="AC196" s="300"/>
      <c r="AD196" s="300"/>
      <c r="AE196" s="300"/>
      <c r="AF196" s="300"/>
      <c r="AG196" s="300"/>
      <c r="AH196" s="300"/>
      <c r="AI196" s="300"/>
      <c r="AJ196" s="300"/>
      <c r="AK196" s="300"/>
      <c r="AL196" s="300"/>
      <c r="AM196" s="300"/>
      <c r="AN196" s="300"/>
      <c r="AO196" s="300"/>
      <c r="AP196" s="300"/>
      <c r="AQ196" s="300"/>
      <c r="AR196" s="300"/>
      <c r="AS196" s="300"/>
      <c r="AT196" s="300"/>
      <c r="AU196" s="300"/>
      <c r="AV196" s="300"/>
      <c r="AW196" s="300"/>
      <c r="AX196" s="300"/>
      <c r="AY196" s="300"/>
      <c r="AZ196" s="300"/>
      <c r="BA196" s="300"/>
      <c r="BB196" s="300"/>
      <c r="BC196" s="300"/>
    </row>
    <row r="197" spans="1:55" hidden="1" x14ac:dyDescent="0.25">
      <c r="A197" s="186">
        <v>23</v>
      </c>
      <c r="B197" s="72" t="str">
        <f t="shared" si="11"/>
        <v>GE2.1 - 297 - T4 - 79m²</v>
      </c>
      <c r="C197" s="300"/>
      <c r="D197" s="300"/>
      <c r="E197" s="300"/>
      <c r="F197" s="300"/>
      <c r="G197" s="300"/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>
        <v>1.2145738396624486</v>
      </c>
      <c r="W197" s="300">
        <v>1.1991561181434607</v>
      </c>
      <c r="X197" s="300">
        <v>1.256258790436003</v>
      </c>
      <c r="Y197" s="300">
        <v>0.91364275668073203</v>
      </c>
      <c r="Z197" s="300"/>
      <c r="AA197" s="300"/>
      <c r="AB197" s="300"/>
      <c r="AC197" s="300"/>
      <c r="AD197" s="300"/>
      <c r="AE197" s="300"/>
      <c r="AF197" s="300"/>
      <c r="AG197" s="300"/>
      <c r="AH197" s="300"/>
      <c r="AI197" s="300"/>
      <c r="AJ197" s="300"/>
      <c r="AK197" s="300"/>
      <c r="AL197" s="300"/>
      <c r="AM197" s="300"/>
      <c r="AN197" s="300"/>
      <c r="AO197" s="300"/>
      <c r="AP197" s="300"/>
      <c r="AQ197" s="300"/>
      <c r="AR197" s="300"/>
      <c r="AS197" s="300"/>
      <c r="AT197" s="300"/>
      <c r="AU197" s="300"/>
      <c r="AV197" s="300"/>
      <c r="AW197" s="300"/>
      <c r="AX197" s="300"/>
      <c r="AY197" s="300"/>
      <c r="AZ197" s="300"/>
      <c r="BA197" s="300"/>
      <c r="BB197" s="300"/>
      <c r="BC197" s="300"/>
    </row>
    <row r="198" spans="1:55" hidden="1" x14ac:dyDescent="0.25">
      <c r="A198" s="186">
        <v>24</v>
      </c>
      <c r="B198" s="72" t="str">
        <f t="shared" si="11"/>
        <v>GE2.1 - 299 - T4 - 79m²</v>
      </c>
      <c r="C198" s="300"/>
      <c r="D198" s="300"/>
      <c r="E198" s="300"/>
      <c r="F198" s="300"/>
      <c r="G198" s="300"/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>
        <v>0.29864697609001484</v>
      </c>
      <c r="W198" s="300">
        <v>5.7102672292545509E-2</v>
      </c>
      <c r="X198" s="300">
        <v>0</v>
      </c>
      <c r="Y198" s="300">
        <v>0.11420534458509203</v>
      </c>
      <c r="Z198" s="300"/>
      <c r="AA198" s="300"/>
      <c r="AB198" s="300"/>
      <c r="AC198" s="300"/>
      <c r="AD198" s="300"/>
      <c r="AE198" s="300"/>
      <c r="AF198" s="300"/>
      <c r="AG198" s="300"/>
      <c r="AH198" s="300"/>
      <c r="AI198" s="300"/>
      <c r="AJ198" s="300"/>
      <c r="AK198" s="300"/>
      <c r="AL198" s="300"/>
      <c r="AM198" s="300"/>
      <c r="AN198" s="300"/>
      <c r="AO198" s="300"/>
      <c r="AP198" s="300"/>
      <c r="AQ198" s="300"/>
      <c r="AR198" s="300"/>
      <c r="AS198" s="300"/>
      <c r="AT198" s="300"/>
      <c r="AU198" s="300"/>
      <c r="AV198" s="300"/>
      <c r="AW198" s="300"/>
      <c r="AX198" s="300"/>
      <c r="AY198" s="300"/>
      <c r="AZ198" s="300"/>
      <c r="BA198" s="300"/>
      <c r="BB198" s="300"/>
      <c r="BC198" s="300"/>
    </row>
    <row r="199" spans="1:55" hidden="1" x14ac:dyDescent="0.25">
      <c r="A199" s="186">
        <v>25</v>
      </c>
      <c r="B199" s="72" t="str">
        <f t="shared" si="11"/>
        <v>GE2.1 - 300 - T5 - 93m²</v>
      </c>
      <c r="C199" s="300"/>
      <c r="D199" s="300"/>
      <c r="E199" s="300"/>
      <c r="F199" s="300"/>
      <c r="G199" s="300"/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>
        <v>0.58692951015531702</v>
      </c>
      <c r="W199" s="300">
        <v>0.58207885304659457</v>
      </c>
      <c r="X199" s="300">
        <v>0.53357228195937945</v>
      </c>
      <c r="Y199" s="300">
        <v>0.48506571087216244</v>
      </c>
      <c r="Z199" s="300"/>
      <c r="AA199" s="300"/>
      <c r="AB199" s="300"/>
      <c r="AC199" s="300"/>
      <c r="AD199" s="300"/>
      <c r="AE199" s="300"/>
      <c r="AF199" s="300"/>
      <c r="AG199" s="300"/>
      <c r="AH199" s="300"/>
      <c r="AI199" s="300"/>
      <c r="AJ199" s="300"/>
      <c r="AK199" s="300"/>
      <c r="AL199" s="300"/>
      <c r="AM199" s="300"/>
      <c r="AN199" s="300"/>
      <c r="AO199" s="300"/>
      <c r="AP199" s="300"/>
      <c r="AQ199" s="300"/>
      <c r="AR199" s="300"/>
      <c r="AS199" s="300"/>
      <c r="AT199" s="300"/>
      <c r="AU199" s="300"/>
      <c r="AV199" s="300"/>
      <c r="AW199" s="300"/>
      <c r="AX199" s="300"/>
      <c r="AY199" s="300"/>
      <c r="AZ199" s="300"/>
      <c r="BA199" s="300"/>
      <c r="BB199" s="300"/>
      <c r="BC199" s="300"/>
    </row>
    <row r="200" spans="1:55" hidden="1" x14ac:dyDescent="0.25">
      <c r="A200" s="186">
        <v>26</v>
      </c>
      <c r="B200" s="72" t="str">
        <f t="shared" si="11"/>
        <v>GE2.1 - 302 - T5 - 93m²</v>
      </c>
      <c r="C200" s="300"/>
      <c r="D200" s="300"/>
      <c r="E200" s="300"/>
      <c r="F200" s="300"/>
      <c r="G200" s="300"/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>
        <v>0.35118757467144573</v>
      </c>
      <c r="W200" s="300">
        <v>0.6790919952210267</v>
      </c>
      <c r="X200" s="300">
        <v>0.29103942652329812</v>
      </c>
      <c r="Y200" s="300">
        <v>0.29103942652329812</v>
      </c>
      <c r="Z200" s="300"/>
      <c r="AA200" s="300"/>
      <c r="AB200" s="300"/>
      <c r="AC200" s="300"/>
      <c r="AD200" s="300"/>
      <c r="AE200" s="300"/>
      <c r="AF200" s="300"/>
      <c r="AG200" s="300"/>
      <c r="AH200" s="300"/>
      <c r="AI200" s="300"/>
      <c r="AJ200" s="300"/>
      <c r="AK200" s="300"/>
      <c r="AL200" s="300"/>
      <c r="AM200" s="300"/>
      <c r="AN200" s="300"/>
      <c r="AO200" s="300"/>
      <c r="AP200" s="300"/>
      <c r="AQ200" s="300"/>
      <c r="AR200" s="300"/>
      <c r="AS200" s="300"/>
      <c r="AT200" s="300"/>
      <c r="AU200" s="300"/>
      <c r="AV200" s="300"/>
      <c r="AW200" s="300"/>
      <c r="AX200" s="300"/>
      <c r="AY200" s="300"/>
      <c r="AZ200" s="300"/>
      <c r="BA200" s="300"/>
      <c r="BB200" s="300"/>
      <c r="BC200" s="300"/>
    </row>
    <row r="201" spans="1:55" hidden="1" x14ac:dyDescent="0.25">
      <c r="A201" s="186">
        <v>27</v>
      </c>
      <c r="B201" s="72" t="str">
        <f t="shared" si="11"/>
        <v>GE2.1 - 312 - T4 - 75m²</v>
      </c>
      <c r="C201" s="300"/>
      <c r="D201" s="300"/>
      <c r="E201" s="300"/>
      <c r="F201" s="300"/>
      <c r="G201" s="300"/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>
        <v>0.63636740740740727</v>
      </c>
      <c r="W201" s="300">
        <v>0.4210370370370366</v>
      </c>
      <c r="X201" s="300">
        <v>0.24059259259259386</v>
      </c>
      <c r="Y201" s="300">
        <v>0.3007407407407407</v>
      </c>
      <c r="Z201" s="300"/>
      <c r="AA201" s="300"/>
      <c r="AB201" s="300"/>
      <c r="AC201" s="300"/>
      <c r="AD201" s="300"/>
      <c r="AE201" s="300"/>
      <c r="AF201" s="300"/>
      <c r="AG201" s="300"/>
      <c r="AH201" s="300"/>
      <c r="AI201" s="300"/>
      <c r="AJ201" s="300"/>
      <c r="AK201" s="300"/>
      <c r="AL201" s="300"/>
      <c r="AM201" s="300"/>
      <c r="AN201" s="300"/>
      <c r="AO201" s="300"/>
      <c r="AP201" s="300"/>
      <c r="AQ201" s="300"/>
      <c r="AR201" s="300"/>
      <c r="AS201" s="300"/>
      <c r="AT201" s="300"/>
      <c r="AU201" s="300"/>
      <c r="AV201" s="300"/>
      <c r="AW201" s="300"/>
      <c r="AX201" s="300"/>
      <c r="AY201" s="300"/>
      <c r="AZ201" s="300"/>
      <c r="BA201" s="300"/>
      <c r="BB201" s="300"/>
      <c r="BC201" s="300"/>
    </row>
    <row r="202" spans="1:55" hidden="1" x14ac:dyDescent="0.25">
      <c r="A202" s="186">
        <v>28</v>
      </c>
      <c r="B202" s="428"/>
      <c r="C202" s="301"/>
      <c r="D202" s="301"/>
      <c r="E202" s="301"/>
      <c r="F202" s="301"/>
      <c r="G202" s="301"/>
      <c r="H202" s="301"/>
      <c r="I202" s="301"/>
      <c r="J202" s="301"/>
      <c r="K202" s="301"/>
      <c r="L202" s="301"/>
      <c r="M202" s="301"/>
      <c r="N202" s="301"/>
      <c r="O202" s="301"/>
      <c r="P202" s="301"/>
      <c r="Q202" s="301"/>
      <c r="R202" s="301"/>
      <c r="S202" s="301"/>
      <c r="T202" s="301"/>
      <c r="U202" s="301"/>
      <c r="V202" s="301">
        <v>0.50063293819978794</v>
      </c>
      <c r="W202" s="301">
        <v>0.50980544384676274</v>
      </c>
      <c r="X202" s="301">
        <v>0.47680735304587701</v>
      </c>
      <c r="Y202" s="301">
        <v>0.40995479937228751</v>
      </c>
      <c r="Z202" s="301"/>
      <c r="AA202" s="301"/>
      <c r="AB202" s="301"/>
      <c r="AC202" s="301"/>
      <c r="AD202" s="301"/>
      <c r="AE202" s="301"/>
      <c r="AF202" s="301"/>
      <c r="AG202" s="301"/>
      <c r="AH202" s="301"/>
      <c r="AI202" s="301"/>
      <c r="AJ202" s="301"/>
      <c r="AK202" s="301"/>
      <c r="AL202" s="301"/>
      <c r="AM202" s="301"/>
      <c r="AN202" s="301"/>
      <c r="AO202" s="301"/>
      <c r="AP202" s="301"/>
      <c r="AQ202" s="301"/>
      <c r="AR202" s="301"/>
      <c r="AS202" s="301"/>
      <c r="AT202" s="301"/>
      <c r="AU202" s="301"/>
      <c r="AV202" s="301"/>
      <c r="AW202" s="301"/>
      <c r="AX202" s="301"/>
      <c r="AY202" s="301"/>
      <c r="AZ202" s="301"/>
      <c r="BA202" s="301"/>
      <c r="BB202" s="301"/>
      <c r="BC202" s="301"/>
    </row>
    <row r="203" spans="1:55" x14ac:dyDescent="0.25">
      <c r="A203" s="186">
        <v>29</v>
      </c>
      <c r="B203" s="72" t="str">
        <f t="shared" ref="B203:B215" si="12">B148</f>
        <v>GE2.2 - 271 - T3 - 74m²</v>
      </c>
      <c r="C203" s="300"/>
      <c r="D203" s="300"/>
      <c r="E203" s="300"/>
      <c r="F203" s="300"/>
      <c r="G203" s="300"/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>
        <v>0.70653753753753679</v>
      </c>
      <c r="W203" s="300">
        <v>1.0972972972972976</v>
      </c>
      <c r="X203" s="300">
        <v>0.54864864864864771</v>
      </c>
      <c r="Y203" s="300">
        <v>0.73153153153153105</v>
      </c>
      <c r="Z203" s="300"/>
      <c r="AA203" s="300"/>
      <c r="AB203" s="300"/>
      <c r="AC203" s="300"/>
      <c r="AD203" s="300"/>
      <c r="AE203" s="300"/>
      <c r="AF203" s="300"/>
      <c r="AG203" s="300"/>
      <c r="AH203" s="300"/>
      <c r="AI203" s="300"/>
      <c r="AJ203" s="300"/>
      <c r="AK203" s="300"/>
      <c r="AL203" s="300"/>
      <c r="AM203" s="300"/>
      <c r="AN203" s="300"/>
      <c r="AO203" s="300"/>
      <c r="AP203" s="300"/>
      <c r="AQ203" s="300"/>
      <c r="AR203" s="300"/>
      <c r="AS203" s="300"/>
      <c r="AT203" s="300"/>
      <c r="AU203" s="300"/>
      <c r="AV203" s="300"/>
      <c r="AW203" s="300"/>
      <c r="AX203" s="300"/>
      <c r="AY203" s="300"/>
      <c r="AZ203" s="300"/>
      <c r="BA203" s="300"/>
      <c r="BB203" s="300"/>
      <c r="BC203" s="300"/>
    </row>
    <row r="204" spans="1:55" x14ac:dyDescent="0.25">
      <c r="A204" s="186">
        <v>30</v>
      </c>
      <c r="B204" s="72" t="str">
        <f t="shared" si="12"/>
        <v>GE2.2 - 272 - T3 - 74m²</v>
      </c>
      <c r="C204" s="300"/>
      <c r="D204" s="300"/>
      <c r="E204" s="300"/>
      <c r="F204" s="300"/>
      <c r="G204" s="300"/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>
        <v>7.9249249249249185E-2</v>
      </c>
      <c r="W204" s="300">
        <v>-0.18288288288288276</v>
      </c>
      <c r="X204" s="300">
        <v>0.12192192192192175</v>
      </c>
      <c r="Y204" s="300">
        <v>6.0960960960961007E-2</v>
      </c>
      <c r="Z204" s="300"/>
      <c r="AA204" s="300"/>
      <c r="AB204" s="300"/>
      <c r="AC204" s="300"/>
      <c r="AD204" s="300"/>
      <c r="AE204" s="300"/>
      <c r="AF204" s="300"/>
      <c r="AG204" s="300"/>
      <c r="AH204" s="300"/>
      <c r="AI204" s="300"/>
      <c r="AJ204" s="300"/>
      <c r="AK204" s="300"/>
      <c r="AL204" s="300"/>
      <c r="AM204" s="300"/>
      <c r="AN204" s="300"/>
      <c r="AO204" s="300"/>
      <c r="AP204" s="300"/>
      <c r="AQ204" s="300"/>
      <c r="AR204" s="300"/>
      <c r="AS204" s="300"/>
      <c r="AT204" s="300"/>
      <c r="AU204" s="300"/>
      <c r="AV204" s="300"/>
      <c r="AW204" s="300"/>
      <c r="AX204" s="300"/>
      <c r="AY204" s="300"/>
      <c r="AZ204" s="300"/>
      <c r="BA204" s="300"/>
      <c r="BB204" s="300"/>
      <c r="BC204" s="300"/>
    </row>
    <row r="205" spans="1:55" x14ac:dyDescent="0.25">
      <c r="A205" s="186">
        <v>31</v>
      </c>
      <c r="B205" s="72" t="str">
        <f t="shared" si="12"/>
        <v>GE2.2 - 273 - T3 - 74m²</v>
      </c>
      <c r="C205" s="300"/>
      <c r="D205" s="300"/>
      <c r="E205" s="300"/>
      <c r="F205" s="300"/>
      <c r="G205" s="300"/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>
        <v>0.53401801801801663</v>
      </c>
      <c r="W205" s="300">
        <v>0.54864864864864771</v>
      </c>
      <c r="X205" s="300">
        <v>0.54864864864864993</v>
      </c>
      <c r="Y205" s="300">
        <v>0.54864864864864771</v>
      </c>
      <c r="Z205" s="300"/>
      <c r="AA205" s="300"/>
      <c r="AB205" s="300"/>
      <c r="AC205" s="300"/>
      <c r="AD205" s="300"/>
      <c r="AE205" s="300"/>
      <c r="AF205" s="300"/>
      <c r="AG205" s="300"/>
      <c r="AH205" s="300"/>
      <c r="AI205" s="300"/>
      <c r="AJ205" s="300"/>
      <c r="AK205" s="300"/>
      <c r="AL205" s="300"/>
      <c r="AM205" s="300"/>
      <c r="AN205" s="300"/>
      <c r="AO205" s="300"/>
      <c r="AP205" s="300"/>
      <c r="AQ205" s="300"/>
      <c r="AR205" s="300"/>
      <c r="AS205" s="300"/>
      <c r="AT205" s="300"/>
      <c r="AU205" s="300"/>
      <c r="AV205" s="300"/>
      <c r="AW205" s="300"/>
      <c r="AX205" s="300"/>
      <c r="AY205" s="300"/>
      <c r="AZ205" s="300"/>
      <c r="BA205" s="300"/>
      <c r="BB205" s="300"/>
      <c r="BC205" s="300"/>
    </row>
    <row r="206" spans="1:55" x14ac:dyDescent="0.25">
      <c r="A206" s="186">
        <v>32</v>
      </c>
      <c r="B206" s="72" t="str">
        <f t="shared" si="12"/>
        <v>GE2.2 - 276 - T4 - 83m²</v>
      </c>
      <c r="C206" s="300"/>
      <c r="D206" s="300"/>
      <c r="E206" s="300"/>
      <c r="F206" s="300"/>
      <c r="G206" s="300"/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>
        <v>0.44295850066934467</v>
      </c>
      <c r="W206" s="300">
        <v>0.48915662650602326</v>
      </c>
      <c r="X206" s="300">
        <v>0.43480589022757732</v>
      </c>
      <c r="Y206" s="300">
        <v>0.38045515394912943</v>
      </c>
      <c r="Z206" s="300"/>
      <c r="AA206" s="300"/>
      <c r="AB206" s="300"/>
      <c r="AC206" s="300"/>
      <c r="AD206" s="300"/>
      <c r="AE206" s="300"/>
      <c r="AF206" s="300"/>
      <c r="AG206" s="300"/>
      <c r="AH206" s="300"/>
      <c r="AI206" s="300"/>
      <c r="AJ206" s="300"/>
      <c r="AK206" s="300"/>
      <c r="AL206" s="300"/>
      <c r="AM206" s="300"/>
      <c r="AN206" s="300"/>
      <c r="AO206" s="300"/>
      <c r="AP206" s="300"/>
      <c r="AQ206" s="300"/>
      <c r="AR206" s="300"/>
      <c r="AS206" s="300"/>
      <c r="AT206" s="300"/>
      <c r="AU206" s="300"/>
      <c r="AV206" s="300"/>
      <c r="AW206" s="300"/>
      <c r="AX206" s="300"/>
      <c r="AY206" s="300"/>
      <c r="AZ206" s="300"/>
      <c r="BA206" s="300"/>
      <c r="BB206" s="300"/>
      <c r="BC206" s="300"/>
    </row>
    <row r="207" spans="1:55" x14ac:dyDescent="0.25">
      <c r="A207" s="186">
        <v>33</v>
      </c>
      <c r="B207" s="72" t="str">
        <f t="shared" si="12"/>
        <v>GE2.2 - 279 - T3 - 70m²</v>
      </c>
      <c r="C207" s="300"/>
      <c r="D207" s="300"/>
      <c r="E207" s="300"/>
      <c r="F207" s="300"/>
      <c r="G207" s="300"/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>
        <v>0.45433333333333337</v>
      </c>
      <c r="W207" s="300">
        <v>0.45111111111111063</v>
      </c>
      <c r="X207" s="300">
        <v>0.38666666666666755</v>
      </c>
      <c r="Y207" s="300">
        <v>0.57999999999999896</v>
      </c>
      <c r="Z207" s="300"/>
      <c r="AA207" s="300"/>
      <c r="AB207" s="300"/>
      <c r="AC207" s="300"/>
      <c r="AD207" s="300"/>
      <c r="AE207" s="300"/>
      <c r="AF207" s="300"/>
      <c r="AG207" s="300"/>
      <c r="AH207" s="300"/>
      <c r="AI207" s="300"/>
      <c r="AJ207" s="300"/>
      <c r="AK207" s="300"/>
      <c r="AL207" s="300"/>
      <c r="AM207" s="300"/>
      <c r="AN207" s="300"/>
      <c r="AO207" s="300"/>
      <c r="AP207" s="300"/>
      <c r="AQ207" s="300"/>
      <c r="AR207" s="300"/>
      <c r="AS207" s="300"/>
      <c r="AT207" s="300"/>
      <c r="AU207" s="300"/>
      <c r="AV207" s="300"/>
      <c r="AW207" s="300"/>
      <c r="AX207" s="300"/>
      <c r="AY207" s="300"/>
      <c r="AZ207" s="300"/>
      <c r="BA207" s="300"/>
      <c r="BB207" s="300"/>
      <c r="BC207" s="300"/>
    </row>
    <row r="208" spans="1:55" x14ac:dyDescent="0.25">
      <c r="A208" s="186">
        <v>34</v>
      </c>
      <c r="B208" s="72" t="str">
        <f t="shared" si="12"/>
        <v>GE2.2 - 288 - T3 - 68m²</v>
      </c>
      <c r="C208" s="300"/>
      <c r="D208" s="300"/>
      <c r="E208" s="300"/>
      <c r="F208" s="300"/>
      <c r="G208" s="300"/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>
        <v>7.363725490196063E-2</v>
      </c>
      <c r="W208" s="300">
        <v>0.39803921568627454</v>
      </c>
      <c r="X208" s="300">
        <v>6.6339869281045807E-2</v>
      </c>
      <c r="Y208" s="300">
        <v>6.6339869281045516E-2</v>
      </c>
      <c r="Z208" s="300"/>
      <c r="AA208" s="300"/>
      <c r="AB208" s="300"/>
      <c r="AC208" s="300"/>
      <c r="AD208" s="300"/>
      <c r="AE208" s="300"/>
      <c r="AF208" s="300"/>
      <c r="AG208" s="300"/>
      <c r="AH208" s="300"/>
      <c r="AI208" s="300"/>
      <c r="AJ208" s="300"/>
      <c r="AK208" s="300"/>
      <c r="AL208" s="300"/>
      <c r="AM208" s="300"/>
      <c r="AN208" s="300"/>
      <c r="AO208" s="300"/>
      <c r="AP208" s="300"/>
      <c r="AQ208" s="300"/>
      <c r="AR208" s="300"/>
      <c r="AS208" s="300"/>
      <c r="AT208" s="300"/>
      <c r="AU208" s="300"/>
      <c r="AV208" s="300"/>
      <c r="AW208" s="300"/>
      <c r="AX208" s="300"/>
      <c r="AY208" s="300"/>
      <c r="AZ208" s="300"/>
      <c r="BA208" s="300"/>
      <c r="BB208" s="300"/>
      <c r="BC208" s="300"/>
    </row>
    <row r="209" spans="1:55" x14ac:dyDescent="0.25">
      <c r="A209" s="186">
        <v>35</v>
      </c>
      <c r="B209" s="72" t="str">
        <f t="shared" si="12"/>
        <v>GE2.2 - 291 - T3 - 62m²</v>
      </c>
      <c r="C209" s="300"/>
      <c r="D209" s="300"/>
      <c r="E209" s="300"/>
      <c r="F209" s="300"/>
      <c r="G209" s="300"/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>
        <v>0</v>
      </c>
      <c r="W209" s="300">
        <v>0</v>
      </c>
      <c r="X209" s="300">
        <v>0</v>
      </c>
      <c r="Y209" s="300">
        <v>0</v>
      </c>
      <c r="Z209" s="300"/>
      <c r="AA209" s="300"/>
      <c r="AB209" s="300"/>
      <c r="AC209" s="300"/>
      <c r="AD209" s="300"/>
      <c r="AE209" s="300"/>
      <c r="AF209" s="300"/>
      <c r="AG209" s="300"/>
      <c r="AH209" s="300"/>
      <c r="AI209" s="300"/>
      <c r="AJ209" s="300"/>
      <c r="AK209" s="300"/>
      <c r="AL209" s="300"/>
      <c r="AM209" s="300"/>
      <c r="AN209" s="300"/>
      <c r="AO209" s="300"/>
      <c r="AP209" s="300"/>
      <c r="AQ209" s="300"/>
      <c r="AR209" s="300"/>
      <c r="AS209" s="300"/>
      <c r="AT209" s="300"/>
      <c r="AU209" s="300"/>
      <c r="AV209" s="300"/>
      <c r="AW209" s="300"/>
      <c r="AX209" s="300"/>
      <c r="AY209" s="300"/>
      <c r="AZ209" s="300"/>
      <c r="BA209" s="300"/>
      <c r="BB209" s="300"/>
      <c r="BC209" s="300"/>
    </row>
    <row r="210" spans="1:55" x14ac:dyDescent="0.25">
      <c r="A210" s="186">
        <v>36</v>
      </c>
      <c r="B210" s="72" t="str">
        <f t="shared" si="12"/>
        <v>GE2.2 - 294 - T3 - 63m²</v>
      </c>
      <c r="C210" s="300"/>
      <c r="D210" s="300"/>
      <c r="E210" s="300"/>
      <c r="F210" s="300"/>
      <c r="G210" s="300"/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>
        <v>2.434567901234554E-2</v>
      </c>
      <c r="W210" s="300">
        <v>7.160493827160469E-2</v>
      </c>
      <c r="X210" s="300">
        <v>7.160493827160469E-2</v>
      </c>
      <c r="Y210" s="300">
        <v>0.28641975308641998</v>
      </c>
      <c r="Z210" s="300"/>
      <c r="AA210" s="300"/>
      <c r="AB210" s="300"/>
      <c r="AC210" s="300"/>
      <c r="AD210" s="300"/>
      <c r="AE210" s="300"/>
      <c r="AF210" s="300"/>
      <c r="AG210" s="300"/>
      <c r="AH210" s="300"/>
      <c r="AI210" s="300"/>
      <c r="AJ210" s="300"/>
      <c r="AK210" s="300"/>
      <c r="AL210" s="300"/>
      <c r="AM210" s="300"/>
      <c r="AN210" s="300"/>
      <c r="AO210" s="300"/>
      <c r="AP210" s="300"/>
      <c r="AQ210" s="300"/>
      <c r="AR210" s="300"/>
      <c r="AS210" s="300"/>
      <c r="AT210" s="300"/>
      <c r="AU210" s="300"/>
      <c r="AV210" s="300"/>
      <c r="AW210" s="300"/>
      <c r="AX210" s="300"/>
      <c r="AY210" s="300"/>
      <c r="AZ210" s="300"/>
      <c r="BA210" s="300"/>
      <c r="BB210" s="300"/>
      <c r="BC210" s="300"/>
    </row>
    <row r="211" spans="1:55" x14ac:dyDescent="0.25">
      <c r="A211" s="186">
        <v>37</v>
      </c>
      <c r="B211" s="72" t="str">
        <f t="shared" si="12"/>
        <v>GE2.2 - 298 - T5 - 93m²</v>
      </c>
      <c r="C211" s="300"/>
      <c r="D211" s="300"/>
      <c r="E211" s="300"/>
      <c r="F211" s="300"/>
      <c r="G211" s="300"/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>
        <v>0.9696463560334504</v>
      </c>
      <c r="W211" s="300">
        <v>0.6790919952210267</v>
      </c>
      <c r="X211" s="300">
        <v>0.87311827956989452</v>
      </c>
      <c r="Y211" s="300">
        <v>0.6305854241338098</v>
      </c>
      <c r="Z211" s="300"/>
      <c r="AA211" s="300"/>
      <c r="AB211" s="300"/>
      <c r="AC211" s="300"/>
      <c r="AD211" s="300"/>
      <c r="AE211" s="300"/>
      <c r="AF211" s="300"/>
      <c r="AG211" s="300"/>
      <c r="AH211" s="300"/>
      <c r="AI211" s="300"/>
      <c r="AJ211" s="300"/>
      <c r="AK211" s="300"/>
      <c r="AL211" s="300"/>
      <c r="AM211" s="300"/>
      <c r="AN211" s="300"/>
      <c r="AO211" s="300"/>
      <c r="AP211" s="300"/>
      <c r="AQ211" s="300"/>
      <c r="AR211" s="300"/>
      <c r="AS211" s="300"/>
      <c r="AT211" s="300"/>
      <c r="AU211" s="300"/>
      <c r="AV211" s="300"/>
      <c r="AW211" s="300"/>
      <c r="AX211" s="300"/>
      <c r="AY211" s="300"/>
      <c r="AZ211" s="300"/>
      <c r="BA211" s="300"/>
      <c r="BB211" s="300"/>
      <c r="BC211" s="300"/>
    </row>
    <row r="212" spans="1:55" x14ac:dyDescent="0.25">
      <c r="A212" s="186">
        <v>38</v>
      </c>
      <c r="B212" s="72" t="str">
        <f t="shared" si="12"/>
        <v>GE2.2 - 301 - T4 - 79m²</v>
      </c>
      <c r="C212" s="300"/>
      <c r="D212" s="300"/>
      <c r="E212" s="300"/>
      <c r="F212" s="300"/>
      <c r="G212" s="300"/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>
        <v>0.35175246132208132</v>
      </c>
      <c r="W212" s="300">
        <v>0.1713080168776375</v>
      </c>
      <c r="X212" s="300">
        <v>0.45682137834036601</v>
      </c>
      <c r="Y212" s="300">
        <v>0.28551336146272854</v>
      </c>
      <c r="Z212" s="300"/>
      <c r="AA212" s="300"/>
      <c r="AB212" s="300"/>
      <c r="AC212" s="300"/>
      <c r="AD212" s="300"/>
      <c r="AE212" s="300"/>
      <c r="AF212" s="300"/>
      <c r="AG212" s="300"/>
      <c r="AH212" s="300"/>
      <c r="AI212" s="300"/>
      <c r="AJ212" s="300"/>
      <c r="AK212" s="300"/>
      <c r="AL212" s="300"/>
      <c r="AM212" s="300"/>
      <c r="AN212" s="300"/>
      <c r="AO212" s="300"/>
      <c r="AP212" s="300"/>
      <c r="AQ212" s="300"/>
      <c r="AR212" s="300"/>
      <c r="AS212" s="300"/>
      <c r="AT212" s="300"/>
      <c r="AU212" s="300"/>
      <c r="AV212" s="300"/>
      <c r="AW212" s="300"/>
      <c r="AX212" s="300"/>
      <c r="AY212" s="300"/>
      <c r="AZ212" s="300"/>
      <c r="BA212" s="300"/>
      <c r="BB212" s="300"/>
      <c r="BC212" s="300"/>
    </row>
    <row r="213" spans="1:55" x14ac:dyDescent="0.25">
      <c r="A213" s="186">
        <v>39</v>
      </c>
      <c r="B213" s="72" t="str">
        <f t="shared" si="12"/>
        <v>GE2.2 - 311 - T4 - 74m²</v>
      </c>
      <c r="C213" s="300"/>
      <c r="D213" s="300"/>
      <c r="E213" s="300"/>
      <c r="F213" s="300"/>
      <c r="G213" s="300"/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>
        <v>0.60168468468468572</v>
      </c>
      <c r="W213" s="300">
        <v>0.42672672672672629</v>
      </c>
      <c r="X213" s="300">
        <v>0.48768768768768805</v>
      </c>
      <c r="Y213" s="300">
        <v>0.48768768768768805</v>
      </c>
      <c r="Z213" s="300"/>
      <c r="AA213" s="300"/>
      <c r="AB213" s="300"/>
      <c r="AC213" s="300"/>
      <c r="AD213" s="300"/>
      <c r="AE213" s="300"/>
      <c r="AF213" s="300"/>
      <c r="AG213" s="300"/>
      <c r="AH213" s="300"/>
      <c r="AI213" s="300"/>
      <c r="AJ213" s="300"/>
      <c r="AK213" s="300"/>
      <c r="AL213" s="300"/>
      <c r="AM213" s="300"/>
      <c r="AN213" s="300"/>
      <c r="AO213" s="300"/>
      <c r="AP213" s="300"/>
      <c r="AQ213" s="300"/>
      <c r="AR213" s="300"/>
      <c r="AS213" s="300"/>
      <c r="AT213" s="300"/>
      <c r="AU213" s="300"/>
      <c r="AV213" s="300"/>
      <c r="AW213" s="300"/>
      <c r="AX213" s="300"/>
      <c r="AY213" s="300"/>
      <c r="AZ213" s="300"/>
      <c r="BA213" s="300"/>
      <c r="BB213" s="300"/>
      <c r="BC213" s="300"/>
    </row>
    <row r="214" spans="1:55" x14ac:dyDescent="0.25">
      <c r="A214" s="186">
        <v>40</v>
      </c>
      <c r="B214" s="72" t="str">
        <f t="shared" si="12"/>
        <v>GE2.2 - 313 - T4 - 75m²</v>
      </c>
      <c r="C214" s="300"/>
      <c r="D214" s="300"/>
      <c r="E214" s="300"/>
      <c r="F214" s="300"/>
      <c r="G214" s="300"/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>
        <v>0.38735407407407413</v>
      </c>
      <c r="W214" s="300">
        <v>0.54133333333333356</v>
      </c>
      <c r="X214" s="300">
        <v>0.24059259259259277</v>
      </c>
      <c r="Y214" s="300">
        <v>0.24059259259259175</v>
      </c>
      <c r="Z214" s="300"/>
      <c r="AA214" s="300"/>
      <c r="AB214" s="300"/>
      <c r="AC214" s="300"/>
      <c r="AD214" s="300"/>
      <c r="AE214" s="300"/>
      <c r="AF214" s="300"/>
      <c r="AG214" s="300"/>
      <c r="AH214" s="300"/>
      <c r="AI214" s="300"/>
      <c r="AJ214" s="300"/>
      <c r="AK214" s="300"/>
      <c r="AL214" s="300"/>
      <c r="AM214" s="300"/>
      <c r="AN214" s="300"/>
      <c r="AO214" s="300"/>
      <c r="AP214" s="300"/>
      <c r="AQ214" s="300"/>
      <c r="AR214" s="300"/>
      <c r="AS214" s="300"/>
      <c r="AT214" s="300"/>
      <c r="AU214" s="300"/>
      <c r="AV214" s="300"/>
      <c r="AW214" s="300"/>
      <c r="AX214" s="300"/>
      <c r="AY214" s="300"/>
      <c r="AZ214" s="300"/>
      <c r="BA214" s="300"/>
      <c r="BB214" s="300"/>
      <c r="BC214" s="300"/>
    </row>
    <row r="215" spans="1:55" x14ac:dyDescent="0.25">
      <c r="A215" s="186">
        <v>41</v>
      </c>
      <c r="B215" s="72" t="str">
        <f t="shared" si="12"/>
        <v>GE2.2 - 315 - T4 - 75m²</v>
      </c>
      <c r="C215" s="300"/>
      <c r="D215" s="300"/>
      <c r="E215" s="300"/>
      <c r="F215" s="300"/>
      <c r="G215" s="300"/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>
        <v>0.6026844444444438</v>
      </c>
      <c r="W215" s="300">
        <v>1.0826666666666671</v>
      </c>
      <c r="X215" s="300">
        <v>0.8420740740740732</v>
      </c>
      <c r="Y215" s="300">
        <v>0.60148148148148139</v>
      </c>
      <c r="Z215" s="300"/>
      <c r="AA215" s="300"/>
      <c r="AB215" s="300"/>
      <c r="AC215" s="300"/>
      <c r="AD215" s="300"/>
      <c r="AE215" s="300"/>
      <c r="AF215" s="300"/>
      <c r="AG215" s="300"/>
      <c r="AH215" s="300"/>
      <c r="AI215" s="300"/>
      <c r="AJ215" s="300"/>
      <c r="AK215" s="300"/>
      <c r="AL215" s="300"/>
      <c r="AM215" s="300"/>
      <c r="AN215" s="300"/>
      <c r="AO215" s="300"/>
      <c r="AP215" s="300"/>
      <c r="AQ215" s="300"/>
      <c r="AR215" s="300"/>
      <c r="AS215" s="300"/>
      <c r="AT215" s="300"/>
      <c r="AU215" s="300"/>
      <c r="AV215" s="300"/>
      <c r="AW215" s="300"/>
      <c r="AX215" s="300"/>
      <c r="AY215" s="300"/>
      <c r="AZ215" s="300"/>
      <c r="BA215" s="300"/>
      <c r="BB215" s="300"/>
      <c r="BC215" s="300"/>
    </row>
    <row r="216" spans="1:55" x14ac:dyDescent="0.25">
      <c r="A216" s="186">
        <v>42</v>
      </c>
      <c r="B216" s="428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>
        <v>0.4021693533292709</v>
      </c>
      <c r="W216" s="301">
        <v>0.44416166872795892</v>
      </c>
      <c r="X216" s="301">
        <v>0.3906869689177484</v>
      </c>
      <c r="Y216" s="301">
        <v>0.37693972806277171</v>
      </c>
      <c r="Z216" s="301"/>
      <c r="AA216" s="301"/>
      <c r="AB216" s="301"/>
      <c r="AC216" s="301"/>
      <c r="AD216" s="301"/>
      <c r="AE216" s="301"/>
      <c r="AF216" s="301"/>
      <c r="AG216" s="301"/>
      <c r="AH216" s="301"/>
      <c r="AI216" s="301"/>
      <c r="AJ216" s="301"/>
      <c r="AK216" s="301"/>
      <c r="AL216" s="301"/>
      <c r="AM216" s="301"/>
      <c r="AN216" s="301"/>
      <c r="AO216" s="301"/>
      <c r="AP216" s="301"/>
      <c r="AQ216" s="301"/>
      <c r="AR216" s="301"/>
      <c r="AS216" s="301"/>
      <c r="AT216" s="301"/>
      <c r="AU216" s="301"/>
      <c r="AV216" s="301"/>
      <c r="AW216" s="301"/>
      <c r="AX216" s="301"/>
      <c r="AY216" s="301"/>
      <c r="AZ216" s="301"/>
      <c r="BA216" s="301"/>
      <c r="BB216" s="301"/>
      <c r="BC216" s="301"/>
    </row>
    <row r="217" spans="1:55" x14ac:dyDescent="0.25">
      <c r="A217" s="186">
        <v>43</v>
      </c>
      <c r="B217" s="72" t="str">
        <f t="shared" ref="B217:B222" si="13">B162</f>
        <v>SO - 284 - T - 64m²</v>
      </c>
      <c r="C217" s="300"/>
      <c r="D217" s="300"/>
      <c r="E217" s="300"/>
      <c r="F217" s="300"/>
      <c r="G217" s="300"/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>
        <v>8.4583333333333403E-3</v>
      </c>
      <c r="W217" s="300">
        <v>0.14097222222222217</v>
      </c>
      <c r="X217" s="300">
        <v>0</v>
      </c>
      <c r="Y217" s="300">
        <v>0</v>
      </c>
      <c r="Z217" s="300"/>
      <c r="AA217" s="300"/>
      <c r="AB217" s="300"/>
      <c r="AC217" s="300"/>
      <c r="AD217" s="300"/>
      <c r="AE217" s="300"/>
      <c r="AF217" s="300"/>
      <c r="AG217" s="300"/>
      <c r="AH217" s="300"/>
      <c r="AI217" s="300"/>
      <c r="AJ217" s="300"/>
      <c r="AK217" s="300"/>
      <c r="AL217" s="300"/>
      <c r="AM217" s="300"/>
      <c r="AN217" s="300"/>
      <c r="AO217" s="300"/>
      <c r="AP217" s="300"/>
      <c r="AQ217" s="300"/>
      <c r="AR217" s="300"/>
      <c r="AS217" s="300"/>
      <c r="AT217" s="300"/>
      <c r="AU217" s="300"/>
      <c r="AV217" s="300"/>
      <c r="AW217" s="300"/>
      <c r="AX217" s="300"/>
      <c r="AY217" s="300"/>
      <c r="AZ217" s="300"/>
      <c r="BA217" s="300"/>
      <c r="BB217" s="300"/>
      <c r="BC217" s="300"/>
    </row>
    <row r="218" spans="1:55" x14ac:dyDescent="0.25">
      <c r="A218" s="186">
        <v>44</v>
      </c>
      <c r="B218" s="72" t="str">
        <f t="shared" si="13"/>
        <v>SO - 287 - T - 81m²</v>
      </c>
      <c r="C218" s="300"/>
      <c r="D218" s="300"/>
      <c r="E218" s="300"/>
      <c r="F218" s="300"/>
      <c r="G218" s="300"/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>
        <v>0.16206584362139936</v>
      </c>
      <c r="W218" s="300">
        <v>-5.5692729766803645E-2</v>
      </c>
      <c r="X218" s="300">
        <v>0.16707818930041091</v>
      </c>
      <c r="Y218" s="300">
        <v>0.16707818930041191</v>
      </c>
      <c r="Z218" s="300"/>
      <c r="AA218" s="300"/>
      <c r="AB218" s="300"/>
      <c r="AC218" s="300"/>
      <c r="AD218" s="300"/>
      <c r="AE218" s="300"/>
      <c r="AF218" s="300"/>
      <c r="AG218" s="300"/>
      <c r="AH218" s="300"/>
      <c r="AI218" s="300"/>
      <c r="AJ218" s="300"/>
      <c r="AK218" s="300"/>
      <c r="AL218" s="300"/>
      <c r="AM218" s="300"/>
      <c r="AN218" s="300"/>
      <c r="AO218" s="300"/>
      <c r="AP218" s="300"/>
      <c r="AQ218" s="300"/>
      <c r="AR218" s="300"/>
      <c r="AS218" s="300"/>
      <c r="AT218" s="300"/>
      <c r="AU218" s="300"/>
      <c r="AV218" s="300"/>
      <c r="AW218" s="300"/>
      <c r="AX218" s="300"/>
      <c r="AY218" s="300"/>
      <c r="AZ218" s="300"/>
      <c r="BA218" s="300"/>
      <c r="BB218" s="300"/>
      <c r="BC218" s="300"/>
    </row>
    <row r="219" spans="1:55" x14ac:dyDescent="0.25">
      <c r="A219" s="186">
        <v>45</v>
      </c>
      <c r="B219" s="72" t="str">
        <f t="shared" si="13"/>
        <v>SO - 290 - T - 40m²</v>
      </c>
      <c r="C219" s="300"/>
      <c r="D219" s="300"/>
      <c r="E219" s="300"/>
      <c r="F219" s="300"/>
      <c r="G219" s="300"/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>
        <v>0</v>
      </c>
      <c r="W219" s="300">
        <v>0</v>
      </c>
      <c r="X219" s="300">
        <v>0</v>
      </c>
      <c r="Y219" s="300">
        <v>0</v>
      </c>
      <c r="Z219" s="300"/>
      <c r="AA219" s="300"/>
      <c r="AB219" s="300"/>
      <c r="AC219" s="300"/>
      <c r="AD219" s="300"/>
      <c r="AE219" s="300"/>
      <c r="AF219" s="300"/>
      <c r="AG219" s="300"/>
      <c r="AH219" s="300"/>
      <c r="AI219" s="300"/>
      <c r="AJ219" s="300"/>
      <c r="AK219" s="300"/>
      <c r="AL219" s="300"/>
      <c r="AM219" s="300"/>
      <c r="AN219" s="300"/>
      <c r="AO219" s="300"/>
      <c r="AP219" s="300"/>
      <c r="AQ219" s="300"/>
      <c r="AR219" s="300"/>
      <c r="AS219" s="300"/>
      <c r="AT219" s="300"/>
      <c r="AU219" s="300"/>
      <c r="AV219" s="300"/>
      <c r="AW219" s="300"/>
      <c r="AX219" s="300"/>
      <c r="AY219" s="300"/>
      <c r="AZ219" s="300"/>
      <c r="BA219" s="300"/>
      <c r="BB219" s="300"/>
      <c r="BC219" s="300"/>
    </row>
    <row r="220" spans="1:55" x14ac:dyDescent="0.25">
      <c r="A220" s="186">
        <v>46</v>
      </c>
      <c r="B220" s="72" t="str">
        <f t="shared" si="13"/>
        <v>SO - 305 - T - 66m²</v>
      </c>
      <c r="C220" s="300"/>
      <c r="D220" s="300"/>
      <c r="E220" s="300"/>
      <c r="F220" s="300"/>
      <c r="G220" s="300"/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>
        <v>0</v>
      </c>
      <c r="W220" s="300">
        <v>0</v>
      </c>
      <c r="X220" s="300">
        <v>0</v>
      </c>
      <c r="Y220" s="300">
        <v>0</v>
      </c>
      <c r="Z220" s="300"/>
      <c r="AA220" s="300"/>
      <c r="AB220" s="300"/>
      <c r="AC220" s="300"/>
      <c r="AD220" s="300"/>
      <c r="AE220" s="300"/>
      <c r="AF220" s="300"/>
      <c r="AG220" s="300"/>
      <c r="AH220" s="300"/>
      <c r="AI220" s="300"/>
      <c r="AJ220" s="300"/>
      <c r="AK220" s="300"/>
      <c r="AL220" s="300"/>
      <c r="AM220" s="300"/>
      <c r="AN220" s="300"/>
      <c r="AO220" s="300"/>
      <c r="AP220" s="300"/>
      <c r="AQ220" s="300"/>
      <c r="AR220" s="300"/>
      <c r="AS220" s="300"/>
      <c r="AT220" s="300"/>
      <c r="AU220" s="300"/>
      <c r="AV220" s="300"/>
      <c r="AW220" s="300"/>
      <c r="AX220" s="300"/>
      <c r="AY220" s="300"/>
      <c r="AZ220" s="300"/>
      <c r="BA220" s="300"/>
      <c r="BB220" s="300"/>
      <c r="BC220" s="300"/>
    </row>
    <row r="221" spans="1:55" x14ac:dyDescent="0.25">
      <c r="A221" s="186">
        <v>47</v>
      </c>
      <c r="B221" s="72" t="str">
        <f t="shared" si="13"/>
        <v>SO - 309 - T - 66m²</v>
      </c>
      <c r="C221" s="300"/>
      <c r="D221" s="300"/>
      <c r="E221" s="300"/>
      <c r="F221" s="300"/>
      <c r="G221" s="300"/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>
        <v>0.3854949494949495</v>
      </c>
      <c r="W221" s="300">
        <v>0.13670033670033621</v>
      </c>
      <c r="X221" s="300">
        <v>0.34175084175084169</v>
      </c>
      <c r="Y221" s="300">
        <v>0.34175084175084169</v>
      </c>
      <c r="Z221" s="300"/>
      <c r="AA221" s="300"/>
      <c r="AB221" s="300"/>
      <c r="AC221" s="300"/>
      <c r="AD221" s="300"/>
      <c r="AE221" s="300"/>
      <c r="AF221" s="300"/>
      <c r="AG221" s="300"/>
      <c r="AH221" s="300"/>
      <c r="AI221" s="300"/>
      <c r="AJ221" s="300"/>
      <c r="AK221" s="300"/>
      <c r="AL221" s="300"/>
      <c r="AM221" s="300"/>
      <c r="AN221" s="300"/>
      <c r="AO221" s="300"/>
      <c r="AP221" s="300"/>
      <c r="AQ221" s="300"/>
      <c r="AR221" s="300"/>
      <c r="AS221" s="300"/>
      <c r="AT221" s="300"/>
      <c r="AU221" s="300"/>
      <c r="AV221" s="300"/>
      <c r="AW221" s="300"/>
      <c r="AX221" s="300"/>
      <c r="AY221" s="300"/>
      <c r="AZ221" s="300"/>
      <c r="BA221" s="300"/>
      <c r="BB221" s="300"/>
      <c r="BC221" s="300"/>
    </row>
    <row r="222" spans="1:55" x14ac:dyDescent="0.25">
      <c r="A222" s="186">
        <v>48</v>
      </c>
      <c r="B222" s="72" t="str">
        <f t="shared" si="13"/>
        <v>SO - 310 - T - 54m²</v>
      </c>
      <c r="C222" s="300"/>
      <c r="D222" s="300"/>
      <c r="E222" s="300"/>
      <c r="F222" s="300"/>
      <c r="G222" s="300"/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>
        <v>0.24727572016460928</v>
      </c>
      <c r="W222" s="300">
        <v>0.41769547325102879</v>
      </c>
      <c r="X222" s="300">
        <v>0.33415637860082331</v>
      </c>
      <c r="Y222" s="300">
        <v>0.25061728395061711</v>
      </c>
      <c r="Z222" s="300"/>
      <c r="AA222" s="300"/>
      <c r="AB222" s="300"/>
      <c r="AC222" s="300"/>
      <c r="AD222" s="300"/>
      <c r="AE222" s="300"/>
      <c r="AF222" s="300"/>
      <c r="AG222" s="300"/>
      <c r="AH222" s="300"/>
      <c r="AI222" s="300"/>
      <c r="AJ222" s="300"/>
      <c r="AK222" s="300"/>
      <c r="AL222" s="300"/>
      <c r="AM222" s="300"/>
      <c r="AN222" s="300"/>
      <c r="AO222" s="300"/>
      <c r="AP222" s="300"/>
      <c r="AQ222" s="300"/>
      <c r="AR222" s="300"/>
      <c r="AS222" s="300"/>
      <c r="AT222" s="300"/>
      <c r="AU222" s="300"/>
      <c r="AV222" s="300"/>
      <c r="AW222" s="300"/>
      <c r="AX222" s="300"/>
      <c r="AY222" s="300"/>
      <c r="AZ222" s="300"/>
      <c r="BA222" s="300"/>
      <c r="BB222" s="300"/>
      <c r="BC222" s="300"/>
    </row>
    <row r="223" spans="1:55" x14ac:dyDescent="0.25">
      <c r="A223" s="186"/>
      <c r="B223" s="428"/>
      <c r="C223" s="301"/>
      <c r="D223" s="301"/>
      <c r="E223" s="301"/>
      <c r="F223" s="301"/>
      <c r="G223" s="301"/>
      <c r="H223" s="301"/>
      <c r="I223" s="301"/>
      <c r="J223" s="301"/>
      <c r="K223" s="301"/>
      <c r="L223" s="301"/>
      <c r="M223" s="301"/>
      <c r="N223" s="301"/>
      <c r="O223" s="301"/>
      <c r="P223" s="301"/>
      <c r="Q223" s="301"/>
      <c r="R223" s="301"/>
      <c r="S223" s="301"/>
      <c r="T223" s="301"/>
      <c r="U223" s="301"/>
      <c r="V223" s="301">
        <v>0.13388247443571524</v>
      </c>
      <c r="W223" s="301">
        <v>0.10661255040113059</v>
      </c>
      <c r="X223" s="301">
        <v>0.14049756827534599</v>
      </c>
      <c r="Y223" s="301">
        <v>0.12657438583364511</v>
      </c>
      <c r="Z223" s="301"/>
      <c r="AA223" s="301"/>
      <c r="AB223" s="301"/>
      <c r="AC223" s="301"/>
      <c r="AD223" s="301"/>
      <c r="AE223" s="301"/>
      <c r="AF223" s="301"/>
      <c r="AG223" s="301"/>
      <c r="AH223" s="301"/>
      <c r="AI223" s="301"/>
      <c r="AJ223" s="301"/>
      <c r="AK223" s="301"/>
      <c r="AL223" s="301"/>
      <c r="AM223" s="301"/>
      <c r="AN223" s="301"/>
      <c r="AO223" s="301"/>
      <c r="AP223" s="301"/>
      <c r="AQ223" s="301"/>
      <c r="AR223" s="301"/>
      <c r="AS223" s="301"/>
      <c r="AT223" s="301"/>
      <c r="AU223" s="301"/>
      <c r="AV223" s="301"/>
      <c r="AW223" s="301"/>
      <c r="AX223" s="301"/>
      <c r="AY223" s="301"/>
      <c r="AZ223" s="301"/>
      <c r="BA223" s="301"/>
      <c r="BB223" s="301"/>
      <c r="BC223" s="301"/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8" scale="75" fitToWidth="0" orientation="portrait" r:id="rId1"/>
  <headerFooter>
    <oddFooter>&amp;L&amp;F&amp;CSOLAIR&amp;R&amp;A</oddFooter>
  </headerFooter>
  <rowBreaks count="1" manualBreakCount="1">
    <brk id="113" max="24" man="1"/>
  </rowBreaks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8</vt:i4>
      </vt:variant>
    </vt:vector>
  </HeadingPairs>
  <TitlesOfParts>
    <vt:vector size="15" baseType="lpstr">
      <vt:lpstr>0_ENTREE</vt:lpstr>
      <vt:lpstr>1_REFERENCE</vt:lpstr>
      <vt:lpstr>2_CHAUFFAGE</vt:lpstr>
      <vt:lpstr>2_ELECTRICITE</vt:lpstr>
      <vt:lpstr>2_EAU</vt:lpstr>
      <vt:lpstr>3_SORTIE</vt:lpstr>
      <vt:lpstr>4_SUIVI</vt:lpstr>
      <vt:lpstr>Mois</vt:lpstr>
      <vt:lpstr>'0_ENTREE'!Zone_d_impression</vt:lpstr>
      <vt:lpstr>'1_REFERENCE'!Zone_d_impression</vt:lpstr>
      <vt:lpstr>'2_CHAUFFAGE'!Zone_d_impression</vt:lpstr>
      <vt:lpstr>'2_EAU'!Zone_d_impression</vt:lpstr>
      <vt:lpstr>'2_ELECTRICITE'!Zone_d_impression</vt:lpstr>
      <vt:lpstr>'3_SORTIE'!Zone_d_impression</vt:lpstr>
      <vt:lpstr>'4_SUIVI'!Zone_d_impression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2014-06-24T06:34:10Z</dcterms:modified>
</cp:coreProperties>
</file>