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540" windowWidth="15480" windowHeight="11400" tabRatio="938" activeTab="6"/>
  </bookViews>
  <sheets>
    <sheet name="0_ENTREE" sheetId="20" r:id="rId1"/>
    <sheet name="1_REFERENCE" sheetId="16" r:id="rId2"/>
    <sheet name="2_CHAUFFAGE" sheetId="10" r:id="rId3"/>
    <sheet name="2_ELECTRICITE" sheetId="18" r:id="rId4"/>
    <sheet name="2_EAU" sheetId="19" r:id="rId5"/>
    <sheet name="3_SORTIE" sheetId="11" r:id="rId6"/>
    <sheet name="4_SUIVI" sheetId="22" r:id="rId7"/>
  </sheets>
  <definedNames>
    <definedName name="Mois">'0_ENTREE'!$U$2:$U$15</definedName>
    <definedName name="Semaine" localSheetId="6">'0_ENTREE'!$N$4:$P$13,'0_ENTREE'!#REF!</definedName>
    <definedName name="Semaine">'0_ENTREE'!$N$4:$P$13,'0_ENTREE'!#REF!</definedName>
    <definedName name="_xlnm.Print_Area" localSheetId="0">'0_ENTREE'!$A$1:$Q$82</definedName>
    <definedName name="_xlnm.Print_Area" localSheetId="1">'1_REFERENCE'!$A$1:$O$152</definedName>
    <definedName name="_xlnm.Print_Area" localSheetId="2">'2_CHAUFFAGE'!$A$1:$W$84</definedName>
    <definedName name="_xlnm.Print_Area" localSheetId="4">'2_EAU'!$A$1:$S$85</definedName>
    <definedName name="_xlnm.Print_Area" localSheetId="3">'2_ELECTRICITE'!$A$1:$O$84</definedName>
    <definedName name="_xlnm.Print_Area" localSheetId="5">'3_SORTIE'!$A$1:$S$91</definedName>
    <definedName name="_xlnm.Print_Area" localSheetId="6">'4_SUIVI'!$A$1:$Z$225</definedName>
  </definedNames>
  <calcPr calcId="145621"/>
</workbook>
</file>

<file path=xl/calcChain.xml><?xml version="1.0" encoding="utf-8"?>
<calcChain xmlns="http://schemas.openxmlformats.org/spreadsheetml/2006/main">
  <c r="B223" i="22" l="1"/>
  <c r="B216" i="22"/>
  <c r="B202" i="22"/>
  <c r="B188" i="22"/>
  <c r="B168" i="22"/>
  <c r="B161" i="22"/>
  <c r="B147" i="22"/>
  <c r="B133" i="22"/>
  <c r="B113" i="22"/>
  <c r="B106" i="22"/>
  <c r="B92" i="22"/>
  <c r="B78" i="22"/>
  <c r="B58" i="22"/>
  <c r="B51" i="22"/>
  <c r="B37" i="22"/>
  <c r="B23" i="22"/>
  <c r="B6" i="16" l="1"/>
  <c r="N32" i="19" l="1"/>
  <c r="M32" i="19"/>
  <c r="I32" i="18"/>
  <c r="H32" i="18"/>
  <c r="AB95" i="16"/>
  <c r="AB94" i="16"/>
  <c r="AB93" i="16"/>
  <c r="AB92" i="16"/>
  <c r="AB91" i="16"/>
  <c r="AB90" i="16"/>
  <c r="AB88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4" i="16"/>
  <c r="AB73" i="16"/>
  <c r="AB72" i="16"/>
  <c r="AB71" i="16"/>
  <c r="AB70" i="16"/>
  <c r="AB69" i="16"/>
  <c r="AB68" i="16"/>
  <c r="AB67" i="16"/>
  <c r="AB66" i="16"/>
  <c r="AB65" i="16"/>
  <c r="AB64" i="16"/>
  <c r="AB63" i="16"/>
  <c r="AB62" i="16"/>
  <c r="AB60" i="16"/>
  <c r="AB59" i="16"/>
  <c r="AB58" i="16"/>
  <c r="AB57" i="16"/>
  <c r="AB56" i="16"/>
  <c r="AB55" i="16"/>
  <c r="AB54" i="16"/>
  <c r="AB53" i="16"/>
  <c r="AB52" i="16"/>
  <c r="AB51" i="16"/>
  <c r="AB50" i="16"/>
  <c r="AB49" i="16"/>
  <c r="AB48" i="16"/>
  <c r="R32" i="10"/>
  <c r="Q32" i="10"/>
  <c r="C17" i="20" l="1"/>
  <c r="A1" i="22"/>
  <c r="O83" i="11"/>
  <c r="O84" i="11"/>
  <c r="I81" i="19"/>
  <c r="N80" i="11" s="1"/>
  <c r="I80" i="19"/>
  <c r="N79" i="11" s="1"/>
  <c r="I79" i="19"/>
  <c r="N78" i="11" s="1"/>
  <c r="I78" i="19"/>
  <c r="N77" i="11" s="1"/>
  <c r="I77" i="19"/>
  <c r="N76" i="11" s="1"/>
  <c r="I76" i="19"/>
  <c r="N75" i="11" s="1"/>
  <c r="I74" i="19"/>
  <c r="N73" i="11" s="1"/>
  <c r="I73" i="19"/>
  <c r="N72" i="11" s="1"/>
  <c r="I72" i="19"/>
  <c r="N71" i="11" s="1"/>
  <c r="I71" i="19"/>
  <c r="N70" i="11" s="1"/>
  <c r="I70" i="19"/>
  <c r="N69" i="11" s="1"/>
  <c r="I69" i="19"/>
  <c r="N68" i="11" s="1"/>
  <c r="I68" i="19"/>
  <c r="N67" i="11" s="1"/>
  <c r="I67" i="19"/>
  <c r="N66" i="11" s="1"/>
  <c r="I66" i="19"/>
  <c r="N65" i="11" s="1"/>
  <c r="I65" i="19"/>
  <c r="N64" i="11" s="1"/>
  <c r="I64" i="19"/>
  <c r="N63" i="11" s="1"/>
  <c r="I63" i="19"/>
  <c r="N62" i="11" s="1"/>
  <c r="I62" i="19"/>
  <c r="I60" i="19"/>
  <c r="N59" i="11" s="1"/>
  <c r="I59" i="19"/>
  <c r="N58" i="11" s="1"/>
  <c r="I58" i="19"/>
  <c r="N57" i="11" s="1"/>
  <c r="I57" i="19"/>
  <c r="N56" i="11" s="1"/>
  <c r="I56" i="19"/>
  <c r="N55" i="11" s="1"/>
  <c r="I55" i="19"/>
  <c r="N54" i="11" s="1"/>
  <c r="I54" i="19"/>
  <c r="N53" i="11" s="1"/>
  <c r="I53" i="19"/>
  <c r="N52" i="11" s="1"/>
  <c r="I52" i="19"/>
  <c r="N51" i="11" s="1"/>
  <c r="I51" i="19"/>
  <c r="N50" i="11" s="1"/>
  <c r="I50" i="19"/>
  <c r="N49" i="11" s="1"/>
  <c r="I49" i="19"/>
  <c r="N48" i="11" s="1"/>
  <c r="I48" i="19"/>
  <c r="N32" i="11"/>
  <c r="N84" i="11" s="1"/>
  <c r="M32" i="11"/>
  <c r="M84" i="11" s="1"/>
  <c r="I46" i="19"/>
  <c r="N45" i="11" s="1"/>
  <c r="I45" i="19"/>
  <c r="N44" i="11" s="1"/>
  <c r="I44" i="19"/>
  <c r="N43" i="11" s="1"/>
  <c r="I43" i="19"/>
  <c r="N42" i="11" s="1"/>
  <c r="I42" i="19"/>
  <c r="N41" i="11" s="1"/>
  <c r="I41" i="19"/>
  <c r="N40" i="11" s="1"/>
  <c r="I40" i="19"/>
  <c r="N39" i="11" s="1"/>
  <c r="I39" i="19"/>
  <c r="N38" i="11" s="1"/>
  <c r="I38" i="19"/>
  <c r="N37" i="11" s="1"/>
  <c r="I37" i="19"/>
  <c r="N36" i="11" s="1"/>
  <c r="I36" i="19"/>
  <c r="N35" i="11" s="1"/>
  <c r="I35" i="19"/>
  <c r="N34" i="11" s="1"/>
  <c r="I34" i="19"/>
  <c r="N33" i="11" s="1"/>
  <c r="D81" i="19"/>
  <c r="D80" i="19"/>
  <c r="D79" i="19"/>
  <c r="D78" i="19"/>
  <c r="D77" i="19"/>
  <c r="D76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4" i="18"/>
  <c r="D81" i="18"/>
  <c r="D80" i="18"/>
  <c r="D79" i="18"/>
  <c r="D78" i="18"/>
  <c r="D77" i="18"/>
  <c r="D76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E9" i="20"/>
  <c r="E7" i="20"/>
  <c r="N4" i="10"/>
  <c r="N5" i="10"/>
  <c r="N6" i="10"/>
  <c r="N7" i="10"/>
  <c r="N8" i="10"/>
  <c r="N9" i="10"/>
  <c r="N10" i="10"/>
  <c r="N11" i="10"/>
  <c r="N12" i="10"/>
  <c r="N13" i="10"/>
  <c r="N14" i="10"/>
  <c r="N15" i="10"/>
  <c r="B47" i="16"/>
  <c r="B25" i="10"/>
  <c r="B25" i="18"/>
  <c r="B25" i="19"/>
  <c r="B25" i="11"/>
  <c r="B25" i="16"/>
  <c r="B23" i="10"/>
  <c r="B23" i="18"/>
  <c r="B23" i="19"/>
  <c r="B23" i="11"/>
  <c r="B23" i="16"/>
  <c r="B22" i="10"/>
  <c r="B22" i="18"/>
  <c r="B22" i="19"/>
  <c r="B22" i="11"/>
  <c r="B22" i="16"/>
  <c r="B21" i="10"/>
  <c r="B21" i="18"/>
  <c r="B21" i="19"/>
  <c r="B21" i="11"/>
  <c r="B21" i="16"/>
  <c r="B19" i="10"/>
  <c r="B19" i="18"/>
  <c r="B19" i="19"/>
  <c r="B19" i="11"/>
  <c r="B19" i="16"/>
  <c r="B18" i="10"/>
  <c r="B18" i="18"/>
  <c r="B18" i="19"/>
  <c r="B18" i="11"/>
  <c r="B18" i="16"/>
  <c r="B17" i="10"/>
  <c r="B17" i="18"/>
  <c r="B17" i="19"/>
  <c r="B17" i="11"/>
  <c r="B17" i="16"/>
  <c r="B16" i="10"/>
  <c r="B16" i="18"/>
  <c r="B16" i="19"/>
  <c r="B16" i="11"/>
  <c r="B16" i="16"/>
  <c r="B15" i="10"/>
  <c r="B15" i="18"/>
  <c r="B15" i="19"/>
  <c r="B15" i="11"/>
  <c r="B15" i="16"/>
  <c r="B14" i="10"/>
  <c r="B14" i="18"/>
  <c r="B14" i="19"/>
  <c r="B14" i="11"/>
  <c r="B14" i="16"/>
  <c r="B13" i="10"/>
  <c r="B13" i="18"/>
  <c r="B13" i="19"/>
  <c r="B13" i="11"/>
  <c r="B13" i="16"/>
  <c r="I3" i="10"/>
  <c r="I3" i="18"/>
  <c r="I3" i="19"/>
  <c r="I3" i="11"/>
  <c r="I3" i="16"/>
  <c r="I5" i="10"/>
  <c r="I6" i="10"/>
  <c r="I7" i="10"/>
  <c r="I8" i="10"/>
  <c r="I9" i="10"/>
  <c r="I10" i="10"/>
  <c r="I11" i="10"/>
  <c r="I12" i="10"/>
  <c r="I13" i="10"/>
  <c r="I14" i="10"/>
  <c r="I15" i="10"/>
  <c r="I5" i="18"/>
  <c r="I6" i="18"/>
  <c r="I7" i="18"/>
  <c r="I8" i="18"/>
  <c r="I9" i="18"/>
  <c r="I10" i="18"/>
  <c r="I11" i="18"/>
  <c r="I12" i="18"/>
  <c r="I13" i="18"/>
  <c r="I14" i="18"/>
  <c r="I15" i="18"/>
  <c r="I5" i="19"/>
  <c r="I6" i="19"/>
  <c r="I7" i="19"/>
  <c r="I8" i="19"/>
  <c r="I9" i="19"/>
  <c r="I10" i="19"/>
  <c r="I11" i="19"/>
  <c r="I12" i="19"/>
  <c r="I13" i="19"/>
  <c r="I14" i="19"/>
  <c r="I15" i="19"/>
  <c r="I5" i="11"/>
  <c r="I6" i="11"/>
  <c r="I7" i="11"/>
  <c r="I8" i="11"/>
  <c r="I9" i="11"/>
  <c r="I10" i="11"/>
  <c r="I11" i="11"/>
  <c r="I12" i="11"/>
  <c r="I13" i="11"/>
  <c r="I14" i="11"/>
  <c r="I15" i="11"/>
  <c r="I5" i="16"/>
  <c r="I6" i="16"/>
  <c r="I7" i="16"/>
  <c r="I8" i="16"/>
  <c r="I9" i="16"/>
  <c r="I10" i="16"/>
  <c r="I11" i="16"/>
  <c r="I12" i="16"/>
  <c r="I13" i="16"/>
  <c r="I14" i="16"/>
  <c r="I15" i="16"/>
  <c r="I4" i="10"/>
  <c r="I4" i="18"/>
  <c r="I4" i="19"/>
  <c r="I4" i="11"/>
  <c r="I4" i="16"/>
  <c r="I5" i="20"/>
  <c r="I6" i="20"/>
  <c r="I7" i="20"/>
  <c r="I8" i="20"/>
  <c r="I9" i="20"/>
  <c r="I10" i="20"/>
  <c r="I11" i="20"/>
  <c r="I12" i="20"/>
  <c r="I13" i="20"/>
  <c r="I14" i="20"/>
  <c r="I15" i="20"/>
  <c r="I4" i="20"/>
  <c r="I61" i="19" l="1"/>
  <c r="N60" i="11" s="1"/>
  <c r="D61" i="18"/>
  <c r="D75" i="18"/>
  <c r="I75" i="19"/>
  <c r="N74" i="11" s="1"/>
  <c r="N47" i="11"/>
  <c r="I82" i="19"/>
  <c r="N81" i="11" s="1"/>
  <c r="N61" i="11"/>
  <c r="I47" i="19"/>
  <c r="N46" i="11" s="1"/>
  <c r="D82" i="19"/>
  <c r="D82" i="18"/>
  <c r="D47" i="18"/>
  <c r="N88" i="11" l="1"/>
  <c r="N86" i="11"/>
  <c r="N85" i="11"/>
  <c r="N87" i="11"/>
  <c r="BC119" i="22"/>
  <c r="BC174" i="22" s="1"/>
  <c r="BB119" i="22"/>
  <c r="BB174" i="22" s="1"/>
  <c r="BA119" i="22"/>
  <c r="BA174" i="22" s="1"/>
  <c r="AZ119" i="22"/>
  <c r="AZ174" i="22" s="1"/>
  <c r="AY119" i="22"/>
  <c r="AY174" i="22" s="1"/>
  <c r="AX119" i="22"/>
  <c r="AX174" i="22" s="1"/>
  <c r="AW119" i="22"/>
  <c r="AW174" i="22" s="1"/>
  <c r="AV119" i="22"/>
  <c r="AV174" i="22" s="1"/>
  <c r="AU119" i="22"/>
  <c r="AU174" i="22" s="1"/>
  <c r="AT119" i="22"/>
  <c r="AT174" i="22" s="1"/>
  <c r="AS119" i="22"/>
  <c r="AS174" i="22" s="1"/>
  <c r="AR119" i="22"/>
  <c r="AR174" i="22" s="1"/>
  <c r="AQ119" i="22"/>
  <c r="AQ174" i="22" s="1"/>
  <c r="AP119" i="22"/>
  <c r="AP174" i="22" s="1"/>
  <c r="AO119" i="22"/>
  <c r="AO174" i="22" s="1"/>
  <c r="AN119" i="22"/>
  <c r="AN174" i="22" s="1"/>
  <c r="AM119" i="22"/>
  <c r="AM174" i="22" s="1"/>
  <c r="AL119" i="22"/>
  <c r="AL174" i="22" s="1"/>
  <c r="AK119" i="22"/>
  <c r="AK174" i="22" s="1"/>
  <c r="AJ119" i="22"/>
  <c r="AJ174" i="22" s="1"/>
  <c r="AI119" i="22"/>
  <c r="AI174" i="22" s="1"/>
  <c r="AH119" i="22"/>
  <c r="AH174" i="22" s="1"/>
  <c r="AG119" i="22"/>
  <c r="AG174" i="22" s="1"/>
  <c r="AF119" i="22"/>
  <c r="AF174" i="22" s="1"/>
  <c r="AE119" i="22"/>
  <c r="AE174" i="22" s="1"/>
  <c r="AD119" i="22"/>
  <c r="AD174" i="22" s="1"/>
  <c r="AC119" i="22"/>
  <c r="AC174" i="22" s="1"/>
  <c r="AB119" i="22"/>
  <c r="AB174" i="22" s="1"/>
  <c r="AA119" i="22"/>
  <c r="AA174" i="22" s="1"/>
  <c r="Z119" i="22"/>
  <c r="Z174" i="22" s="1"/>
  <c r="Y119" i="22"/>
  <c r="Y174" i="22" s="1"/>
  <c r="X119" i="22"/>
  <c r="X174" i="22" s="1"/>
  <c r="W119" i="22"/>
  <c r="W174" i="22" s="1"/>
  <c r="V119" i="22"/>
  <c r="V174" i="22" s="1"/>
  <c r="U119" i="22"/>
  <c r="U174" i="22" s="1"/>
  <c r="T119" i="22"/>
  <c r="T174" i="22" s="1"/>
  <c r="S119" i="22"/>
  <c r="S174" i="22" s="1"/>
  <c r="R119" i="22"/>
  <c r="R174" i="22" s="1"/>
  <c r="Q119" i="22"/>
  <c r="Q174" i="22" s="1"/>
  <c r="P119" i="22"/>
  <c r="P174" i="22" s="1"/>
  <c r="O119" i="22"/>
  <c r="O174" i="22" s="1"/>
  <c r="N119" i="22"/>
  <c r="N174" i="22" s="1"/>
  <c r="M119" i="22"/>
  <c r="M174" i="22" s="1"/>
  <c r="L119" i="22"/>
  <c r="L174" i="22" s="1"/>
  <c r="K119" i="22"/>
  <c r="K174" i="22" s="1"/>
  <c r="J119" i="22"/>
  <c r="J174" i="22" s="1"/>
  <c r="I119" i="22"/>
  <c r="I174" i="22" s="1"/>
  <c r="H119" i="22"/>
  <c r="H174" i="22" s="1"/>
  <c r="G119" i="22"/>
  <c r="G174" i="22" s="1"/>
  <c r="F119" i="22"/>
  <c r="F174" i="22" s="1"/>
  <c r="E119" i="22"/>
  <c r="E174" i="22" s="1"/>
  <c r="D119" i="22"/>
  <c r="D174" i="22" s="1"/>
  <c r="C119" i="22"/>
  <c r="C174" i="22" s="1"/>
  <c r="B57" i="22"/>
  <c r="B112" i="22" s="1"/>
  <c r="B167" i="22" s="1"/>
  <c r="B222" i="22" s="1"/>
  <c r="B56" i="22"/>
  <c r="B111" i="22" s="1"/>
  <c r="B166" i="22" s="1"/>
  <c r="B221" i="22" s="1"/>
  <c r="B55" i="22"/>
  <c r="B110" i="22" s="1"/>
  <c r="B165" i="22" s="1"/>
  <c r="B220" i="22" s="1"/>
  <c r="B54" i="22"/>
  <c r="B109" i="22" s="1"/>
  <c r="B164" i="22" s="1"/>
  <c r="B219" i="22" s="1"/>
  <c r="B53" i="22"/>
  <c r="B108" i="22" s="1"/>
  <c r="B163" i="22" s="1"/>
  <c r="B218" i="22" s="1"/>
  <c r="B52" i="22"/>
  <c r="B107" i="22" s="1"/>
  <c r="B162" i="22" s="1"/>
  <c r="B217" i="22" s="1"/>
  <c r="B50" i="22"/>
  <c r="B105" i="22" s="1"/>
  <c r="B160" i="22" s="1"/>
  <c r="B215" i="22" s="1"/>
  <c r="B49" i="22"/>
  <c r="B104" i="22" s="1"/>
  <c r="B159" i="22" s="1"/>
  <c r="B214" i="22" s="1"/>
  <c r="B48" i="22"/>
  <c r="B103" i="22" s="1"/>
  <c r="B158" i="22" s="1"/>
  <c r="B213" i="22" s="1"/>
  <c r="B47" i="22"/>
  <c r="B102" i="22" s="1"/>
  <c r="B157" i="22" s="1"/>
  <c r="B212" i="22" s="1"/>
  <c r="B46" i="22"/>
  <c r="B101" i="22" s="1"/>
  <c r="B156" i="22" s="1"/>
  <c r="B211" i="22" s="1"/>
  <c r="B45" i="22"/>
  <c r="B100" i="22" s="1"/>
  <c r="B155" i="22" s="1"/>
  <c r="B210" i="22" s="1"/>
  <c r="B44" i="22"/>
  <c r="B99" i="22" s="1"/>
  <c r="B154" i="22" s="1"/>
  <c r="B209" i="22" s="1"/>
  <c r="B43" i="22"/>
  <c r="B98" i="22" s="1"/>
  <c r="B153" i="22" s="1"/>
  <c r="B208" i="22" s="1"/>
  <c r="B42" i="22"/>
  <c r="B97" i="22" s="1"/>
  <c r="B152" i="22" s="1"/>
  <c r="B207" i="22" s="1"/>
  <c r="B41" i="22"/>
  <c r="B96" i="22" s="1"/>
  <c r="B151" i="22" s="1"/>
  <c r="B206" i="22" s="1"/>
  <c r="B40" i="22"/>
  <c r="B95" i="22" s="1"/>
  <c r="B150" i="22" s="1"/>
  <c r="B205" i="22" s="1"/>
  <c r="B39" i="22"/>
  <c r="B94" i="22" s="1"/>
  <c r="B149" i="22" s="1"/>
  <c r="B204" i="22" s="1"/>
  <c r="J16" i="18" l="1"/>
  <c r="K16" i="18"/>
  <c r="L16" i="18"/>
  <c r="M16" i="18"/>
  <c r="O16" i="18"/>
  <c r="P16" i="18"/>
  <c r="J16" i="19"/>
  <c r="K16" i="19"/>
  <c r="L16" i="19"/>
  <c r="M16" i="19"/>
  <c r="O16" i="19"/>
  <c r="P16" i="19"/>
  <c r="J16" i="11"/>
  <c r="K16" i="11"/>
  <c r="L16" i="11"/>
  <c r="M16" i="11"/>
  <c r="O16" i="11"/>
  <c r="P16" i="11"/>
  <c r="J16" i="10"/>
  <c r="K16" i="10"/>
  <c r="L16" i="10"/>
  <c r="M16" i="10"/>
  <c r="O16" i="10"/>
  <c r="P16" i="10"/>
  <c r="J12" i="18"/>
  <c r="K12" i="18"/>
  <c r="L12" i="18"/>
  <c r="M12" i="18"/>
  <c r="N12" i="18"/>
  <c r="O12" i="18"/>
  <c r="P12" i="18"/>
  <c r="J13" i="18"/>
  <c r="K13" i="18"/>
  <c r="L13" i="18"/>
  <c r="M13" i="18"/>
  <c r="N13" i="18"/>
  <c r="O13" i="18"/>
  <c r="P13" i="18"/>
  <c r="J14" i="18"/>
  <c r="K14" i="18"/>
  <c r="L14" i="18"/>
  <c r="M14" i="18"/>
  <c r="N14" i="18"/>
  <c r="O14" i="18"/>
  <c r="P14" i="18"/>
  <c r="J15" i="18"/>
  <c r="K15" i="18"/>
  <c r="L15" i="18"/>
  <c r="M15" i="18"/>
  <c r="N15" i="18"/>
  <c r="O15" i="18"/>
  <c r="P15" i="18"/>
  <c r="J12" i="19"/>
  <c r="K12" i="19"/>
  <c r="L12" i="19"/>
  <c r="M12" i="19"/>
  <c r="N12" i="19"/>
  <c r="O12" i="19"/>
  <c r="P12" i="19"/>
  <c r="J13" i="19"/>
  <c r="K13" i="19"/>
  <c r="L13" i="19"/>
  <c r="M13" i="19"/>
  <c r="N13" i="19"/>
  <c r="O13" i="19"/>
  <c r="P13" i="19"/>
  <c r="J14" i="19"/>
  <c r="K14" i="19"/>
  <c r="L14" i="19"/>
  <c r="M14" i="19"/>
  <c r="N14" i="19"/>
  <c r="O14" i="19"/>
  <c r="P14" i="19"/>
  <c r="J15" i="19"/>
  <c r="K15" i="19"/>
  <c r="L15" i="19"/>
  <c r="M15" i="19"/>
  <c r="N15" i="19"/>
  <c r="O15" i="19"/>
  <c r="P15" i="19"/>
  <c r="J12" i="11"/>
  <c r="K12" i="11"/>
  <c r="L12" i="11"/>
  <c r="M12" i="11"/>
  <c r="N12" i="11"/>
  <c r="O12" i="11"/>
  <c r="P12" i="11"/>
  <c r="J13" i="11"/>
  <c r="K13" i="11"/>
  <c r="L13" i="11"/>
  <c r="M13" i="11"/>
  <c r="N13" i="11"/>
  <c r="O13" i="11"/>
  <c r="P13" i="11"/>
  <c r="J14" i="11"/>
  <c r="K14" i="11"/>
  <c r="L14" i="11"/>
  <c r="M14" i="11"/>
  <c r="N14" i="11"/>
  <c r="O14" i="11"/>
  <c r="P14" i="11"/>
  <c r="J15" i="11"/>
  <c r="K15" i="11"/>
  <c r="L15" i="11"/>
  <c r="M15" i="11"/>
  <c r="N15" i="11"/>
  <c r="O15" i="11"/>
  <c r="P15" i="11"/>
  <c r="J12" i="10"/>
  <c r="K12" i="10"/>
  <c r="L12" i="10"/>
  <c r="M12" i="10"/>
  <c r="O12" i="10"/>
  <c r="P12" i="10"/>
  <c r="J13" i="10"/>
  <c r="K13" i="10"/>
  <c r="L13" i="10"/>
  <c r="M13" i="10"/>
  <c r="O13" i="10"/>
  <c r="P13" i="10"/>
  <c r="J14" i="10"/>
  <c r="K14" i="10"/>
  <c r="L14" i="10"/>
  <c r="M14" i="10"/>
  <c r="O14" i="10"/>
  <c r="P14" i="10"/>
  <c r="J15" i="10"/>
  <c r="K15" i="10"/>
  <c r="L15" i="10"/>
  <c r="M15" i="10"/>
  <c r="O15" i="10"/>
  <c r="P15" i="10"/>
  <c r="C25" i="18"/>
  <c r="C22" i="18"/>
  <c r="C16" i="18"/>
  <c r="C13" i="18"/>
  <c r="C25" i="19"/>
  <c r="C22" i="19"/>
  <c r="C16" i="19"/>
  <c r="C13" i="19"/>
  <c r="C25" i="11"/>
  <c r="C22" i="11"/>
  <c r="C16" i="11"/>
  <c r="C13" i="11"/>
  <c r="C25" i="10"/>
  <c r="C22" i="10"/>
  <c r="C16" i="10"/>
  <c r="C13" i="10"/>
  <c r="P11" i="18"/>
  <c r="O11" i="18"/>
  <c r="N11" i="18"/>
  <c r="M11" i="18"/>
  <c r="L11" i="18"/>
  <c r="K11" i="18"/>
  <c r="J11" i="18"/>
  <c r="P10" i="18"/>
  <c r="O10" i="18"/>
  <c r="N10" i="18"/>
  <c r="M10" i="18"/>
  <c r="L10" i="18"/>
  <c r="K10" i="18"/>
  <c r="J10" i="18"/>
  <c r="P9" i="18"/>
  <c r="O9" i="18"/>
  <c r="N9" i="18"/>
  <c r="M9" i="18"/>
  <c r="L9" i="18"/>
  <c r="K9" i="18"/>
  <c r="J9" i="18"/>
  <c r="E9" i="18"/>
  <c r="P8" i="18"/>
  <c r="O8" i="18"/>
  <c r="N8" i="18"/>
  <c r="M8" i="18"/>
  <c r="L8" i="18"/>
  <c r="K8" i="18"/>
  <c r="J8" i="18"/>
  <c r="P7" i="18"/>
  <c r="O7" i="18"/>
  <c r="N7" i="18"/>
  <c r="M7" i="18"/>
  <c r="L7" i="18"/>
  <c r="K7" i="18"/>
  <c r="J7" i="18"/>
  <c r="E7" i="18"/>
  <c r="P6" i="18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E5" i="18"/>
  <c r="P4" i="18"/>
  <c r="O4" i="18"/>
  <c r="N4" i="18"/>
  <c r="M4" i="18"/>
  <c r="L4" i="18"/>
  <c r="K4" i="18"/>
  <c r="J4" i="18"/>
  <c r="Q3" i="18"/>
  <c r="P3" i="18"/>
  <c r="O3" i="18"/>
  <c r="N3" i="18"/>
  <c r="M3" i="18"/>
  <c r="L3" i="18"/>
  <c r="K3" i="18"/>
  <c r="P11" i="19"/>
  <c r="O11" i="19"/>
  <c r="N11" i="19"/>
  <c r="M11" i="19"/>
  <c r="L11" i="19"/>
  <c r="K11" i="19"/>
  <c r="J11" i="19"/>
  <c r="P10" i="19"/>
  <c r="O10" i="19"/>
  <c r="N10" i="19"/>
  <c r="M10" i="19"/>
  <c r="L10" i="19"/>
  <c r="K10" i="19"/>
  <c r="J10" i="19"/>
  <c r="P9" i="19"/>
  <c r="O9" i="19"/>
  <c r="N9" i="19"/>
  <c r="M9" i="19"/>
  <c r="L9" i="19"/>
  <c r="K9" i="19"/>
  <c r="J9" i="19"/>
  <c r="P8" i="19"/>
  <c r="O8" i="19"/>
  <c r="N8" i="19"/>
  <c r="M8" i="19"/>
  <c r="L8" i="19"/>
  <c r="K8" i="19"/>
  <c r="J8" i="19"/>
  <c r="P7" i="19"/>
  <c r="O7" i="19"/>
  <c r="N7" i="19"/>
  <c r="M7" i="19"/>
  <c r="L7" i="19"/>
  <c r="K7" i="19"/>
  <c r="J7" i="19"/>
  <c r="P6" i="19"/>
  <c r="O6" i="19"/>
  <c r="N6" i="19"/>
  <c r="M6" i="19"/>
  <c r="L6" i="19"/>
  <c r="K6" i="19"/>
  <c r="J6" i="19"/>
  <c r="P5" i="19"/>
  <c r="O5" i="19"/>
  <c r="N5" i="19"/>
  <c r="M5" i="19"/>
  <c r="L5" i="19"/>
  <c r="K5" i="19"/>
  <c r="J5" i="19"/>
  <c r="P4" i="19"/>
  <c r="O4" i="19"/>
  <c r="N4" i="19"/>
  <c r="M4" i="19"/>
  <c r="L4" i="19"/>
  <c r="K4" i="19"/>
  <c r="J4" i="19"/>
  <c r="Q3" i="19"/>
  <c r="P3" i="19"/>
  <c r="O3" i="19"/>
  <c r="N3" i="19"/>
  <c r="M3" i="19"/>
  <c r="L3" i="19"/>
  <c r="K3" i="19"/>
  <c r="P11" i="11"/>
  <c r="O11" i="11"/>
  <c r="N11" i="11"/>
  <c r="M11" i="11"/>
  <c r="L11" i="11"/>
  <c r="K11" i="11"/>
  <c r="J11" i="11"/>
  <c r="P10" i="11"/>
  <c r="O10" i="11"/>
  <c r="N10" i="11"/>
  <c r="M10" i="11"/>
  <c r="L10" i="11"/>
  <c r="K10" i="11"/>
  <c r="J10" i="11"/>
  <c r="P9" i="11"/>
  <c r="O9" i="11"/>
  <c r="N9" i="11"/>
  <c r="M9" i="11"/>
  <c r="L9" i="11"/>
  <c r="K9" i="11"/>
  <c r="J9" i="11"/>
  <c r="P8" i="11"/>
  <c r="O8" i="11"/>
  <c r="N8" i="11"/>
  <c r="M8" i="11"/>
  <c r="L8" i="11"/>
  <c r="K8" i="11"/>
  <c r="J8" i="11"/>
  <c r="P7" i="11"/>
  <c r="O7" i="11"/>
  <c r="N7" i="11"/>
  <c r="M7" i="11"/>
  <c r="L7" i="11"/>
  <c r="K7" i="11"/>
  <c r="J7" i="11"/>
  <c r="P6" i="11"/>
  <c r="O6" i="11"/>
  <c r="N6" i="11"/>
  <c r="M6" i="11"/>
  <c r="L6" i="11"/>
  <c r="K6" i="11"/>
  <c r="J6" i="11"/>
  <c r="P5" i="11"/>
  <c r="O5" i="11"/>
  <c r="N5" i="11"/>
  <c r="M5" i="11"/>
  <c r="L5" i="11"/>
  <c r="K5" i="11"/>
  <c r="J5" i="11"/>
  <c r="P4" i="11"/>
  <c r="O4" i="11"/>
  <c r="N4" i="11"/>
  <c r="M4" i="11"/>
  <c r="L4" i="11"/>
  <c r="K4" i="11"/>
  <c r="J4" i="11"/>
  <c r="Q3" i="11"/>
  <c r="P3" i="11"/>
  <c r="O3" i="11"/>
  <c r="N3" i="11"/>
  <c r="M3" i="11"/>
  <c r="L3" i="11"/>
  <c r="K3" i="11"/>
  <c r="P11" i="10"/>
  <c r="O11" i="10"/>
  <c r="M11" i="10"/>
  <c r="L11" i="10"/>
  <c r="K11" i="10"/>
  <c r="J11" i="10"/>
  <c r="P10" i="10"/>
  <c r="O10" i="10"/>
  <c r="M10" i="10"/>
  <c r="L10" i="10"/>
  <c r="K10" i="10"/>
  <c r="J10" i="10"/>
  <c r="P9" i="10"/>
  <c r="O9" i="10"/>
  <c r="M9" i="10"/>
  <c r="L9" i="10"/>
  <c r="K9" i="10"/>
  <c r="J9" i="10"/>
  <c r="E9" i="10"/>
  <c r="P8" i="10"/>
  <c r="O8" i="10"/>
  <c r="M8" i="10"/>
  <c r="L8" i="10"/>
  <c r="K8" i="10"/>
  <c r="J8" i="10"/>
  <c r="P7" i="10"/>
  <c r="O7" i="10"/>
  <c r="M7" i="10"/>
  <c r="L7" i="10"/>
  <c r="K7" i="10"/>
  <c r="J7" i="10"/>
  <c r="E7" i="10"/>
  <c r="P6" i="10"/>
  <c r="O6" i="10"/>
  <c r="M6" i="10"/>
  <c r="L6" i="10"/>
  <c r="K6" i="10"/>
  <c r="J6" i="10"/>
  <c r="P5" i="10"/>
  <c r="O5" i="10"/>
  <c r="M5" i="10"/>
  <c r="L5" i="10"/>
  <c r="K5" i="10"/>
  <c r="J5" i="10"/>
  <c r="E5" i="10"/>
  <c r="P4" i="10"/>
  <c r="O4" i="10"/>
  <c r="M4" i="10"/>
  <c r="L4" i="10"/>
  <c r="K4" i="10"/>
  <c r="J4" i="10"/>
  <c r="Q3" i="10"/>
  <c r="P3" i="10"/>
  <c r="O3" i="10"/>
  <c r="N3" i="10"/>
  <c r="M3" i="10"/>
  <c r="L3" i="10"/>
  <c r="K3" i="10"/>
  <c r="C8" i="19"/>
  <c r="C8" i="11"/>
  <c r="C8" i="18"/>
  <c r="B8" i="19"/>
  <c r="B8" i="11"/>
  <c r="B8" i="18"/>
  <c r="B7" i="19"/>
  <c r="B7" i="11"/>
  <c r="B7" i="18"/>
  <c r="B6" i="19"/>
  <c r="B6" i="11"/>
  <c r="B6" i="18"/>
  <c r="B5" i="19"/>
  <c r="B5" i="11"/>
  <c r="B5" i="18"/>
  <c r="C5" i="19"/>
  <c r="E8" i="20"/>
  <c r="E8" i="16" s="1"/>
  <c r="E9" i="19"/>
  <c r="Q16" i="20"/>
  <c r="E4" i="20"/>
  <c r="E4" i="16" s="1"/>
  <c r="E9" i="16"/>
  <c r="E5" i="20"/>
  <c r="E5" i="16" s="1"/>
  <c r="E7" i="19"/>
  <c r="E7" i="16"/>
  <c r="L3" i="16"/>
  <c r="M3" i="16"/>
  <c r="N3" i="16"/>
  <c r="O3" i="16"/>
  <c r="P3" i="16"/>
  <c r="Q3" i="16"/>
  <c r="K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C5" i="20"/>
  <c r="N16" i="20"/>
  <c r="N16" i="19" s="1"/>
  <c r="E6" i="20"/>
  <c r="E6" i="16" s="1"/>
  <c r="K5" i="16"/>
  <c r="D35" i="16" s="1"/>
  <c r="K6" i="16"/>
  <c r="E35" i="16" s="1"/>
  <c r="L4" i="16"/>
  <c r="C36" i="16" s="1"/>
  <c r="M4" i="16"/>
  <c r="C37" i="16" s="1"/>
  <c r="N4" i="16"/>
  <c r="O4" i="16"/>
  <c r="Q4" i="16" s="1"/>
  <c r="P4" i="16"/>
  <c r="L5" i="16"/>
  <c r="D36" i="16" s="1"/>
  <c r="M5" i="16"/>
  <c r="D37" i="16" s="1"/>
  <c r="N5" i="16"/>
  <c r="O5" i="16"/>
  <c r="Q5" i="16" s="1"/>
  <c r="P5" i="16"/>
  <c r="L6" i="16"/>
  <c r="E36" i="16" s="1"/>
  <c r="M6" i="16"/>
  <c r="E37" i="16" s="1"/>
  <c r="N6" i="16"/>
  <c r="O6" i="16"/>
  <c r="Q6" i="16" s="1"/>
  <c r="P6" i="16"/>
  <c r="L7" i="16"/>
  <c r="F36" i="16" s="1"/>
  <c r="M7" i="16"/>
  <c r="F37" i="16" s="1"/>
  <c r="N7" i="16"/>
  <c r="O7" i="16"/>
  <c r="Q7" i="16" s="1"/>
  <c r="P7" i="16"/>
  <c r="L8" i="16"/>
  <c r="G36" i="16" s="1"/>
  <c r="M8" i="16"/>
  <c r="G37" i="16" s="1"/>
  <c r="N8" i="16"/>
  <c r="O8" i="16"/>
  <c r="Q8" i="16" s="1"/>
  <c r="P8" i="16"/>
  <c r="L9" i="16"/>
  <c r="H36" i="16" s="1"/>
  <c r="M9" i="16"/>
  <c r="H37" i="16" s="1"/>
  <c r="N9" i="16"/>
  <c r="O9" i="16"/>
  <c r="Q9" i="16" s="1"/>
  <c r="P9" i="16"/>
  <c r="L10" i="16"/>
  <c r="I36" i="16" s="1"/>
  <c r="M10" i="16"/>
  <c r="I37" i="16" s="1"/>
  <c r="N10" i="16"/>
  <c r="O10" i="16"/>
  <c r="Q10" i="16" s="1"/>
  <c r="P10" i="16"/>
  <c r="L11" i="16"/>
  <c r="J36" i="16" s="1"/>
  <c r="M11" i="16"/>
  <c r="J37" i="16" s="1"/>
  <c r="N11" i="16"/>
  <c r="O11" i="16"/>
  <c r="Q11" i="16" s="1"/>
  <c r="P11" i="16"/>
  <c r="L12" i="16"/>
  <c r="K36" i="16" s="1"/>
  <c r="M12" i="16"/>
  <c r="K37" i="16" s="1"/>
  <c r="N12" i="16"/>
  <c r="O12" i="16"/>
  <c r="Q12" i="16" s="1"/>
  <c r="P12" i="16"/>
  <c r="L13" i="16"/>
  <c r="L36" i="16" s="1"/>
  <c r="M13" i="16"/>
  <c r="L37" i="16" s="1"/>
  <c r="N13" i="16"/>
  <c r="O13" i="16"/>
  <c r="Q13" i="16" s="1"/>
  <c r="P13" i="16"/>
  <c r="L14" i="16"/>
  <c r="M36" i="16" s="1"/>
  <c r="M14" i="16"/>
  <c r="M37" i="16" s="1"/>
  <c r="N14" i="16"/>
  <c r="O14" i="16"/>
  <c r="Q14" i="16" s="1"/>
  <c r="P14" i="16"/>
  <c r="L15" i="16"/>
  <c r="N36" i="16" s="1"/>
  <c r="M15" i="16"/>
  <c r="N37" i="16" s="1"/>
  <c r="N15" i="16"/>
  <c r="O15" i="16"/>
  <c r="Q15" i="16" s="1"/>
  <c r="P15" i="16"/>
  <c r="K7" i="16"/>
  <c r="F35" i="16" s="1"/>
  <c r="K8" i="16"/>
  <c r="G35" i="16" s="1"/>
  <c r="K9" i="16"/>
  <c r="H35" i="16" s="1"/>
  <c r="K10" i="16"/>
  <c r="I35" i="16" s="1"/>
  <c r="K11" i="16"/>
  <c r="J35" i="16" s="1"/>
  <c r="K12" i="16"/>
  <c r="K35" i="16" s="1"/>
  <c r="K13" i="16"/>
  <c r="L35" i="16" s="1"/>
  <c r="K14" i="16"/>
  <c r="M35" i="16" s="1"/>
  <c r="K15" i="16"/>
  <c r="N35" i="16" s="1"/>
  <c r="K4" i="16"/>
  <c r="C35" i="16" s="1"/>
  <c r="C22" i="16"/>
  <c r="C25" i="16"/>
  <c r="C16" i="16"/>
  <c r="C13" i="16"/>
  <c r="C6" i="20"/>
  <c r="C6" i="18" s="1"/>
  <c r="C7" i="20"/>
  <c r="L16" i="20"/>
  <c r="L16" i="16" s="1"/>
  <c r="M16" i="20"/>
  <c r="M16" i="16" s="1"/>
  <c r="O16" i="20"/>
  <c r="O16" i="16" s="1"/>
  <c r="Q16" i="18" s="1"/>
  <c r="P16" i="20"/>
  <c r="P16" i="16" s="1"/>
  <c r="K16" i="20"/>
  <c r="K16" i="16" s="1"/>
  <c r="C7" i="19" l="1"/>
  <c r="G9" i="20"/>
  <c r="G9" i="19" s="1"/>
  <c r="E6" i="18"/>
  <c r="E6" i="10"/>
  <c r="I32" i="19"/>
  <c r="N31" i="11" s="1"/>
  <c r="N83" i="11" s="1"/>
  <c r="H32" i="19"/>
  <c r="M31" i="11" s="1"/>
  <c r="M83" i="11" s="1"/>
  <c r="N16" i="11"/>
  <c r="N16" i="10"/>
  <c r="N16" i="18"/>
  <c r="Q15" i="10"/>
  <c r="Q14" i="10"/>
  <c r="Q13" i="10"/>
  <c r="Q12" i="10"/>
  <c r="Q15" i="11"/>
  <c r="Q14" i="11"/>
  <c r="Q13" i="11"/>
  <c r="Q12" i="11"/>
  <c r="Q15" i="19"/>
  <c r="Q14" i="19"/>
  <c r="Q13" i="19"/>
  <c r="Q12" i="19"/>
  <c r="Q15" i="18"/>
  <c r="Q14" i="18"/>
  <c r="Q13" i="18"/>
  <c r="Q12" i="18"/>
  <c r="Q16" i="10"/>
  <c r="Q16" i="11"/>
  <c r="Q16" i="19"/>
  <c r="C5" i="18"/>
  <c r="C7" i="11"/>
  <c r="E4" i="11"/>
  <c r="E5" i="11"/>
  <c r="E6" i="11"/>
  <c r="E7" i="11"/>
  <c r="E8" i="11"/>
  <c r="E9" i="11"/>
  <c r="C6" i="19"/>
  <c r="E4" i="10"/>
  <c r="E8" i="10"/>
  <c r="E4" i="18"/>
  <c r="C5" i="11"/>
  <c r="C7" i="18"/>
  <c r="C6" i="11"/>
  <c r="E8" i="18"/>
  <c r="E4" i="19"/>
  <c r="E5" i="19"/>
  <c r="E6" i="19"/>
  <c r="E8" i="19"/>
  <c r="Q7" i="10"/>
  <c r="Q6" i="11"/>
  <c r="Q4" i="19"/>
  <c r="Q8" i="19"/>
  <c r="Q7" i="18"/>
  <c r="Q4" i="10"/>
  <c r="Q8" i="10"/>
  <c r="Q7" i="11"/>
  <c r="Q5" i="19"/>
  <c r="Q9" i="19"/>
  <c r="Q10" i="19"/>
  <c r="Q11" i="19"/>
  <c r="Q4" i="18"/>
  <c r="Q8" i="18"/>
  <c r="Q5" i="10"/>
  <c r="Q9" i="10"/>
  <c r="Q10" i="10"/>
  <c r="Q11" i="10"/>
  <c r="Q4" i="11"/>
  <c r="Q8" i="11"/>
  <c r="Q6" i="19"/>
  <c r="Q5" i="18"/>
  <c r="Q9" i="18"/>
  <c r="Q10" i="18"/>
  <c r="Q11" i="18"/>
  <c r="Q6" i="10"/>
  <c r="Q5" i="11"/>
  <c r="Q9" i="11"/>
  <c r="Q10" i="11"/>
  <c r="Q11" i="11"/>
  <c r="Q7" i="19"/>
  <c r="Q6" i="18"/>
  <c r="G7" i="20"/>
  <c r="G4" i="16"/>
  <c r="G4" i="20" s="1"/>
  <c r="K38" i="16"/>
  <c r="G38" i="16"/>
  <c r="G5" i="20"/>
  <c r="N16" i="16"/>
  <c r="J38" i="16"/>
  <c r="F38" i="16"/>
  <c r="I38" i="16"/>
  <c r="E38" i="16"/>
  <c r="D38" i="16"/>
  <c r="N38" i="16"/>
  <c r="M38" i="16"/>
  <c r="L38" i="16"/>
  <c r="H38" i="16"/>
  <c r="C38" i="16"/>
  <c r="G33" i="16"/>
  <c r="G39" i="16" s="1"/>
  <c r="O36" i="16"/>
  <c r="O37" i="16"/>
  <c r="O35" i="16"/>
  <c r="G9" i="10" l="1"/>
  <c r="G9" i="16"/>
  <c r="G9" i="11"/>
  <c r="G9" i="18"/>
  <c r="G4" i="18"/>
  <c r="G4" i="10"/>
  <c r="G4" i="19"/>
  <c r="G4" i="11"/>
  <c r="G5" i="16"/>
  <c r="G5" i="19"/>
  <c r="G5" i="11"/>
  <c r="G5" i="18"/>
  <c r="G5" i="10"/>
  <c r="G7" i="16"/>
  <c r="G7" i="11"/>
  <c r="G7" i="19"/>
  <c r="G7" i="18"/>
  <c r="G7" i="10"/>
  <c r="O40" i="16"/>
  <c r="C33" i="16"/>
  <c r="C39" i="16" s="1"/>
  <c r="Q38" i="10" l="1"/>
  <c r="S38" i="10" s="1"/>
  <c r="Q79" i="10"/>
  <c r="S79" i="10" s="1"/>
  <c r="Q62" i="10"/>
  <c r="S62" i="10" s="1"/>
  <c r="Q51" i="10"/>
  <c r="S51" i="10" s="1"/>
  <c r="Q60" i="10"/>
  <c r="S60" i="10" s="1"/>
  <c r="Q72" i="10"/>
  <c r="S72" i="10" s="1"/>
  <c r="Q37" i="10"/>
  <c r="S37" i="10" s="1"/>
  <c r="Q67" i="10"/>
  <c r="S67" i="10" s="1"/>
  <c r="Q74" i="10"/>
  <c r="S74" i="10" s="1"/>
  <c r="Q57" i="10"/>
  <c r="S57" i="10" s="1"/>
  <c r="Q40" i="10"/>
  <c r="S40" i="10" s="1"/>
  <c r="Q42" i="10"/>
  <c r="S42" i="10" s="1"/>
  <c r="Q73" i="10"/>
  <c r="S73" i="10" s="1"/>
  <c r="Q56" i="10"/>
  <c r="S56" i="10" s="1"/>
  <c r="Q39" i="10"/>
  <c r="S39" i="10" s="1"/>
  <c r="Q64" i="10"/>
  <c r="S64" i="10" s="1"/>
  <c r="Q58" i="10"/>
  <c r="S58" i="10" s="1"/>
  <c r="Q81" i="10"/>
  <c r="S81" i="10" s="1"/>
  <c r="Q80" i="10"/>
  <c r="S80" i="10" s="1"/>
  <c r="Q54" i="10"/>
  <c r="S54" i="10" s="1"/>
  <c r="Q70" i="10"/>
  <c r="S70" i="10" s="1"/>
  <c r="Q53" i="10"/>
  <c r="S53" i="10" s="1"/>
  <c r="Q36" i="10"/>
  <c r="S36" i="10" s="1"/>
  <c r="Q63" i="10"/>
  <c r="S63" i="10" s="1"/>
  <c r="Q69" i="10"/>
  <c r="S69" i="10" s="1"/>
  <c r="Q52" i="10"/>
  <c r="S52" i="10" s="1"/>
  <c r="Q35" i="10"/>
  <c r="S35" i="10" s="1"/>
  <c r="Q55" i="10"/>
  <c r="S55" i="10" s="1"/>
  <c r="Q50" i="10"/>
  <c r="S50" i="10" s="1"/>
  <c r="Q71" i="10"/>
  <c r="S71" i="10" s="1"/>
  <c r="Q78" i="10"/>
  <c r="S78" i="10" s="1"/>
  <c r="Q43" i="10"/>
  <c r="S43" i="10" s="1"/>
  <c r="Q34" i="10"/>
  <c r="S34" i="10" s="1"/>
  <c r="Q59" i="10"/>
  <c r="S59" i="10" s="1"/>
  <c r="Q76" i="10"/>
  <c r="S76" i="10" s="1"/>
  <c r="Q41" i="10"/>
  <c r="S41" i="10" s="1"/>
  <c r="Q66" i="10"/>
  <c r="S66" i="10" s="1"/>
  <c r="Q49" i="10"/>
  <c r="S49" i="10" s="1"/>
  <c r="Q68" i="10"/>
  <c r="S68" i="10" s="1"/>
  <c r="Q45" i="10"/>
  <c r="S45" i="10" s="1"/>
  <c r="Q65" i="10"/>
  <c r="S65" i="10" s="1"/>
  <c r="Q48" i="10"/>
  <c r="S48" i="10" s="1"/>
  <c r="Q77" i="10"/>
  <c r="S77" i="10" s="1"/>
  <c r="Q46" i="10"/>
  <c r="S46" i="10" s="1"/>
  <c r="Q44" i="10"/>
  <c r="S44" i="10" s="1"/>
  <c r="N33" i="16"/>
  <c r="N39" i="16" s="1"/>
  <c r="M33" i="16"/>
  <c r="M39" i="16" s="1"/>
  <c r="L33" i="16"/>
  <c r="L39" i="16" s="1"/>
  <c r="K33" i="16"/>
  <c r="K39" i="16" s="1"/>
  <c r="J33" i="16"/>
  <c r="J39" i="16" s="1"/>
  <c r="I33" i="16"/>
  <c r="I39" i="16" s="1"/>
  <c r="H33" i="16"/>
  <c r="H39" i="16" s="1"/>
  <c r="F33" i="16"/>
  <c r="F39" i="16" s="1"/>
  <c r="E33" i="16"/>
  <c r="E39" i="16" s="1"/>
  <c r="D33" i="16"/>
  <c r="D39" i="16" s="1"/>
  <c r="E34" i="18" l="1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C14" i="20"/>
  <c r="C18" i="20"/>
  <c r="C19" i="20"/>
  <c r="C15" i="20"/>
  <c r="C81" i="18" l="1"/>
  <c r="C79" i="18"/>
  <c r="C77" i="18"/>
  <c r="C74" i="18"/>
  <c r="C80" i="18"/>
  <c r="C78" i="18"/>
  <c r="C76" i="18"/>
  <c r="C73" i="18"/>
  <c r="C71" i="18"/>
  <c r="C72" i="18"/>
  <c r="C70" i="18"/>
  <c r="C68" i="18"/>
  <c r="C66" i="18"/>
  <c r="C64" i="18"/>
  <c r="C62" i="18"/>
  <c r="C59" i="18"/>
  <c r="C57" i="18"/>
  <c r="C55" i="18"/>
  <c r="C53" i="18"/>
  <c r="C51" i="18"/>
  <c r="C49" i="18"/>
  <c r="C46" i="18"/>
  <c r="C44" i="18"/>
  <c r="C42" i="18"/>
  <c r="C40" i="18"/>
  <c r="C38" i="18"/>
  <c r="C36" i="18"/>
  <c r="C34" i="18"/>
  <c r="C69" i="18"/>
  <c r="C67" i="18"/>
  <c r="C65" i="18"/>
  <c r="C63" i="18"/>
  <c r="C60" i="18"/>
  <c r="C58" i="18"/>
  <c r="C56" i="18"/>
  <c r="C54" i="18"/>
  <c r="C52" i="18"/>
  <c r="C50" i="18"/>
  <c r="C48" i="18"/>
  <c r="C45" i="18"/>
  <c r="C43" i="18"/>
  <c r="C41" i="18"/>
  <c r="C39" i="18"/>
  <c r="C37" i="18"/>
  <c r="C35" i="18"/>
  <c r="C15" i="18"/>
  <c r="C15" i="10"/>
  <c r="C15" i="11"/>
  <c r="C15" i="19"/>
  <c r="C19" i="16"/>
  <c r="C19" i="18"/>
  <c r="C19" i="10"/>
  <c r="C19" i="11"/>
  <c r="C19" i="19"/>
  <c r="C18" i="16"/>
  <c r="C18" i="19"/>
  <c r="C18" i="18"/>
  <c r="I34" i="18" s="1"/>
  <c r="C18" i="10"/>
  <c r="C18" i="11"/>
  <c r="C14" i="16"/>
  <c r="C14" i="19"/>
  <c r="C14" i="18"/>
  <c r="C14" i="10"/>
  <c r="C14" i="11"/>
  <c r="C15" i="16"/>
  <c r="C82" i="18" l="1"/>
  <c r="C75" i="18"/>
  <c r="C61" i="18"/>
  <c r="N81" i="19"/>
  <c r="O81" i="19" s="1"/>
  <c r="N77" i="19"/>
  <c r="O77" i="19" s="1"/>
  <c r="N68" i="19"/>
  <c r="O68" i="19" s="1"/>
  <c r="N59" i="19"/>
  <c r="O59" i="19" s="1"/>
  <c r="N51" i="19"/>
  <c r="O51" i="19" s="1"/>
  <c r="N38" i="19"/>
  <c r="O38" i="19" s="1"/>
  <c r="N80" i="19"/>
  <c r="O80" i="19" s="1"/>
  <c r="N76" i="19"/>
  <c r="O76" i="19" s="1"/>
  <c r="N71" i="19"/>
  <c r="O71" i="19" s="1"/>
  <c r="N67" i="19"/>
  <c r="O67" i="19" s="1"/>
  <c r="N63" i="19"/>
  <c r="O63" i="19" s="1"/>
  <c r="N58" i="19"/>
  <c r="O58" i="19" s="1"/>
  <c r="N54" i="19"/>
  <c r="O54" i="19" s="1"/>
  <c r="N50" i="19"/>
  <c r="O50" i="19" s="1"/>
  <c r="N45" i="19"/>
  <c r="O45" i="19" s="1"/>
  <c r="N41" i="19"/>
  <c r="O41" i="19" s="1"/>
  <c r="N37" i="19"/>
  <c r="O37" i="19" s="1"/>
  <c r="N79" i="19"/>
  <c r="O79" i="19" s="1"/>
  <c r="N74" i="19"/>
  <c r="O74" i="19" s="1"/>
  <c r="N70" i="19"/>
  <c r="O70" i="19" s="1"/>
  <c r="N66" i="19"/>
  <c r="O66" i="19" s="1"/>
  <c r="N62" i="19"/>
  <c r="O62" i="19" s="1"/>
  <c r="N57" i="19"/>
  <c r="O57" i="19" s="1"/>
  <c r="N53" i="19"/>
  <c r="O53" i="19" s="1"/>
  <c r="N49" i="19"/>
  <c r="O49" i="19" s="1"/>
  <c r="N44" i="19"/>
  <c r="O44" i="19" s="1"/>
  <c r="N40" i="19"/>
  <c r="O40" i="19" s="1"/>
  <c r="N36" i="19"/>
  <c r="O36" i="19" s="1"/>
  <c r="N78" i="19"/>
  <c r="O78" i="19" s="1"/>
  <c r="N73" i="19"/>
  <c r="O73" i="19" s="1"/>
  <c r="N69" i="19"/>
  <c r="O69" i="19" s="1"/>
  <c r="N65" i="19"/>
  <c r="O65" i="19" s="1"/>
  <c r="N60" i="19"/>
  <c r="O60" i="19" s="1"/>
  <c r="N56" i="19"/>
  <c r="O56" i="19" s="1"/>
  <c r="N52" i="19"/>
  <c r="O52" i="19" s="1"/>
  <c r="N48" i="19"/>
  <c r="O48" i="19" s="1"/>
  <c r="N43" i="19"/>
  <c r="O43" i="19" s="1"/>
  <c r="N39" i="19"/>
  <c r="O39" i="19" s="1"/>
  <c r="N35" i="19"/>
  <c r="O35" i="19" s="1"/>
  <c r="N72" i="19"/>
  <c r="O72" i="19" s="1"/>
  <c r="N64" i="19"/>
  <c r="O64" i="19" s="1"/>
  <c r="N55" i="19"/>
  <c r="O55" i="19" s="1"/>
  <c r="N46" i="19"/>
  <c r="O46" i="19" s="1"/>
  <c r="N42" i="19"/>
  <c r="O42" i="19" s="1"/>
  <c r="N34" i="19"/>
  <c r="O34" i="19" s="1"/>
  <c r="J34" i="18"/>
  <c r="I35" i="18"/>
  <c r="C17" i="16"/>
  <c r="C17" i="19"/>
  <c r="C17" i="18"/>
  <c r="C17" i="10"/>
  <c r="C17" i="11"/>
  <c r="C47" i="18"/>
  <c r="C7" i="10"/>
  <c r="C7" i="16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81" i="19"/>
  <c r="F80" i="19"/>
  <c r="F79" i="19"/>
  <c r="F78" i="19"/>
  <c r="F77" i="19"/>
  <c r="F76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J35" i="18" l="1"/>
  <c r="I36" i="18"/>
  <c r="L84" i="11"/>
  <c r="I84" i="11"/>
  <c r="F84" i="11"/>
  <c r="C84" i="11"/>
  <c r="L83" i="11"/>
  <c r="I83" i="11"/>
  <c r="F83" i="11"/>
  <c r="C83" i="11"/>
  <c r="K32" i="19"/>
  <c r="J32" i="19"/>
  <c r="I37" i="18" l="1"/>
  <c r="J36" i="18"/>
  <c r="B7" i="10"/>
  <c r="D32" i="18"/>
  <c r="D32" i="19"/>
  <c r="B7" i="16"/>
  <c r="B8" i="10"/>
  <c r="B8" i="16"/>
  <c r="B6" i="10"/>
  <c r="B5" i="16"/>
  <c r="B5" i="10"/>
  <c r="I38" i="18" l="1"/>
  <c r="J37" i="18"/>
  <c r="C6" i="16"/>
  <c r="C6" i="10"/>
  <c r="I39" i="18" l="1"/>
  <c r="J38" i="18"/>
  <c r="G6" i="16"/>
  <c r="G8" i="16"/>
  <c r="G8" i="20" s="1"/>
  <c r="G8" i="10" s="1"/>
  <c r="I40" i="18" l="1"/>
  <c r="J39" i="18"/>
  <c r="G8" i="18"/>
  <c r="G8" i="11"/>
  <c r="G8" i="19"/>
  <c r="B28" i="11"/>
  <c r="B82" i="18"/>
  <c r="B75" i="19"/>
  <c r="B61" i="19"/>
  <c r="B34" i="20"/>
  <c r="B35" i="20"/>
  <c r="B36" i="20"/>
  <c r="B37" i="20"/>
  <c r="B14" i="22" s="1"/>
  <c r="B69" i="22" s="1"/>
  <c r="B124" i="22" s="1"/>
  <c r="B179" i="22" s="1"/>
  <c r="B38" i="20"/>
  <c r="B39" i="20"/>
  <c r="B40" i="20"/>
  <c r="B17" i="22" s="1"/>
  <c r="B72" i="22" s="1"/>
  <c r="B127" i="22" s="1"/>
  <c r="B182" i="22" s="1"/>
  <c r="B41" i="20"/>
  <c r="B18" i="22" s="1"/>
  <c r="B73" i="22" s="1"/>
  <c r="B128" i="22" s="1"/>
  <c r="B183" i="22" s="1"/>
  <c r="B42" i="20"/>
  <c r="B43" i="20"/>
  <c r="B20" i="22" s="1"/>
  <c r="B75" i="22" s="1"/>
  <c r="B130" i="22" s="1"/>
  <c r="B185" i="22" s="1"/>
  <c r="B44" i="20"/>
  <c r="B45" i="20"/>
  <c r="B47" i="20"/>
  <c r="B48" i="20"/>
  <c r="B49" i="20"/>
  <c r="B26" i="22" s="1"/>
  <c r="B81" i="22" s="1"/>
  <c r="B136" i="22" s="1"/>
  <c r="B191" i="22" s="1"/>
  <c r="B50" i="20"/>
  <c r="B51" i="20"/>
  <c r="B52" i="20"/>
  <c r="B53" i="20"/>
  <c r="B54" i="20"/>
  <c r="B55" i="20"/>
  <c r="B56" i="20"/>
  <c r="B57" i="20"/>
  <c r="B34" i="22" s="1"/>
  <c r="B89" i="22" s="1"/>
  <c r="B144" i="22" s="1"/>
  <c r="B199" i="22" s="1"/>
  <c r="B58" i="20"/>
  <c r="B59" i="20"/>
  <c r="B61" i="20"/>
  <c r="B62" i="20"/>
  <c r="B63" i="10" s="1"/>
  <c r="B63" i="20"/>
  <c r="B78" i="16" s="1"/>
  <c r="B133" i="16" s="1"/>
  <c r="B64" i="20"/>
  <c r="B65" i="19" s="1"/>
  <c r="B65" i="20"/>
  <c r="B65" i="11" s="1"/>
  <c r="B66" i="20"/>
  <c r="B67" i="19" s="1"/>
  <c r="B67" i="20"/>
  <c r="B68" i="18" s="1"/>
  <c r="B68" i="20"/>
  <c r="B69" i="19" s="1"/>
  <c r="B69" i="20"/>
  <c r="B84" i="16" s="1"/>
  <c r="B139" i="16" s="1"/>
  <c r="B70" i="20"/>
  <c r="B71" i="10" s="1"/>
  <c r="B71" i="20"/>
  <c r="B86" i="16" s="1"/>
  <c r="B141" i="16" s="1"/>
  <c r="B72" i="20"/>
  <c r="B73" i="19" s="1"/>
  <c r="B73" i="20"/>
  <c r="B73" i="11" s="1"/>
  <c r="B75" i="20"/>
  <c r="B76" i="18" s="1"/>
  <c r="B76" i="20"/>
  <c r="B77" i="10" s="1"/>
  <c r="B77" i="20"/>
  <c r="B78" i="18" s="1"/>
  <c r="B78" i="20"/>
  <c r="B79" i="19" s="1"/>
  <c r="B79" i="20"/>
  <c r="B79" i="11" s="1"/>
  <c r="B80" i="20"/>
  <c r="B95" i="16" s="1"/>
  <c r="B150" i="16" s="1"/>
  <c r="B33" i="20"/>
  <c r="B10" i="22" s="1"/>
  <c r="B65" i="22" s="1"/>
  <c r="B120" i="22" s="1"/>
  <c r="B175" i="22" s="1"/>
  <c r="A1" i="16"/>
  <c r="A1" i="11"/>
  <c r="A1" i="20"/>
  <c r="E81" i="19"/>
  <c r="C81" i="19" s="1"/>
  <c r="E80" i="19"/>
  <c r="E79" i="19"/>
  <c r="C79" i="19" s="1"/>
  <c r="E78" i="19"/>
  <c r="C78" i="19" s="1"/>
  <c r="E77" i="19"/>
  <c r="C77" i="19" s="1"/>
  <c r="E76" i="19"/>
  <c r="C76" i="19" s="1"/>
  <c r="E74" i="19"/>
  <c r="C74" i="19" s="1"/>
  <c r="E73" i="19"/>
  <c r="C73" i="19" s="1"/>
  <c r="E72" i="19"/>
  <c r="E71" i="19"/>
  <c r="C71" i="19" s="1"/>
  <c r="E70" i="19"/>
  <c r="C70" i="19" s="1"/>
  <c r="E69" i="19"/>
  <c r="C69" i="19" s="1"/>
  <c r="E68" i="19"/>
  <c r="E67" i="19"/>
  <c r="E66" i="19"/>
  <c r="C66" i="19" s="1"/>
  <c r="E65" i="19"/>
  <c r="C65" i="19" s="1"/>
  <c r="E64" i="19"/>
  <c r="E63" i="19"/>
  <c r="C63" i="19" s="1"/>
  <c r="E62" i="19"/>
  <c r="C62" i="19" s="1"/>
  <c r="E60" i="19"/>
  <c r="C60" i="19" s="1"/>
  <c r="E59" i="19"/>
  <c r="E58" i="19"/>
  <c r="E57" i="19"/>
  <c r="C57" i="19" s="1"/>
  <c r="E56" i="19"/>
  <c r="C56" i="19" s="1"/>
  <c r="E55" i="19"/>
  <c r="E54" i="19"/>
  <c r="C54" i="19" s="1"/>
  <c r="E53" i="19"/>
  <c r="C53" i="19" s="1"/>
  <c r="E52" i="19"/>
  <c r="C52" i="19" s="1"/>
  <c r="E51" i="19"/>
  <c r="E50" i="19"/>
  <c r="C50" i="19" s="1"/>
  <c r="E49" i="19"/>
  <c r="C49" i="19" s="1"/>
  <c r="E48" i="19"/>
  <c r="C48" i="19" s="1"/>
  <c r="E46" i="19"/>
  <c r="C46" i="19" s="1"/>
  <c r="E45" i="19"/>
  <c r="C45" i="19" s="1"/>
  <c r="E44" i="19"/>
  <c r="E43" i="19"/>
  <c r="C43" i="19" s="1"/>
  <c r="E42" i="19"/>
  <c r="C42" i="19" s="1"/>
  <c r="E41" i="19"/>
  <c r="E40" i="19"/>
  <c r="C40" i="19" s="1"/>
  <c r="E39" i="19"/>
  <c r="C39" i="19" s="1"/>
  <c r="E38" i="19"/>
  <c r="C38" i="19" s="1"/>
  <c r="E37" i="19"/>
  <c r="C37" i="19" s="1"/>
  <c r="E36" i="19"/>
  <c r="C36" i="19" s="1"/>
  <c r="E35" i="19"/>
  <c r="C35" i="19" s="1"/>
  <c r="E34" i="19"/>
  <c r="C34" i="19" s="1"/>
  <c r="A1" i="19"/>
  <c r="A1" i="18"/>
  <c r="A1" i="10"/>
  <c r="G80" i="11"/>
  <c r="G77" i="11"/>
  <c r="G62" i="11"/>
  <c r="G59" i="11"/>
  <c r="G58" i="11"/>
  <c r="G56" i="11"/>
  <c r="G51" i="11"/>
  <c r="G47" i="11"/>
  <c r="F32" i="19"/>
  <c r="E32" i="19"/>
  <c r="H32" i="10"/>
  <c r="G32" i="10"/>
  <c r="F32" i="10"/>
  <c r="E32" i="10"/>
  <c r="F32" i="18"/>
  <c r="E32" i="18"/>
  <c r="H31" i="11"/>
  <c r="H83" i="11" s="1"/>
  <c r="K31" i="11"/>
  <c r="K83" i="11" s="1"/>
  <c r="D32" i="10"/>
  <c r="E31" i="11" s="1"/>
  <c r="E83" i="11" s="1"/>
  <c r="C32" i="18"/>
  <c r="G31" i="11" s="1"/>
  <c r="G83" i="11" s="1"/>
  <c r="C32" i="19"/>
  <c r="J31" i="11" s="1"/>
  <c r="J83" i="11" s="1"/>
  <c r="C32" i="10"/>
  <c r="D31" i="11" s="1"/>
  <c r="D83" i="11" s="1"/>
  <c r="H81" i="10"/>
  <c r="K81" i="19" s="1"/>
  <c r="G81" i="10"/>
  <c r="J81" i="19" s="1"/>
  <c r="F81" i="10"/>
  <c r="E81" i="10"/>
  <c r="H80" i="10"/>
  <c r="K80" i="19" s="1"/>
  <c r="G80" i="10"/>
  <c r="J80" i="19" s="1"/>
  <c r="F80" i="10"/>
  <c r="E80" i="10"/>
  <c r="H79" i="10"/>
  <c r="K79" i="19" s="1"/>
  <c r="G79" i="10"/>
  <c r="J79" i="19" s="1"/>
  <c r="F79" i="10"/>
  <c r="E79" i="10"/>
  <c r="H78" i="10"/>
  <c r="K78" i="19" s="1"/>
  <c r="G78" i="10"/>
  <c r="J78" i="19" s="1"/>
  <c r="F78" i="10"/>
  <c r="E78" i="10"/>
  <c r="H77" i="10"/>
  <c r="K77" i="19" s="1"/>
  <c r="G77" i="10"/>
  <c r="J77" i="19" s="1"/>
  <c r="F77" i="10"/>
  <c r="E77" i="10"/>
  <c r="H76" i="10"/>
  <c r="K76" i="19" s="1"/>
  <c r="G76" i="10"/>
  <c r="J76" i="19" s="1"/>
  <c r="F76" i="10"/>
  <c r="E76" i="10"/>
  <c r="H74" i="10"/>
  <c r="K74" i="19" s="1"/>
  <c r="G74" i="10"/>
  <c r="J74" i="19" s="1"/>
  <c r="E74" i="10"/>
  <c r="J74" i="10" s="1"/>
  <c r="H73" i="10"/>
  <c r="K73" i="19" s="1"/>
  <c r="G73" i="10"/>
  <c r="J73" i="19" s="1"/>
  <c r="E73" i="10"/>
  <c r="J73" i="10" s="1"/>
  <c r="H72" i="10"/>
  <c r="K72" i="19" s="1"/>
  <c r="G72" i="10"/>
  <c r="J72" i="19" s="1"/>
  <c r="E72" i="10"/>
  <c r="J72" i="10" s="1"/>
  <c r="H71" i="10"/>
  <c r="K71" i="19" s="1"/>
  <c r="G71" i="10"/>
  <c r="J71" i="19" s="1"/>
  <c r="E71" i="10"/>
  <c r="J71" i="10" s="1"/>
  <c r="H70" i="10"/>
  <c r="K70" i="19" s="1"/>
  <c r="G70" i="10"/>
  <c r="J70" i="19" s="1"/>
  <c r="E70" i="10"/>
  <c r="J70" i="10" s="1"/>
  <c r="H69" i="10"/>
  <c r="K69" i="19" s="1"/>
  <c r="G69" i="10"/>
  <c r="J69" i="19" s="1"/>
  <c r="E69" i="10"/>
  <c r="J69" i="10" s="1"/>
  <c r="H68" i="10"/>
  <c r="K68" i="19" s="1"/>
  <c r="G68" i="10"/>
  <c r="J68" i="19" s="1"/>
  <c r="E68" i="10"/>
  <c r="J68" i="10" s="1"/>
  <c r="H67" i="10"/>
  <c r="K67" i="19" s="1"/>
  <c r="G67" i="10"/>
  <c r="J67" i="19" s="1"/>
  <c r="E67" i="10"/>
  <c r="J67" i="10" s="1"/>
  <c r="H66" i="10"/>
  <c r="K66" i="19" s="1"/>
  <c r="G66" i="10"/>
  <c r="J66" i="19" s="1"/>
  <c r="E66" i="10"/>
  <c r="J66" i="10" s="1"/>
  <c r="H65" i="10"/>
  <c r="K65" i="19" s="1"/>
  <c r="G65" i="10"/>
  <c r="J65" i="19" s="1"/>
  <c r="E65" i="10"/>
  <c r="J65" i="10" s="1"/>
  <c r="H64" i="10"/>
  <c r="K64" i="19" s="1"/>
  <c r="G64" i="10"/>
  <c r="J64" i="19" s="1"/>
  <c r="E64" i="10"/>
  <c r="J64" i="10" s="1"/>
  <c r="H63" i="10"/>
  <c r="K63" i="19" s="1"/>
  <c r="G63" i="10"/>
  <c r="J63" i="19" s="1"/>
  <c r="E63" i="10"/>
  <c r="J63" i="10" s="1"/>
  <c r="H62" i="10"/>
  <c r="K62" i="19" s="1"/>
  <c r="G62" i="10"/>
  <c r="J62" i="19" s="1"/>
  <c r="E62" i="10"/>
  <c r="J62" i="10" s="1"/>
  <c r="H60" i="10"/>
  <c r="K60" i="19" s="1"/>
  <c r="G60" i="10"/>
  <c r="J60" i="19" s="1"/>
  <c r="E60" i="10"/>
  <c r="J60" i="10" s="1"/>
  <c r="H59" i="10"/>
  <c r="K59" i="19" s="1"/>
  <c r="G59" i="10"/>
  <c r="J59" i="19" s="1"/>
  <c r="E59" i="10"/>
  <c r="J59" i="10" s="1"/>
  <c r="H58" i="10"/>
  <c r="K58" i="19" s="1"/>
  <c r="G58" i="10"/>
  <c r="J58" i="19" s="1"/>
  <c r="E58" i="10"/>
  <c r="J58" i="10" s="1"/>
  <c r="H57" i="10"/>
  <c r="K57" i="19" s="1"/>
  <c r="G57" i="10"/>
  <c r="J57" i="19" s="1"/>
  <c r="E57" i="10"/>
  <c r="J57" i="10" s="1"/>
  <c r="H56" i="10"/>
  <c r="K56" i="19" s="1"/>
  <c r="G56" i="10"/>
  <c r="J56" i="19" s="1"/>
  <c r="E56" i="10"/>
  <c r="J56" i="10" s="1"/>
  <c r="H55" i="10"/>
  <c r="K55" i="19" s="1"/>
  <c r="G55" i="10"/>
  <c r="J55" i="19" s="1"/>
  <c r="E55" i="10"/>
  <c r="J55" i="10" s="1"/>
  <c r="H54" i="10"/>
  <c r="K54" i="19" s="1"/>
  <c r="G54" i="10"/>
  <c r="J54" i="19" s="1"/>
  <c r="E54" i="10"/>
  <c r="J54" i="10" s="1"/>
  <c r="H53" i="10"/>
  <c r="K53" i="19" s="1"/>
  <c r="G53" i="10"/>
  <c r="J53" i="19" s="1"/>
  <c r="E53" i="10"/>
  <c r="J53" i="10" s="1"/>
  <c r="H52" i="10"/>
  <c r="K52" i="19" s="1"/>
  <c r="G52" i="10"/>
  <c r="J52" i="19" s="1"/>
  <c r="E52" i="10"/>
  <c r="J52" i="10" s="1"/>
  <c r="H51" i="10"/>
  <c r="K51" i="19" s="1"/>
  <c r="G51" i="10"/>
  <c r="J51" i="19" s="1"/>
  <c r="E51" i="10"/>
  <c r="J51" i="10" s="1"/>
  <c r="H50" i="10"/>
  <c r="K50" i="19" s="1"/>
  <c r="G50" i="10"/>
  <c r="J50" i="19" s="1"/>
  <c r="E50" i="10"/>
  <c r="J50" i="10" s="1"/>
  <c r="H49" i="10"/>
  <c r="K49" i="19" s="1"/>
  <c r="G49" i="10"/>
  <c r="J49" i="19" s="1"/>
  <c r="E49" i="10"/>
  <c r="J49" i="10" s="1"/>
  <c r="H48" i="10"/>
  <c r="K48" i="19" s="1"/>
  <c r="G48" i="10"/>
  <c r="J48" i="19" s="1"/>
  <c r="E48" i="10"/>
  <c r="J48" i="10" s="1"/>
  <c r="H46" i="10"/>
  <c r="K46" i="19" s="1"/>
  <c r="G46" i="10"/>
  <c r="J46" i="19" s="1"/>
  <c r="E46" i="10"/>
  <c r="J46" i="10" s="1"/>
  <c r="H45" i="10"/>
  <c r="K45" i="19" s="1"/>
  <c r="G45" i="10"/>
  <c r="J45" i="19" s="1"/>
  <c r="E45" i="10"/>
  <c r="J45" i="10" s="1"/>
  <c r="H44" i="10"/>
  <c r="K44" i="19" s="1"/>
  <c r="G44" i="10"/>
  <c r="J44" i="19" s="1"/>
  <c r="E44" i="10"/>
  <c r="J44" i="10" s="1"/>
  <c r="H43" i="10"/>
  <c r="K43" i="19" s="1"/>
  <c r="G43" i="10"/>
  <c r="J43" i="19" s="1"/>
  <c r="E43" i="10"/>
  <c r="J43" i="10" s="1"/>
  <c r="H42" i="10"/>
  <c r="K42" i="19" s="1"/>
  <c r="G42" i="10"/>
  <c r="J42" i="19" s="1"/>
  <c r="E42" i="10"/>
  <c r="J42" i="10" s="1"/>
  <c r="H41" i="10"/>
  <c r="K41" i="19" s="1"/>
  <c r="G41" i="10"/>
  <c r="J41" i="19" s="1"/>
  <c r="E41" i="10"/>
  <c r="J41" i="10" s="1"/>
  <c r="H40" i="10"/>
  <c r="K40" i="19" s="1"/>
  <c r="G40" i="10"/>
  <c r="J40" i="19" s="1"/>
  <c r="E40" i="10"/>
  <c r="J40" i="10" s="1"/>
  <c r="H39" i="10"/>
  <c r="K39" i="19" s="1"/>
  <c r="G39" i="10"/>
  <c r="J39" i="19" s="1"/>
  <c r="E39" i="10"/>
  <c r="J39" i="10" s="1"/>
  <c r="H38" i="10"/>
  <c r="K38" i="19" s="1"/>
  <c r="G38" i="10"/>
  <c r="J38" i="19" s="1"/>
  <c r="E38" i="10"/>
  <c r="J38" i="10" s="1"/>
  <c r="H37" i="10"/>
  <c r="K37" i="19" s="1"/>
  <c r="G37" i="10"/>
  <c r="J37" i="19" s="1"/>
  <c r="E37" i="10"/>
  <c r="J37" i="10" s="1"/>
  <c r="H36" i="10"/>
  <c r="K36" i="19" s="1"/>
  <c r="G36" i="10"/>
  <c r="J36" i="19" s="1"/>
  <c r="E36" i="10"/>
  <c r="J36" i="10" s="1"/>
  <c r="H35" i="10"/>
  <c r="K35" i="19" s="1"/>
  <c r="G35" i="10"/>
  <c r="J35" i="19" s="1"/>
  <c r="E35" i="10"/>
  <c r="J35" i="10" s="1"/>
  <c r="H34" i="10"/>
  <c r="K34" i="19" s="1"/>
  <c r="G34" i="10"/>
  <c r="J34" i="19" s="1"/>
  <c r="F34" i="10"/>
  <c r="E34" i="10"/>
  <c r="K32" i="11"/>
  <c r="K84" i="11" s="1"/>
  <c r="J32" i="11"/>
  <c r="J84" i="11" s="1"/>
  <c r="C23" i="20"/>
  <c r="C21" i="20"/>
  <c r="K30" i="11"/>
  <c r="G30" i="11"/>
  <c r="J30" i="11" s="1"/>
  <c r="H32" i="11"/>
  <c r="H84" i="11" s="1"/>
  <c r="G32" i="11"/>
  <c r="G84" i="11" s="1"/>
  <c r="K80" i="11"/>
  <c r="K79" i="11"/>
  <c r="K78" i="11"/>
  <c r="G79" i="11"/>
  <c r="G78" i="11"/>
  <c r="G75" i="11"/>
  <c r="G72" i="11"/>
  <c r="G70" i="11"/>
  <c r="G68" i="11"/>
  <c r="G66" i="11"/>
  <c r="G64" i="11"/>
  <c r="G57" i="11"/>
  <c r="G54" i="11"/>
  <c r="G53" i="11"/>
  <c r="G49" i="11"/>
  <c r="G44" i="11"/>
  <c r="G42" i="11"/>
  <c r="G40" i="11"/>
  <c r="G38" i="11"/>
  <c r="G36" i="11"/>
  <c r="G34" i="11"/>
  <c r="G33" i="11"/>
  <c r="E32" i="11"/>
  <c r="E84" i="11" s="1"/>
  <c r="D32" i="11"/>
  <c r="D84" i="11" s="1"/>
  <c r="B31" i="11"/>
  <c r="B76" i="16" l="1"/>
  <c r="B131" i="16" s="1"/>
  <c r="B38" i="22"/>
  <c r="B93" i="22" s="1"/>
  <c r="B148" i="22" s="1"/>
  <c r="B203" i="22" s="1"/>
  <c r="B57" i="10"/>
  <c r="B33" i="22"/>
  <c r="B88" i="22" s="1"/>
  <c r="B143" i="22" s="1"/>
  <c r="B198" i="22" s="1"/>
  <c r="B67" i="16"/>
  <c r="B122" i="16" s="1"/>
  <c r="B29" i="22"/>
  <c r="B84" i="22" s="1"/>
  <c r="B139" i="22" s="1"/>
  <c r="B194" i="22" s="1"/>
  <c r="B49" i="10"/>
  <c r="B25" i="22"/>
  <c r="B80" i="22" s="1"/>
  <c r="B135" i="22" s="1"/>
  <c r="B190" i="22" s="1"/>
  <c r="B40" i="18"/>
  <c r="B16" i="22"/>
  <c r="B71" i="22" s="1"/>
  <c r="B126" i="22" s="1"/>
  <c r="B181" i="22" s="1"/>
  <c r="B50" i="16"/>
  <c r="B105" i="16" s="1"/>
  <c r="B12" i="22"/>
  <c r="B67" i="22" s="1"/>
  <c r="B122" i="22" s="1"/>
  <c r="B177" i="22" s="1"/>
  <c r="B59" i="11"/>
  <c r="B36" i="22"/>
  <c r="B91" i="22" s="1"/>
  <c r="B146" i="22" s="1"/>
  <c r="B201" i="22" s="1"/>
  <c r="B55" i="11"/>
  <c r="B32" i="22"/>
  <c r="B87" i="22" s="1"/>
  <c r="B142" i="22" s="1"/>
  <c r="B197" i="22" s="1"/>
  <c r="B51" i="11"/>
  <c r="B28" i="22"/>
  <c r="B83" i="22" s="1"/>
  <c r="B138" i="22" s="1"/>
  <c r="B193" i="22" s="1"/>
  <c r="B47" i="11"/>
  <c r="B24" i="22"/>
  <c r="B79" i="22" s="1"/>
  <c r="B134" i="22" s="1"/>
  <c r="B189" i="22" s="1"/>
  <c r="B43" i="10"/>
  <c r="B19" i="22"/>
  <c r="B74" i="22" s="1"/>
  <c r="B129" i="22" s="1"/>
  <c r="B184" i="22" s="1"/>
  <c r="B39" i="10"/>
  <c r="B15" i="22"/>
  <c r="B70" i="22" s="1"/>
  <c r="B125" i="22" s="1"/>
  <c r="B180" i="22" s="1"/>
  <c r="B35" i="10"/>
  <c r="B11" i="22"/>
  <c r="B66" i="22" s="1"/>
  <c r="B121" i="22" s="1"/>
  <c r="B176" i="22" s="1"/>
  <c r="B59" i="19"/>
  <c r="B35" i="22"/>
  <c r="B90" i="22" s="1"/>
  <c r="B145" i="22" s="1"/>
  <c r="B200" i="22" s="1"/>
  <c r="B69" i="16"/>
  <c r="B124" i="16" s="1"/>
  <c r="B31" i="22"/>
  <c r="B86" i="22" s="1"/>
  <c r="B141" i="22" s="1"/>
  <c r="B196" i="22" s="1"/>
  <c r="B51" i="19"/>
  <c r="B27" i="22"/>
  <c r="B82" i="22" s="1"/>
  <c r="B137" i="22" s="1"/>
  <c r="B192" i="22" s="1"/>
  <c r="B60" i="16"/>
  <c r="B115" i="16" s="1"/>
  <c r="B22" i="22"/>
  <c r="B77" i="22" s="1"/>
  <c r="B132" i="22" s="1"/>
  <c r="B187" i="22" s="1"/>
  <c r="B54" i="18"/>
  <c r="B30" i="22"/>
  <c r="B85" i="22" s="1"/>
  <c r="B140" i="22" s="1"/>
  <c r="B195" i="22" s="1"/>
  <c r="B45" i="19"/>
  <c r="B21" i="22"/>
  <c r="B76" i="22" s="1"/>
  <c r="B131" i="22" s="1"/>
  <c r="B186" i="22" s="1"/>
  <c r="B37" i="19"/>
  <c r="B13" i="22"/>
  <c r="B68" i="22" s="1"/>
  <c r="B123" i="22" s="1"/>
  <c r="B178" i="22" s="1"/>
  <c r="K42" i="10"/>
  <c r="L42" i="10" s="1"/>
  <c r="K46" i="10"/>
  <c r="L46" i="10" s="1"/>
  <c r="K51" i="10"/>
  <c r="L51" i="10" s="1"/>
  <c r="K55" i="10"/>
  <c r="L55" i="10" s="1"/>
  <c r="K59" i="10"/>
  <c r="L59" i="10" s="1"/>
  <c r="K49" i="10"/>
  <c r="L49" i="10" s="1"/>
  <c r="K53" i="10"/>
  <c r="L53" i="10" s="1"/>
  <c r="K57" i="10"/>
  <c r="L57" i="10" s="1"/>
  <c r="K35" i="10"/>
  <c r="L35" i="10" s="1"/>
  <c r="K39" i="10"/>
  <c r="L39" i="10" s="1"/>
  <c r="K43" i="10"/>
  <c r="L43" i="10" s="1"/>
  <c r="K48" i="10"/>
  <c r="L48" i="10" s="1"/>
  <c r="K52" i="10"/>
  <c r="L52" i="10" s="1"/>
  <c r="K56" i="10"/>
  <c r="L56" i="10" s="1"/>
  <c r="K60" i="10"/>
  <c r="L60" i="10" s="1"/>
  <c r="K37" i="10"/>
  <c r="L37" i="10" s="1"/>
  <c r="K41" i="10"/>
  <c r="L41" i="10" s="1"/>
  <c r="K45" i="10"/>
  <c r="L45" i="10" s="1"/>
  <c r="K50" i="10"/>
  <c r="L50" i="10" s="1"/>
  <c r="K54" i="10"/>
  <c r="L54" i="10" s="1"/>
  <c r="K58" i="10"/>
  <c r="L58" i="10" s="1"/>
  <c r="K36" i="10"/>
  <c r="L36" i="10" s="1"/>
  <c r="K40" i="10"/>
  <c r="L40" i="10" s="1"/>
  <c r="K44" i="10"/>
  <c r="L44" i="10" s="1"/>
  <c r="J76" i="10"/>
  <c r="K76" i="10" s="1"/>
  <c r="L76" i="10" s="1"/>
  <c r="J77" i="10"/>
  <c r="K77" i="10" s="1"/>
  <c r="L77" i="10" s="1"/>
  <c r="J78" i="10"/>
  <c r="K78" i="10" s="1"/>
  <c r="L78" i="10" s="1"/>
  <c r="J79" i="10"/>
  <c r="K79" i="10" s="1"/>
  <c r="L79" i="10" s="1"/>
  <c r="J80" i="10"/>
  <c r="K80" i="10" s="1"/>
  <c r="L80" i="10" s="1"/>
  <c r="J81" i="10"/>
  <c r="K81" i="10" s="1"/>
  <c r="L81" i="10" s="1"/>
  <c r="J34" i="10"/>
  <c r="K34" i="10" s="1"/>
  <c r="L34" i="10" s="1"/>
  <c r="K38" i="10"/>
  <c r="L38" i="10" s="1"/>
  <c r="H62" i="19"/>
  <c r="M61" i="11" s="1"/>
  <c r="O61" i="11" s="1"/>
  <c r="H66" i="19"/>
  <c r="M65" i="11" s="1"/>
  <c r="O65" i="11" s="1"/>
  <c r="H70" i="19"/>
  <c r="M69" i="11" s="1"/>
  <c r="O69" i="11" s="1"/>
  <c r="H74" i="19"/>
  <c r="M73" i="11" s="1"/>
  <c r="O73" i="11" s="1"/>
  <c r="H76" i="19"/>
  <c r="M75" i="11" s="1"/>
  <c r="H77" i="19"/>
  <c r="M76" i="11" s="1"/>
  <c r="O76" i="11" s="1"/>
  <c r="H78" i="19"/>
  <c r="M77" i="11" s="1"/>
  <c r="O77" i="11" s="1"/>
  <c r="H79" i="19"/>
  <c r="M78" i="11" s="1"/>
  <c r="O78" i="11" s="1"/>
  <c r="H36" i="19"/>
  <c r="M35" i="11" s="1"/>
  <c r="O35" i="11" s="1"/>
  <c r="H40" i="19"/>
  <c r="M39" i="11" s="1"/>
  <c r="O39" i="11" s="1"/>
  <c r="H44" i="19"/>
  <c r="M43" i="11" s="1"/>
  <c r="O43" i="11" s="1"/>
  <c r="H49" i="19"/>
  <c r="M48" i="11" s="1"/>
  <c r="O48" i="11" s="1"/>
  <c r="H53" i="19"/>
  <c r="M52" i="11" s="1"/>
  <c r="O52" i="11" s="1"/>
  <c r="H57" i="19"/>
  <c r="M56" i="11" s="1"/>
  <c r="O56" i="11" s="1"/>
  <c r="H80" i="19"/>
  <c r="M79" i="11" s="1"/>
  <c r="O79" i="11" s="1"/>
  <c r="H81" i="19"/>
  <c r="M80" i="11" s="1"/>
  <c r="O80" i="11" s="1"/>
  <c r="K63" i="10"/>
  <c r="L63" i="10" s="1"/>
  <c r="K67" i="10"/>
  <c r="L67" i="10" s="1"/>
  <c r="K71" i="10"/>
  <c r="L71" i="10" s="1"/>
  <c r="K64" i="10"/>
  <c r="L64" i="10" s="1"/>
  <c r="K68" i="10"/>
  <c r="L68" i="10" s="1"/>
  <c r="K72" i="10"/>
  <c r="L72" i="10" s="1"/>
  <c r="H48" i="19"/>
  <c r="H52" i="19"/>
  <c r="M51" i="11" s="1"/>
  <c r="O51" i="11" s="1"/>
  <c r="H60" i="19"/>
  <c r="M59" i="11" s="1"/>
  <c r="O59" i="11" s="1"/>
  <c r="H65" i="19"/>
  <c r="M64" i="11" s="1"/>
  <c r="O64" i="11" s="1"/>
  <c r="H69" i="19"/>
  <c r="M68" i="11" s="1"/>
  <c r="O68" i="11" s="1"/>
  <c r="H73" i="19"/>
  <c r="M72" i="11" s="1"/>
  <c r="O72" i="11" s="1"/>
  <c r="C41" i="19"/>
  <c r="J40" i="11" s="1"/>
  <c r="C58" i="19"/>
  <c r="J57" i="11" s="1"/>
  <c r="C67" i="19"/>
  <c r="J66" i="11" s="1"/>
  <c r="C80" i="19"/>
  <c r="C82" i="19" s="1"/>
  <c r="H39" i="19"/>
  <c r="M38" i="11" s="1"/>
  <c r="O38" i="11" s="1"/>
  <c r="H43" i="19"/>
  <c r="M42" i="11" s="1"/>
  <c r="O42" i="11" s="1"/>
  <c r="H56" i="19"/>
  <c r="M55" i="11" s="1"/>
  <c r="O55" i="11" s="1"/>
  <c r="H34" i="19"/>
  <c r="H38" i="19"/>
  <c r="M37" i="11" s="1"/>
  <c r="O37" i="11" s="1"/>
  <c r="H42" i="19"/>
  <c r="M41" i="11" s="1"/>
  <c r="O41" i="11" s="1"/>
  <c r="H46" i="19"/>
  <c r="M45" i="11" s="1"/>
  <c r="O45" i="11" s="1"/>
  <c r="H51" i="19"/>
  <c r="M50" i="11" s="1"/>
  <c r="O50" i="11" s="1"/>
  <c r="H55" i="19"/>
  <c r="M54" i="11" s="1"/>
  <c r="O54" i="11" s="1"/>
  <c r="H59" i="19"/>
  <c r="M58" i="11" s="1"/>
  <c r="O58" i="11" s="1"/>
  <c r="K62" i="10"/>
  <c r="L62" i="10" s="1"/>
  <c r="H64" i="19"/>
  <c r="M63" i="11" s="1"/>
  <c r="O63" i="11" s="1"/>
  <c r="K66" i="10"/>
  <c r="L66" i="10" s="1"/>
  <c r="H68" i="19"/>
  <c r="M67" i="11" s="1"/>
  <c r="O67" i="11" s="1"/>
  <c r="K70" i="10"/>
  <c r="L70" i="10" s="1"/>
  <c r="H72" i="19"/>
  <c r="M71" i="11" s="1"/>
  <c r="O71" i="11" s="1"/>
  <c r="K74" i="10"/>
  <c r="L74" i="10" s="1"/>
  <c r="C51" i="19"/>
  <c r="J50" i="11" s="1"/>
  <c r="C55" i="19"/>
  <c r="J54" i="11" s="1"/>
  <c r="C59" i="19"/>
  <c r="J58" i="11" s="1"/>
  <c r="C64" i="19"/>
  <c r="J63" i="11" s="1"/>
  <c r="C68" i="19"/>
  <c r="J67" i="11" s="1"/>
  <c r="C72" i="19"/>
  <c r="J71" i="11" s="1"/>
  <c r="H35" i="19"/>
  <c r="M34" i="11" s="1"/>
  <c r="O34" i="11" s="1"/>
  <c r="H37" i="19"/>
  <c r="M36" i="11" s="1"/>
  <c r="O36" i="11" s="1"/>
  <c r="H41" i="19"/>
  <c r="M40" i="11" s="1"/>
  <c r="O40" i="11" s="1"/>
  <c r="H45" i="19"/>
  <c r="M44" i="11" s="1"/>
  <c r="O44" i="11" s="1"/>
  <c r="H50" i="19"/>
  <c r="M49" i="11" s="1"/>
  <c r="O49" i="11" s="1"/>
  <c r="H54" i="19"/>
  <c r="M53" i="11" s="1"/>
  <c r="O53" i="11" s="1"/>
  <c r="H58" i="19"/>
  <c r="M57" i="11" s="1"/>
  <c r="O57" i="11" s="1"/>
  <c r="H63" i="19"/>
  <c r="K65" i="10"/>
  <c r="L65" i="10" s="1"/>
  <c r="H67" i="19"/>
  <c r="M66" i="11" s="1"/>
  <c r="O66" i="11" s="1"/>
  <c r="K69" i="10"/>
  <c r="L69" i="10" s="1"/>
  <c r="H71" i="19"/>
  <c r="M70" i="11" s="1"/>
  <c r="O70" i="11" s="1"/>
  <c r="K73" i="10"/>
  <c r="L73" i="10" s="1"/>
  <c r="C44" i="19"/>
  <c r="J43" i="11" s="1"/>
  <c r="I41" i="18"/>
  <c r="J40" i="18"/>
  <c r="C23" i="19"/>
  <c r="C23" i="18"/>
  <c r="C23" i="10"/>
  <c r="C23" i="11"/>
  <c r="C21" i="11"/>
  <c r="C21" i="19"/>
  <c r="C21" i="18"/>
  <c r="C21" i="10"/>
  <c r="C21" i="16"/>
  <c r="C23" i="16"/>
  <c r="K77" i="11"/>
  <c r="K71" i="11"/>
  <c r="K72" i="11"/>
  <c r="K66" i="11"/>
  <c r="K68" i="11"/>
  <c r="K70" i="11"/>
  <c r="K73" i="11"/>
  <c r="K69" i="11"/>
  <c r="K76" i="11"/>
  <c r="K48" i="11"/>
  <c r="K58" i="11"/>
  <c r="K59" i="11"/>
  <c r="K67" i="11"/>
  <c r="K52" i="11"/>
  <c r="K53" i="11"/>
  <c r="K57" i="11"/>
  <c r="K62" i="11"/>
  <c r="K64" i="11"/>
  <c r="K44" i="11"/>
  <c r="K45" i="11"/>
  <c r="K54" i="11"/>
  <c r="K55" i="11"/>
  <c r="K56" i="11"/>
  <c r="K63" i="11"/>
  <c r="K43" i="11"/>
  <c r="K49" i="11"/>
  <c r="K50" i="11"/>
  <c r="K51" i="11"/>
  <c r="K65" i="11"/>
  <c r="K38" i="11"/>
  <c r="K39" i="11"/>
  <c r="K40" i="11"/>
  <c r="K41" i="11"/>
  <c r="K42" i="11"/>
  <c r="K34" i="11"/>
  <c r="K36" i="11"/>
  <c r="K35" i="11"/>
  <c r="K37" i="11"/>
  <c r="G55" i="11"/>
  <c r="J39" i="11"/>
  <c r="G48" i="11"/>
  <c r="G50" i="11"/>
  <c r="G52" i="11"/>
  <c r="J51" i="11"/>
  <c r="G76" i="11"/>
  <c r="J35" i="11"/>
  <c r="J34" i="11"/>
  <c r="J47" i="11"/>
  <c r="J70" i="11"/>
  <c r="J49" i="11"/>
  <c r="B34" i="11"/>
  <c r="B48" i="18"/>
  <c r="B39" i="19"/>
  <c r="B81" i="11"/>
  <c r="B65" i="10"/>
  <c r="B56" i="18"/>
  <c r="B73" i="10"/>
  <c r="B33" i="11"/>
  <c r="B34" i="18"/>
  <c r="J42" i="11"/>
  <c r="J64" i="11"/>
  <c r="J75" i="11"/>
  <c r="J36" i="11"/>
  <c r="J44" i="11"/>
  <c r="J53" i="11"/>
  <c r="J59" i="11"/>
  <c r="J68" i="11"/>
  <c r="J77" i="11"/>
  <c r="G35" i="11"/>
  <c r="G37" i="11"/>
  <c r="G39" i="11"/>
  <c r="G41" i="11"/>
  <c r="G43" i="11"/>
  <c r="G45" i="11"/>
  <c r="G61" i="11"/>
  <c r="G63" i="11"/>
  <c r="G65" i="11"/>
  <c r="G67" i="11"/>
  <c r="G69" i="11"/>
  <c r="G71" i="11"/>
  <c r="G73" i="11"/>
  <c r="J38" i="11"/>
  <c r="J55" i="11"/>
  <c r="J62" i="11"/>
  <c r="J72" i="11"/>
  <c r="J37" i="11"/>
  <c r="J41" i="11"/>
  <c r="J45" i="11"/>
  <c r="J48" i="11"/>
  <c r="J52" i="11"/>
  <c r="J56" i="11"/>
  <c r="J61" i="11"/>
  <c r="J65" i="11"/>
  <c r="J69" i="11"/>
  <c r="J73" i="11"/>
  <c r="J76" i="11"/>
  <c r="J78" i="11"/>
  <c r="L78" i="11" s="1"/>
  <c r="J80" i="11"/>
  <c r="L80" i="11" s="1"/>
  <c r="B34" i="19"/>
  <c r="B34" i="10"/>
  <c r="B92" i="16"/>
  <c r="B147" i="16" s="1"/>
  <c r="B78" i="19"/>
  <c r="B78" i="10"/>
  <c r="B87" i="16"/>
  <c r="B142" i="16" s="1"/>
  <c r="B72" i="11"/>
  <c r="B73" i="18"/>
  <c r="B83" i="16"/>
  <c r="B138" i="16" s="1"/>
  <c r="B68" i="11"/>
  <c r="B69" i="18"/>
  <c r="B79" i="16"/>
  <c r="B134" i="16" s="1"/>
  <c r="B64" i="11"/>
  <c r="B65" i="18"/>
  <c r="B74" i="16"/>
  <c r="B129" i="16" s="1"/>
  <c r="B60" i="10"/>
  <c r="B60" i="19"/>
  <c r="B70" i="16"/>
  <c r="B125" i="16" s="1"/>
  <c r="B56" i="10"/>
  <c r="B56" i="19"/>
  <c r="B66" i="16"/>
  <c r="B121" i="16" s="1"/>
  <c r="B52" i="10"/>
  <c r="B52" i="19"/>
  <c r="B62" i="16"/>
  <c r="B117" i="16" s="1"/>
  <c r="B48" i="10"/>
  <c r="B48" i="19"/>
  <c r="B57" i="16"/>
  <c r="B112" i="16" s="1"/>
  <c r="B43" i="18"/>
  <c r="B42" i="11"/>
  <c r="B53" i="16"/>
  <c r="B108" i="16" s="1"/>
  <c r="B39" i="18"/>
  <c r="B38" i="11"/>
  <c r="B49" i="16"/>
  <c r="B104" i="16" s="1"/>
  <c r="B35" i="18"/>
  <c r="B82" i="19"/>
  <c r="B82" i="10"/>
  <c r="B37" i="11"/>
  <c r="B45" i="11"/>
  <c r="B53" i="11"/>
  <c r="B61" i="11"/>
  <c r="B69" i="11"/>
  <c r="B77" i="11"/>
  <c r="B37" i="10"/>
  <c r="B45" i="10"/>
  <c r="B53" i="10"/>
  <c r="B61" i="10"/>
  <c r="B69" i="10"/>
  <c r="B36" i="18"/>
  <c r="B44" i="18"/>
  <c r="B52" i="18"/>
  <c r="B60" i="18"/>
  <c r="B35" i="19"/>
  <c r="B43" i="19"/>
  <c r="B48" i="16"/>
  <c r="B103" i="16" s="1"/>
  <c r="B52" i="16"/>
  <c r="B107" i="16" s="1"/>
  <c r="B80" i="11"/>
  <c r="B81" i="18"/>
  <c r="B76" i="11"/>
  <c r="B77" i="18"/>
  <c r="B72" i="10"/>
  <c r="B72" i="19"/>
  <c r="B68" i="10"/>
  <c r="B68" i="19"/>
  <c r="B64" i="10"/>
  <c r="B64" i="19"/>
  <c r="B59" i="18"/>
  <c r="B58" i="11"/>
  <c r="B55" i="18"/>
  <c r="B54" i="11"/>
  <c r="B51" i="18"/>
  <c r="B50" i="11"/>
  <c r="B46" i="19"/>
  <c r="B46" i="10"/>
  <c r="B42" i="19"/>
  <c r="B42" i="10"/>
  <c r="B38" i="19"/>
  <c r="B38" i="10"/>
  <c r="B47" i="18"/>
  <c r="B46" i="11"/>
  <c r="B39" i="11"/>
  <c r="B63" i="11"/>
  <c r="B71" i="11"/>
  <c r="B47" i="10"/>
  <c r="B55" i="10"/>
  <c r="B79" i="10"/>
  <c r="B38" i="18"/>
  <c r="B46" i="18"/>
  <c r="B62" i="18"/>
  <c r="B70" i="18"/>
  <c r="B53" i="19"/>
  <c r="B77" i="19"/>
  <c r="B93" i="16"/>
  <c r="B148" i="16" s="1"/>
  <c r="B58" i="16"/>
  <c r="B113" i="16" s="1"/>
  <c r="B80" i="10"/>
  <c r="B94" i="16"/>
  <c r="B149" i="16" s="1"/>
  <c r="B80" i="19"/>
  <c r="B76" i="10"/>
  <c r="B90" i="16"/>
  <c r="B145" i="16" s="1"/>
  <c r="B76" i="19"/>
  <c r="B71" i="18"/>
  <c r="B85" i="16"/>
  <c r="B140" i="16" s="1"/>
  <c r="B70" i="11"/>
  <c r="B67" i="18"/>
  <c r="B81" i="16"/>
  <c r="B136" i="16" s="1"/>
  <c r="B66" i="11"/>
  <c r="B63" i="18"/>
  <c r="B77" i="16"/>
  <c r="B132" i="16" s="1"/>
  <c r="B62" i="11"/>
  <c r="B58" i="19"/>
  <c r="B72" i="16"/>
  <c r="B127" i="16" s="1"/>
  <c r="B58" i="10"/>
  <c r="B54" i="19"/>
  <c r="B68" i="16"/>
  <c r="B123" i="16" s="1"/>
  <c r="B54" i="10"/>
  <c r="B50" i="19"/>
  <c r="B64" i="16"/>
  <c r="B119" i="16" s="1"/>
  <c r="B50" i="10"/>
  <c r="B44" i="11"/>
  <c r="B59" i="16"/>
  <c r="B114" i="16" s="1"/>
  <c r="B45" i="18"/>
  <c r="B40" i="11"/>
  <c r="B55" i="16"/>
  <c r="B110" i="16" s="1"/>
  <c r="B41" i="18"/>
  <c r="B36" i="11"/>
  <c r="B51" i="16"/>
  <c r="B106" i="16" s="1"/>
  <c r="B37" i="18"/>
  <c r="B60" i="11"/>
  <c r="B61" i="18"/>
  <c r="B41" i="11"/>
  <c r="B49" i="11"/>
  <c r="B57" i="11"/>
  <c r="B41" i="10"/>
  <c r="B81" i="10"/>
  <c r="B64" i="18"/>
  <c r="B72" i="18"/>
  <c r="B80" i="18"/>
  <c r="B47" i="19"/>
  <c r="B55" i="19"/>
  <c r="B63" i="19"/>
  <c r="B71" i="19"/>
  <c r="B91" i="16"/>
  <c r="B146" i="16" s="1"/>
  <c r="B82" i="16"/>
  <c r="B137" i="16" s="1"/>
  <c r="B73" i="16"/>
  <c r="B128" i="16" s="1"/>
  <c r="B65" i="16"/>
  <c r="B120" i="16" s="1"/>
  <c r="B56" i="16"/>
  <c r="B111" i="16" s="1"/>
  <c r="B79" i="18"/>
  <c r="B78" i="11"/>
  <c r="B74" i="19"/>
  <c r="B74" i="10"/>
  <c r="B70" i="19"/>
  <c r="B70" i="10"/>
  <c r="B66" i="19"/>
  <c r="B66" i="10"/>
  <c r="B62" i="19"/>
  <c r="B62" i="10"/>
  <c r="B56" i="11"/>
  <c r="B57" i="18"/>
  <c r="B52" i="11"/>
  <c r="B53" i="18"/>
  <c r="B48" i="11"/>
  <c r="B49" i="18"/>
  <c r="B44" i="10"/>
  <c r="B44" i="19"/>
  <c r="B40" i="10"/>
  <c r="B40" i="19"/>
  <c r="B36" i="10"/>
  <c r="B36" i="19"/>
  <c r="B75" i="18"/>
  <c r="B74" i="11"/>
  <c r="B35" i="11"/>
  <c r="B43" i="11"/>
  <c r="B67" i="11"/>
  <c r="B75" i="11"/>
  <c r="B51" i="10"/>
  <c r="B59" i="10"/>
  <c r="B67" i="10"/>
  <c r="B75" i="10"/>
  <c r="B42" i="18"/>
  <c r="B50" i="18"/>
  <c r="B58" i="18"/>
  <c r="B66" i="18"/>
  <c r="B74" i="18"/>
  <c r="B41" i="19"/>
  <c r="B49" i="19"/>
  <c r="B57" i="19"/>
  <c r="B81" i="19"/>
  <c r="B88" i="16"/>
  <c r="B143" i="16" s="1"/>
  <c r="B80" i="16"/>
  <c r="B135" i="16" s="1"/>
  <c r="B71" i="16"/>
  <c r="B126" i="16" s="1"/>
  <c r="B63" i="16"/>
  <c r="B118" i="16" s="1"/>
  <c r="B54" i="16"/>
  <c r="B109" i="16" s="1"/>
  <c r="J33" i="11"/>
  <c r="K33" i="11"/>
  <c r="N95" i="16" l="1"/>
  <c r="J95" i="16"/>
  <c r="F95" i="16"/>
  <c r="N94" i="16"/>
  <c r="J94" i="16"/>
  <c r="F94" i="16"/>
  <c r="N93" i="16"/>
  <c r="J93" i="16"/>
  <c r="F93" i="16"/>
  <c r="N92" i="16"/>
  <c r="J92" i="16"/>
  <c r="F92" i="16"/>
  <c r="N91" i="16"/>
  <c r="J91" i="16"/>
  <c r="F91" i="16"/>
  <c r="N90" i="16"/>
  <c r="J90" i="16"/>
  <c r="F90" i="16"/>
  <c r="N88" i="16"/>
  <c r="J88" i="16"/>
  <c r="F88" i="16"/>
  <c r="N87" i="16"/>
  <c r="J87" i="16"/>
  <c r="F87" i="16"/>
  <c r="N86" i="16"/>
  <c r="J86" i="16"/>
  <c r="F86" i="16"/>
  <c r="N85" i="16"/>
  <c r="J85" i="16"/>
  <c r="F85" i="16"/>
  <c r="N84" i="16"/>
  <c r="J84" i="16"/>
  <c r="F84" i="16"/>
  <c r="N83" i="16"/>
  <c r="J83" i="16"/>
  <c r="F83" i="16"/>
  <c r="N82" i="16"/>
  <c r="J82" i="16"/>
  <c r="F82" i="16"/>
  <c r="N81" i="16"/>
  <c r="J81" i="16"/>
  <c r="F81" i="16"/>
  <c r="N80" i="16"/>
  <c r="J80" i="16"/>
  <c r="F80" i="16"/>
  <c r="N79" i="16"/>
  <c r="J79" i="16"/>
  <c r="F79" i="16"/>
  <c r="N78" i="16"/>
  <c r="J78" i="16"/>
  <c r="F78" i="16"/>
  <c r="N77" i="16"/>
  <c r="J77" i="16"/>
  <c r="F77" i="16"/>
  <c r="N76" i="16"/>
  <c r="J76" i="16"/>
  <c r="F76" i="16"/>
  <c r="N74" i="16"/>
  <c r="J74" i="16"/>
  <c r="F74" i="16"/>
  <c r="N73" i="16"/>
  <c r="J73" i="16"/>
  <c r="F73" i="16"/>
  <c r="N72" i="16"/>
  <c r="J72" i="16"/>
  <c r="F72" i="16"/>
  <c r="N71" i="16"/>
  <c r="J71" i="16"/>
  <c r="F71" i="16"/>
  <c r="N70" i="16"/>
  <c r="J70" i="16"/>
  <c r="F70" i="16"/>
  <c r="N69" i="16"/>
  <c r="J69" i="16"/>
  <c r="F69" i="16"/>
  <c r="N68" i="16"/>
  <c r="J68" i="16"/>
  <c r="F68" i="16"/>
  <c r="N67" i="16"/>
  <c r="J67" i="16"/>
  <c r="F67" i="16"/>
  <c r="N66" i="16"/>
  <c r="J66" i="16"/>
  <c r="F66" i="16"/>
  <c r="N65" i="16"/>
  <c r="M95" i="16"/>
  <c r="I95" i="16"/>
  <c r="E95" i="16"/>
  <c r="M94" i="16"/>
  <c r="L95" i="16"/>
  <c r="K95" i="16"/>
  <c r="G95" i="16"/>
  <c r="C95" i="16"/>
  <c r="K94" i="16"/>
  <c r="L94" i="16"/>
  <c r="E94" i="16"/>
  <c r="L93" i="16"/>
  <c r="G93" i="16"/>
  <c r="M92" i="16"/>
  <c r="H92" i="16"/>
  <c r="C92" i="16"/>
  <c r="I91" i="16"/>
  <c r="D91" i="16"/>
  <c r="K90" i="16"/>
  <c r="E90" i="16"/>
  <c r="L88" i="16"/>
  <c r="G88" i="16"/>
  <c r="M87" i="16"/>
  <c r="H87" i="16"/>
  <c r="C87" i="16"/>
  <c r="I86" i="16"/>
  <c r="D86" i="16"/>
  <c r="K85" i="16"/>
  <c r="E85" i="16"/>
  <c r="L84" i="16"/>
  <c r="G84" i="16"/>
  <c r="M83" i="16"/>
  <c r="H83" i="16"/>
  <c r="C83" i="16"/>
  <c r="I82" i="16"/>
  <c r="D82" i="16"/>
  <c r="K81" i="16"/>
  <c r="E81" i="16"/>
  <c r="L80" i="16"/>
  <c r="G80" i="16"/>
  <c r="M79" i="16"/>
  <c r="H79" i="16"/>
  <c r="C79" i="16"/>
  <c r="I78" i="16"/>
  <c r="D78" i="16"/>
  <c r="K77" i="16"/>
  <c r="E77" i="16"/>
  <c r="L76" i="16"/>
  <c r="G76" i="16"/>
  <c r="M74" i="16"/>
  <c r="H74" i="16"/>
  <c r="C74" i="16"/>
  <c r="I73" i="16"/>
  <c r="D73" i="16"/>
  <c r="K72" i="16"/>
  <c r="E72" i="16"/>
  <c r="L71" i="16"/>
  <c r="G71" i="16"/>
  <c r="M70" i="16"/>
  <c r="H70" i="16"/>
  <c r="C70" i="16"/>
  <c r="I69" i="16"/>
  <c r="D69" i="16"/>
  <c r="K68" i="16"/>
  <c r="E68" i="16"/>
  <c r="L67" i="16"/>
  <c r="G67" i="16"/>
  <c r="M66" i="16"/>
  <c r="H66" i="16"/>
  <c r="C66" i="16"/>
  <c r="J65" i="16"/>
  <c r="F65" i="16"/>
  <c r="N64" i="16"/>
  <c r="J64" i="16"/>
  <c r="F64" i="16"/>
  <c r="N63" i="16"/>
  <c r="J63" i="16"/>
  <c r="F63" i="16"/>
  <c r="N62" i="16"/>
  <c r="J62" i="16"/>
  <c r="F62" i="16"/>
  <c r="N60" i="16"/>
  <c r="J60" i="16"/>
  <c r="F60" i="16"/>
  <c r="N59" i="16"/>
  <c r="J59" i="16"/>
  <c r="F59" i="16"/>
  <c r="N58" i="16"/>
  <c r="J58" i="16"/>
  <c r="F58" i="16"/>
  <c r="N57" i="16"/>
  <c r="J57" i="16"/>
  <c r="F57" i="16"/>
  <c r="N56" i="16"/>
  <c r="H95" i="16"/>
  <c r="G94" i="16"/>
  <c r="K93" i="16"/>
  <c r="D93" i="16"/>
  <c r="I92" i="16"/>
  <c r="M91" i="16"/>
  <c r="G91" i="16"/>
  <c r="L90" i="16"/>
  <c r="D90" i="16"/>
  <c r="I88" i="16"/>
  <c r="C88" i="16"/>
  <c r="G87" i="16"/>
  <c r="L86" i="16"/>
  <c r="E86" i="16"/>
  <c r="I85" i="16"/>
  <c r="C85" i="16"/>
  <c r="H84" i="16"/>
  <c r="L83" i="16"/>
  <c r="E83" i="16"/>
  <c r="K82" i="16"/>
  <c r="C82" i="16"/>
  <c r="H81" i="16"/>
  <c r="M80" i="16"/>
  <c r="E80" i="16"/>
  <c r="K79" i="16"/>
  <c r="D79" i="16"/>
  <c r="H78" i="16"/>
  <c r="M77" i="16"/>
  <c r="G77" i="16"/>
  <c r="K76" i="16"/>
  <c r="D76" i="16"/>
  <c r="I74" i="16"/>
  <c r="M73" i="16"/>
  <c r="G73" i="16"/>
  <c r="L72" i="16"/>
  <c r="D72" i="16"/>
  <c r="I71" i="16"/>
  <c r="C71" i="16"/>
  <c r="G70" i="16"/>
  <c r="L69" i="16"/>
  <c r="E69" i="16"/>
  <c r="I68" i="16"/>
  <c r="C68" i="16"/>
  <c r="H67" i="16"/>
  <c r="L66" i="16"/>
  <c r="E65" i="16"/>
  <c r="L64" i="16"/>
  <c r="M63" i="16"/>
  <c r="I62" i="16"/>
  <c r="L59" i="16"/>
  <c r="I57" i="16"/>
  <c r="K55" i="16"/>
  <c r="G54" i="16"/>
  <c r="G53" i="16"/>
  <c r="K51" i="16"/>
  <c r="K50" i="16"/>
  <c r="K49" i="16"/>
  <c r="G48" i="16"/>
  <c r="D95" i="16"/>
  <c r="D94" i="16"/>
  <c r="I93" i="16"/>
  <c r="C93" i="16"/>
  <c r="G92" i="16"/>
  <c r="L91" i="16"/>
  <c r="E91" i="16"/>
  <c r="I90" i="16"/>
  <c r="C90" i="16"/>
  <c r="H88" i="16"/>
  <c r="L87" i="16"/>
  <c r="E87" i="16"/>
  <c r="K86" i="16"/>
  <c r="C86" i="16"/>
  <c r="H85" i="16"/>
  <c r="M84" i="16"/>
  <c r="E84" i="16"/>
  <c r="K83" i="16"/>
  <c r="D83" i="16"/>
  <c r="H82" i="16"/>
  <c r="M81" i="16"/>
  <c r="G81" i="16"/>
  <c r="K80" i="16"/>
  <c r="D80" i="16"/>
  <c r="I79" i="16"/>
  <c r="M78" i="16"/>
  <c r="G78" i="16"/>
  <c r="L77" i="16"/>
  <c r="D77" i="16"/>
  <c r="I76" i="16"/>
  <c r="C76" i="16"/>
  <c r="G74" i="16"/>
  <c r="L73" i="16"/>
  <c r="E73" i="16"/>
  <c r="I72" i="16"/>
  <c r="C72" i="16"/>
  <c r="H71" i="16"/>
  <c r="L70" i="16"/>
  <c r="E70" i="16"/>
  <c r="K69" i="16"/>
  <c r="C69" i="16"/>
  <c r="H68" i="16"/>
  <c r="M67" i="16"/>
  <c r="E67" i="16"/>
  <c r="K66" i="16"/>
  <c r="D66" i="16"/>
  <c r="I65" i="16"/>
  <c r="D65" i="16"/>
  <c r="K64" i="16"/>
  <c r="E64" i="16"/>
  <c r="L63" i="16"/>
  <c r="G63" i="16"/>
  <c r="M62" i="16"/>
  <c r="H62" i="16"/>
  <c r="C62" i="16"/>
  <c r="I60" i="16"/>
  <c r="D60" i="16"/>
  <c r="K59" i="16"/>
  <c r="E59" i="16"/>
  <c r="L58" i="16"/>
  <c r="G58" i="16"/>
  <c r="M57" i="16"/>
  <c r="H57" i="16"/>
  <c r="C57" i="16"/>
  <c r="J56" i="16"/>
  <c r="F56" i="16"/>
  <c r="J55" i="16"/>
  <c r="N54" i="16"/>
  <c r="I94" i="16"/>
  <c r="C94" i="16"/>
  <c r="H93" i="16"/>
  <c r="L92" i="16"/>
  <c r="E92" i="16"/>
  <c r="K91" i="16"/>
  <c r="C91" i="16"/>
  <c r="H90" i="16"/>
  <c r="M88" i="16"/>
  <c r="E88" i="16"/>
  <c r="K87" i="16"/>
  <c r="D87" i="16"/>
  <c r="H86" i="16"/>
  <c r="M85" i="16"/>
  <c r="G85" i="16"/>
  <c r="K84" i="16"/>
  <c r="D84" i="16"/>
  <c r="I83" i="16"/>
  <c r="M82" i="16"/>
  <c r="G82" i="16"/>
  <c r="L81" i="16"/>
  <c r="D81" i="16"/>
  <c r="I80" i="16"/>
  <c r="C80" i="16"/>
  <c r="G79" i="16"/>
  <c r="L78" i="16"/>
  <c r="E78" i="16"/>
  <c r="I77" i="16"/>
  <c r="C77" i="16"/>
  <c r="H76" i="16"/>
  <c r="L74" i="16"/>
  <c r="E74" i="16"/>
  <c r="K73" i="16"/>
  <c r="C73" i="16"/>
  <c r="H72" i="16"/>
  <c r="M71" i="16"/>
  <c r="E71" i="16"/>
  <c r="K70" i="16"/>
  <c r="D70" i="16"/>
  <c r="H69" i="16"/>
  <c r="M68" i="16"/>
  <c r="G68" i="16"/>
  <c r="K67" i="16"/>
  <c r="D67" i="16"/>
  <c r="I66" i="16"/>
  <c r="M65" i="16"/>
  <c r="H65" i="16"/>
  <c r="C65" i="16"/>
  <c r="I64" i="16"/>
  <c r="D64" i="16"/>
  <c r="K63" i="16"/>
  <c r="E63" i="16"/>
  <c r="L62" i="16"/>
  <c r="G62" i="16"/>
  <c r="M60" i="16"/>
  <c r="H60" i="16"/>
  <c r="C60" i="16"/>
  <c r="I59" i="16"/>
  <c r="D59" i="16"/>
  <c r="K58" i="16"/>
  <c r="E58" i="16"/>
  <c r="L57" i="16"/>
  <c r="G57" i="16"/>
  <c r="M56" i="16"/>
  <c r="I56" i="16"/>
  <c r="E56" i="16"/>
  <c r="M55" i="16"/>
  <c r="I55" i="16"/>
  <c r="E55" i="16"/>
  <c r="M54" i="16"/>
  <c r="I54" i="16"/>
  <c r="E54" i="16"/>
  <c r="M53" i="16"/>
  <c r="I53" i="16"/>
  <c r="E53" i="16"/>
  <c r="M52" i="16"/>
  <c r="I52" i="16"/>
  <c r="E52" i="16"/>
  <c r="M51" i="16"/>
  <c r="I51" i="16"/>
  <c r="E51" i="16"/>
  <c r="M50" i="16"/>
  <c r="I50" i="16"/>
  <c r="E50" i="16"/>
  <c r="M49" i="16"/>
  <c r="I49" i="16"/>
  <c r="E49" i="16"/>
  <c r="M48" i="16"/>
  <c r="I48" i="16"/>
  <c r="E48" i="16"/>
  <c r="H94" i="16"/>
  <c r="M93" i="16"/>
  <c r="E93" i="16"/>
  <c r="K92" i="16"/>
  <c r="D92" i="16"/>
  <c r="M90" i="16"/>
  <c r="G90" i="16"/>
  <c r="K88" i="16"/>
  <c r="D88" i="16"/>
  <c r="I87" i="16"/>
  <c r="M86" i="16"/>
  <c r="G86" i="16"/>
  <c r="L85" i="16"/>
  <c r="D85" i="16"/>
  <c r="I84" i="16"/>
  <c r="C84" i="16"/>
  <c r="G83" i="16"/>
  <c r="E82" i="16"/>
  <c r="I81" i="16"/>
  <c r="C81" i="16"/>
  <c r="H80" i="16"/>
  <c r="L79" i="16"/>
  <c r="K78" i="16"/>
  <c r="C78" i="16"/>
  <c r="H77" i="16"/>
  <c r="E76" i="16"/>
  <c r="D74" i="16"/>
  <c r="H73" i="16"/>
  <c r="G72" i="16"/>
  <c r="K71" i="16"/>
  <c r="I70" i="16"/>
  <c r="M69" i="16"/>
  <c r="L68" i="16"/>
  <c r="I67" i="16"/>
  <c r="C67" i="16"/>
  <c r="L65" i="16"/>
  <c r="G65" i="16"/>
  <c r="H64" i="16"/>
  <c r="C64" i="16"/>
  <c r="D63" i="16"/>
  <c r="K62" i="16"/>
  <c r="L60" i="16"/>
  <c r="M59" i="16"/>
  <c r="H59" i="16"/>
  <c r="I58" i="16"/>
  <c r="K57" i="16"/>
  <c r="E57" i="16"/>
  <c r="H56" i="16"/>
  <c r="D56" i="16"/>
  <c r="L55" i="16"/>
  <c r="D55" i="16"/>
  <c r="H54" i="16"/>
  <c r="L53" i="16"/>
  <c r="H53" i="16"/>
  <c r="L52" i="16"/>
  <c r="D52" i="16"/>
  <c r="H51" i="16"/>
  <c r="L50" i="16"/>
  <c r="H50" i="16"/>
  <c r="L49" i="16"/>
  <c r="D49" i="16"/>
  <c r="H48" i="16"/>
  <c r="D48" i="16"/>
  <c r="E66" i="16"/>
  <c r="G64" i="16"/>
  <c r="C63" i="16"/>
  <c r="K60" i="16"/>
  <c r="G59" i="16"/>
  <c r="H58" i="16"/>
  <c r="D57" i="16"/>
  <c r="G56" i="16"/>
  <c r="C55" i="16"/>
  <c r="C54" i="16"/>
  <c r="C53" i="16"/>
  <c r="G52" i="16"/>
  <c r="G51" i="16"/>
  <c r="G50" i="16"/>
  <c r="G49" i="16"/>
  <c r="K48" i="16"/>
  <c r="N55" i="16"/>
  <c r="H91" i="16"/>
  <c r="L82" i="16"/>
  <c r="E79" i="16"/>
  <c r="M76" i="16"/>
  <c r="K74" i="16"/>
  <c r="M72" i="16"/>
  <c r="D71" i="16"/>
  <c r="G69" i="16"/>
  <c r="D68" i="16"/>
  <c r="G66" i="16"/>
  <c r="M64" i="16"/>
  <c r="I63" i="16"/>
  <c r="E62" i="16"/>
  <c r="G60" i="16"/>
  <c r="C59" i="16"/>
  <c r="D58" i="16"/>
  <c r="L56" i="16"/>
  <c r="H55" i="16"/>
  <c r="L54" i="16"/>
  <c r="D54" i="16"/>
  <c r="D53" i="16"/>
  <c r="H52" i="16"/>
  <c r="L51" i="16"/>
  <c r="D51" i="16"/>
  <c r="D50" i="16"/>
  <c r="H49" i="16"/>
  <c r="L48" i="16"/>
  <c r="K65" i="16"/>
  <c r="H63" i="16"/>
  <c r="D62" i="16"/>
  <c r="E60" i="16"/>
  <c r="M58" i="16"/>
  <c r="C58" i="16"/>
  <c r="K56" i="16"/>
  <c r="C56" i="16"/>
  <c r="G55" i="16"/>
  <c r="K54" i="16"/>
  <c r="K53" i="16"/>
  <c r="K52" i="16"/>
  <c r="C52" i="16"/>
  <c r="C51" i="16"/>
  <c r="C50" i="16"/>
  <c r="C49" i="16"/>
  <c r="C48" i="16"/>
  <c r="F55" i="16"/>
  <c r="N53" i="16"/>
  <c r="J52" i="16"/>
  <c r="F51" i="16"/>
  <c r="N49" i="16"/>
  <c r="J48" i="16"/>
  <c r="J53" i="16"/>
  <c r="F52" i="16"/>
  <c r="N50" i="16"/>
  <c r="J49" i="16"/>
  <c r="F48" i="16"/>
  <c r="J54" i="16"/>
  <c r="F53" i="16"/>
  <c r="N51" i="16"/>
  <c r="J50" i="16"/>
  <c r="F49" i="16"/>
  <c r="F54" i="16"/>
  <c r="N52" i="16"/>
  <c r="J51" i="16"/>
  <c r="F50" i="16"/>
  <c r="N48" i="16"/>
  <c r="H82" i="19"/>
  <c r="M81" i="11" s="1"/>
  <c r="M73" i="10"/>
  <c r="C73" i="10" s="1"/>
  <c r="D72" i="11" s="1"/>
  <c r="M65" i="10"/>
  <c r="C65" i="10" s="1"/>
  <c r="D64" i="11" s="1"/>
  <c r="M68" i="10"/>
  <c r="C68" i="10" s="1"/>
  <c r="D67" i="11" s="1"/>
  <c r="M63" i="10"/>
  <c r="C63" i="10" s="1"/>
  <c r="D62" i="11" s="1"/>
  <c r="M38" i="10"/>
  <c r="C38" i="10" s="1"/>
  <c r="D37" i="11" s="1"/>
  <c r="M80" i="10"/>
  <c r="C80" i="10" s="1"/>
  <c r="D79" i="11" s="1"/>
  <c r="M76" i="10"/>
  <c r="C76" i="10" s="1"/>
  <c r="D75" i="11" s="1"/>
  <c r="M40" i="10"/>
  <c r="C40" i="10" s="1"/>
  <c r="D39" i="11" s="1"/>
  <c r="M50" i="10"/>
  <c r="C50" i="10" s="1"/>
  <c r="D49" i="11" s="1"/>
  <c r="M48" i="10"/>
  <c r="C48" i="10" s="1"/>
  <c r="D47" i="11" s="1"/>
  <c r="M57" i="10"/>
  <c r="C57" i="10" s="1"/>
  <c r="D56" i="11" s="1"/>
  <c r="M55" i="10"/>
  <c r="C55" i="10" s="1"/>
  <c r="D54" i="11" s="1"/>
  <c r="M70" i="10"/>
  <c r="C70" i="10" s="1"/>
  <c r="D69" i="11" s="1"/>
  <c r="M62" i="10"/>
  <c r="C62" i="10" s="1"/>
  <c r="D61" i="11" s="1"/>
  <c r="M64" i="10"/>
  <c r="C64" i="10" s="1"/>
  <c r="D63" i="11" s="1"/>
  <c r="M34" i="10"/>
  <c r="M79" i="10"/>
  <c r="C79" i="10" s="1"/>
  <c r="D78" i="11" s="1"/>
  <c r="M36" i="10"/>
  <c r="C36" i="10" s="1"/>
  <c r="D35" i="11" s="1"/>
  <c r="M45" i="10"/>
  <c r="C45" i="10" s="1"/>
  <c r="D44" i="11" s="1"/>
  <c r="M60" i="10"/>
  <c r="C60" i="10" s="1"/>
  <c r="D59" i="11" s="1"/>
  <c r="M43" i="10"/>
  <c r="C43" i="10" s="1"/>
  <c r="D42" i="11" s="1"/>
  <c r="M53" i="10"/>
  <c r="C53" i="10" s="1"/>
  <c r="D52" i="11" s="1"/>
  <c r="M51" i="10"/>
  <c r="C51" i="10" s="1"/>
  <c r="D50" i="11" s="1"/>
  <c r="M69" i="10"/>
  <c r="M71" i="10"/>
  <c r="C71" i="10" s="1"/>
  <c r="D70" i="11" s="1"/>
  <c r="M78" i="10"/>
  <c r="C78" i="10" s="1"/>
  <c r="D77" i="11" s="1"/>
  <c r="M58" i="10"/>
  <c r="C58" i="10" s="1"/>
  <c r="D57" i="11" s="1"/>
  <c r="M41" i="10"/>
  <c r="C41" i="10" s="1"/>
  <c r="D40" i="11" s="1"/>
  <c r="M56" i="10"/>
  <c r="C56" i="10" s="1"/>
  <c r="D55" i="11" s="1"/>
  <c r="M39" i="10"/>
  <c r="C39" i="10" s="1"/>
  <c r="D38" i="11" s="1"/>
  <c r="M49" i="10"/>
  <c r="C49" i="10" s="1"/>
  <c r="D48" i="11" s="1"/>
  <c r="M46" i="10"/>
  <c r="C46" i="10" s="1"/>
  <c r="D45" i="11" s="1"/>
  <c r="M74" i="10"/>
  <c r="C74" i="10" s="1"/>
  <c r="D73" i="11" s="1"/>
  <c r="M66" i="10"/>
  <c r="C66" i="10" s="1"/>
  <c r="D65" i="11" s="1"/>
  <c r="M72" i="10"/>
  <c r="C72" i="10" s="1"/>
  <c r="D71" i="11" s="1"/>
  <c r="M67" i="10"/>
  <c r="C67" i="10" s="1"/>
  <c r="D66" i="11" s="1"/>
  <c r="M81" i="10"/>
  <c r="C81" i="10" s="1"/>
  <c r="D80" i="11" s="1"/>
  <c r="M77" i="10"/>
  <c r="C77" i="10" s="1"/>
  <c r="D76" i="11" s="1"/>
  <c r="M44" i="10"/>
  <c r="C44" i="10" s="1"/>
  <c r="D43" i="11" s="1"/>
  <c r="M54" i="10"/>
  <c r="C54" i="10" s="1"/>
  <c r="D53" i="11" s="1"/>
  <c r="M37" i="10"/>
  <c r="C37" i="10" s="1"/>
  <c r="D36" i="11" s="1"/>
  <c r="M52" i="10"/>
  <c r="C52" i="10" s="1"/>
  <c r="D51" i="11" s="1"/>
  <c r="M35" i="10"/>
  <c r="C35" i="10" s="1"/>
  <c r="D34" i="11" s="1"/>
  <c r="M59" i="10"/>
  <c r="C59" i="10" s="1"/>
  <c r="D58" i="11" s="1"/>
  <c r="M42" i="10"/>
  <c r="C42" i="10" s="1"/>
  <c r="D41" i="11" s="1"/>
  <c r="L43" i="11"/>
  <c r="J79" i="11"/>
  <c r="L79" i="11" s="1"/>
  <c r="L71" i="11"/>
  <c r="L54" i="11"/>
  <c r="L67" i="11"/>
  <c r="O75" i="11"/>
  <c r="O87" i="11" s="1"/>
  <c r="L40" i="11"/>
  <c r="L63" i="11"/>
  <c r="L57" i="11"/>
  <c r="L66" i="11"/>
  <c r="I42" i="18"/>
  <c r="J41" i="18"/>
  <c r="H75" i="19"/>
  <c r="M74" i="11" s="1"/>
  <c r="M62" i="11"/>
  <c r="O62" i="11" s="1"/>
  <c r="O74" i="11" s="1"/>
  <c r="O81" i="11" s="1"/>
  <c r="L50" i="11"/>
  <c r="L58" i="11"/>
  <c r="D81" i="10"/>
  <c r="N81" i="10" s="1"/>
  <c r="D80" i="10"/>
  <c r="N80" i="10" s="1"/>
  <c r="D79" i="10"/>
  <c r="N79" i="10" s="1"/>
  <c r="D78" i="10"/>
  <c r="N78" i="10" s="1"/>
  <c r="D77" i="10"/>
  <c r="N77" i="10" s="1"/>
  <c r="D76" i="10"/>
  <c r="D37" i="10"/>
  <c r="N37" i="10" s="1"/>
  <c r="D36" i="10"/>
  <c r="N36" i="10" s="1"/>
  <c r="D34" i="10"/>
  <c r="N34" i="10" s="1"/>
  <c r="D63" i="10"/>
  <c r="N63" i="10" s="1"/>
  <c r="D64" i="10"/>
  <c r="N64" i="10" s="1"/>
  <c r="D65" i="10"/>
  <c r="N65" i="10" s="1"/>
  <c r="D66" i="10"/>
  <c r="N66" i="10" s="1"/>
  <c r="D67" i="10"/>
  <c r="N67" i="10" s="1"/>
  <c r="D68" i="10"/>
  <c r="N68" i="10" s="1"/>
  <c r="D69" i="10"/>
  <c r="N69" i="10" s="1"/>
  <c r="D70" i="10"/>
  <c r="N70" i="10" s="1"/>
  <c r="D71" i="10"/>
  <c r="N71" i="10" s="1"/>
  <c r="D72" i="10"/>
  <c r="N72" i="10" s="1"/>
  <c r="D73" i="10"/>
  <c r="N73" i="10" s="1"/>
  <c r="D74" i="10"/>
  <c r="N74" i="10" s="1"/>
  <c r="D62" i="10"/>
  <c r="N62" i="10" s="1"/>
  <c r="M33" i="11"/>
  <c r="H47" i="19"/>
  <c r="M46" i="11" s="1"/>
  <c r="M47" i="11"/>
  <c r="O47" i="11" s="1"/>
  <c r="O60" i="11" s="1"/>
  <c r="H61" i="19"/>
  <c r="M60" i="11" s="1"/>
  <c r="L49" i="11"/>
  <c r="L51" i="11"/>
  <c r="K46" i="11"/>
  <c r="L73" i="11"/>
  <c r="L68" i="11"/>
  <c r="L56" i="11"/>
  <c r="L44" i="11"/>
  <c r="L65" i="11"/>
  <c r="G60" i="11"/>
  <c r="L77" i="11"/>
  <c r="L76" i="11"/>
  <c r="L62" i="11"/>
  <c r="L70" i="11"/>
  <c r="L35" i="11"/>
  <c r="L72" i="11"/>
  <c r="L34" i="11"/>
  <c r="L48" i="11"/>
  <c r="L59" i="11"/>
  <c r="L36" i="11"/>
  <c r="L45" i="11"/>
  <c r="L53" i="11"/>
  <c r="L64" i="11"/>
  <c r="L39" i="11"/>
  <c r="L42" i="11"/>
  <c r="L52" i="11"/>
  <c r="L37" i="11"/>
  <c r="L38" i="11"/>
  <c r="K61" i="11"/>
  <c r="K74" i="11" s="1"/>
  <c r="K47" i="11"/>
  <c r="K60" i="11" s="1"/>
  <c r="K75" i="11"/>
  <c r="L75" i="11" s="1"/>
  <c r="G46" i="11"/>
  <c r="G74" i="11"/>
  <c r="G81" i="11" s="1"/>
  <c r="L69" i="11"/>
  <c r="J74" i="11"/>
  <c r="J81" i="11" s="1"/>
  <c r="L55" i="11"/>
  <c r="J60" i="11"/>
  <c r="L41" i="11"/>
  <c r="J46" i="11"/>
  <c r="G87" i="11"/>
  <c r="J87" i="11"/>
  <c r="G86" i="11"/>
  <c r="J86" i="11"/>
  <c r="L33" i="11"/>
  <c r="C75" i="19"/>
  <c r="C61" i="19"/>
  <c r="C47" i="19"/>
  <c r="C34" i="10" l="1"/>
  <c r="D33" i="11" s="1"/>
  <c r="O34" i="10"/>
  <c r="D40" i="10"/>
  <c r="N40" i="10" s="1"/>
  <c r="O40" i="10" s="1"/>
  <c r="D44" i="10"/>
  <c r="N44" i="10" s="1"/>
  <c r="O44" i="10" s="1"/>
  <c r="D49" i="10"/>
  <c r="N49" i="10" s="1"/>
  <c r="D53" i="10"/>
  <c r="N53" i="10" s="1"/>
  <c r="O53" i="10" s="1"/>
  <c r="D57" i="10"/>
  <c r="N57" i="10" s="1"/>
  <c r="O57" i="10" s="1"/>
  <c r="D35" i="10"/>
  <c r="N35" i="10" s="1"/>
  <c r="O35" i="10" s="1"/>
  <c r="D39" i="10"/>
  <c r="N39" i="10" s="1"/>
  <c r="D43" i="10"/>
  <c r="N43" i="10" s="1"/>
  <c r="D48" i="10"/>
  <c r="N48" i="10" s="1"/>
  <c r="O48" i="10" s="1"/>
  <c r="D52" i="10"/>
  <c r="N52" i="10" s="1"/>
  <c r="O52" i="10" s="1"/>
  <c r="D56" i="10"/>
  <c r="N56" i="10" s="1"/>
  <c r="D60" i="10"/>
  <c r="N60" i="10" s="1"/>
  <c r="O60" i="10" s="1"/>
  <c r="D38" i="10"/>
  <c r="N38" i="10" s="1"/>
  <c r="O38" i="10" s="1"/>
  <c r="D42" i="10"/>
  <c r="N42" i="10" s="1"/>
  <c r="O42" i="10" s="1"/>
  <c r="D46" i="10"/>
  <c r="N46" i="10" s="1"/>
  <c r="D51" i="10"/>
  <c r="N51" i="10" s="1"/>
  <c r="O51" i="10" s="1"/>
  <c r="D55" i="10"/>
  <c r="N55" i="10" s="1"/>
  <c r="O55" i="10" s="1"/>
  <c r="D59" i="10"/>
  <c r="N59" i="10" s="1"/>
  <c r="O59" i="10" s="1"/>
  <c r="D41" i="10"/>
  <c r="N41" i="10" s="1"/>
  <c r="O41" i="10" s="1"/>
  <c r="D45" i="10"/>
  <c r="N45" i="10" s="1"/>
  <c r="D50" i="10"/>
  <c r="N50" i="10" s="1"/>
  <c r="O50" i="10" s="1"/>
  <c r="D54" i="10"/>
  <c r="N54" i="10" s="1"/>
  <c r="O54" i="10" s="1"/>
  <c r="D58" i="10"/>
  <c r="N58" i="10" s="1"/>
  <c r="O58" i="10" s="1"/>
  <c r="O67" i="10"/>
  <c r="O62" i="10"/>
  <c r="O39" i="10"/>
  <c r="O69" i="10"/>
  <c r="C69" i="10"/>
  <c r="D68" i="11" s="1"/>
  <c r="O65" i="10"/>
  <c r="O36" i="10"/>
  <c r="O46" i="10"/>
  <c r="O78" i="10"/>
  <c r="O66" i="10"/>
  <c r="O77" i="10"/>
  <c r="O63" i="10"/>
  <c r="O80" i="10"/>
  <c r="O73" i="10"/>
  <c r="O74" i="10"/>
  <c r="O70" i="10"/>
  <c r="O37" i="10"/>
  <c r="O45" i="10"/>
  <c r="O81" i="10"/>
  <c r="O71" i="10"/>
  <c r="O49" i="10"/>
  <c r="O72" i="10"/>
  <c r="O68" i="10"/>
  <c r="O64" i="10"/>
  <c r="O43" i="10"/>
  <c r="O56" i="10"/>
  <c r="O79" i="10"/>
  <c r="N76" i="10"/>
  <c r="O76" i="10" s="1"/>
  <c r="D82" i="10"/>
  <c r="C82" i="10"/>
  <c r="O33" i="11"/>
  <c r="M86" i="11"/>
  <c r="M85" i="11"/>
  <c r="I43" i="18"/>
  <c r="J42" i="18"/>
  <c r="M87" i="11"/>
  <c r="M88" i="11"/>
  <c r="K87" i="11"/>
  <c r="K81" i="11"/>
  <c r="L46" i="11"/>
  <c r="K86" i="11"/>
  <c r="L61" i="11"/>
  <c r="L74" i="11" s="1"/>
  <c r="L81" i="11" s="1"/>
  <c r="L47" i="11"/>
  <c r="L60" i="11" s="1"/>
  <c r="D60" i="11"/>
  <c r="D46" i="11"/>
  <c r="D74" i="11"/>
  <c r="D81" i="11" s="1"/>
  <c r="J88" i="11"/>
  <c r="J85" i="11"/>
  <c r="D87" i="11"/>
  <c r="D86" i="11"/>
  <c r="C75" i="10"/>
  <c r="C47" i="10"/>
  <c r="C61" i="10"/>
  <c r="I44" i="18" l="1"/>
  <c r="J43" i="18"/>
  <c r="O86" i="11"/>
  <c r="O46" i="11"/>
  <c r="O88" i="11"/>
  <c r="O85" i="11"/>
  <c r="L86" i="11"/>
  <c r="L85" i="11"/>
  <c r="L87" i="11"/>
  <c r="L88" i="11"/>
  <c r="D85" i="11"/>
  <c r="G85" i="11"/>
  <c r="D88" i="11"/>
  <c r="G88" i="11"/>
  <c r="E80" i="11"/>
  <c r="F80" i="11" s="1"/>
  <c r="H80" i="11"/>
  <c r="I80" i="11" s="1"/>
  <c r="D61" i="19"/>
  <c r="D75" i="19"/>
  <c r="E33" i="11"/>
  <c r="D47" i="19"/>
  <c r="H33" i="11"/>
  <c r="I33" i="11" s="1"/>
  <c r="E77" i="11"/>
  <c r="F77" i="11" s="1"/>
  <c r="H77" i="11"/>
  <c r="I77" i="11" s="1"/>
  <c r="E72" i="11"/>
  <c r="F72" i="11" s="1"/>
  <c r="H72" i="11"/>
  <c r="I72" i="11" s="1"/>
  <c r="C72" i="11" s="1"/>
  <c r="E79" i="11"/>
  <c r="F79" i="11" s="1"/>
  <c r="H79" i="11"/>
  <c r="I79" i="11" s="1"/>
  <c r="E75" i="11"/>
  <c r="H75" i="11"/>
  <c r="E70" i="11"/>
  <c r="F70" i="11" s="1"/>
  <c r="H70" i="11"/>
  <c r="I70" i="11" s="1"/>
  <c r="C70" i="11" s="1"/>
  <c r="E66" i="11"/>
  <c r="F66" i="11" s="1"/>
  <c r="H66" i="11"/>
  <c r="I66" i="11" s="1"/>
  <c r="C66" i="11" s="1"/>
  <c r="E59" i="11"/>
  <c r="F59" i="11" s="1"/>
  <c r="H59" i="11"/>
  <c r="I59" i="11" s="1"/>
  <c r="E38" i="11"/>
  <c r="F38" i="11" s="1"/>
  <c r="H38" i="11"/>
  <c r="I38" i="11" s="1"/>
  <c r="E54" i="11"/>
  <c r="F54" i="11" s="1"/>
  <c r="H54" i="11"/>
  <c r="I54" i="11" s="1"/>
  <c r="E45" i="11"/>
  <c r="F45" i="11" s="1"/>
  <c r="H45" i="11"/>
  <c r="I45" i="11" s="1"/>
  <c r="E34" i="11"/>
  <c r="F34" i="11" s="1"/>
  <c r="H34" i="11"/>
  <c r="I34" i="11" s="1"/>
  <c r="E56" i="11"/>
  <c r="F56" i="11" s="1"/>
  <c r="H56" i="11"/>
  <c r="I56" i="11" s="1"/>
  <c r="E36" i="11"/>
  <c r="F36" i="11" s="1"/>
  <c r="H36" i="11"/>
  <c r="I36" i="11" s="1"/>
  <c r="E76" i="11"/>
  <c r="F76" i="11" s="1"/>
  <c r="H76" i="11"/>
  <c r="I76" i="11" s="1"/>
  <c r="E71" i="11"/>
  <c r="F71" i="11" s="1"/>
  <c r="H71" i="11"/>
  <c r="I71" i="11" s="1"/>
  <c r="C71" i="11" s="1"/>
  <c r="E67" i="11"/>
  <c r="F67" i="11" s="1"/>
  <c r="H67" i="11"/>
  <c r="I67" i="11" s="1"/>
  <c r="C67" i="11" s="1"/>
  <c r="E63" i="11"/>
  <c r="H63" i="11"/>
  <c r="I63" i="11" s="1"/>
  <c r="C63" i="11" s="1"/>
  <c r="E55" i="11"/>
  <c r="F55" i="11" s="1"/>
  <c r="H55" i="11"/>
  <c r="I55" i="11" s="1"/>
  <c r="E50" i="11"/>
  <c r="F50" i="11" s="1"/>
  <c r="H50" i="11"/>
  <c r="I50" i="11" s="1"/>
  <c r="H62" i="11"/>
  <c r="I62" i="11" s="1"/>
  <c r="C62" i="11" s="1"/>
  <c r="E42" i="11"/>
  <c r="F42" i="11" s="1"/>
  <c r="H42" i="11"/>
  <c r="I42" i="11" s="1"/>
  <c r="E52" i="11"/>
  <c r="F52" i="11" s="1"/>
  <c r="H52" i="11"/>
  <c r="I52" i="11" s="1"/>
  <c r="E48" i="11"/>
  <c r="F48" i="11" s="1"/>
  <c r="H48" i="11"/>
  <c r="I48" i="11" s="1"/>
  <c r="E49" i="11"/>
  <c r="F49" i="11" s="1"/>
  <c r="H49" i="11"/>
  <c r="I49" i="11" s="1"/>
  <c r="E43" i="11"/>
  <c r="F43" i="11" s="1"/>
  <c r="H43" i="11"/>
  <c r="I43" i="11" s="1"/>
  <c r="E64" i="11"/>
  <c r="F64" i="11" s="1"/>
  <c r="H64" i="11"/>
  <c r="I64" i="11" s="1"/>
  <c r="C64" i="11" s="1"/>
  <c r="E51" i="11"/>
  <c r="F51" i="11" s="1"/>
  <c r="H51" i="11"/>
  <c r="I51" i="11" s="1"/>
  <c r="E57" i="11"/>
  <c r="F57" i="11" s="1"/>
  <c r="H57" i="11"/>
  <c r="I57" i="11" s="1"/>
  <c r="E41" i="11"/>
  <c r="F41" i="11" s="1"/>
  <c r="H41" i="11"/>
  <c r="I41" i="11" s="1"/>
  <c r="E44" i="11"/>
  <c r="F44" i="11" s="1"/>
  <c r="H44" i="11"/>
  <c r="I44" i="11" s="1"/>
  <c r="E39" i="11"/>
  <c r="F39" i="11" s="1"/>
  <c r="H39" i="11"/>
  <c r="I39" i="11" s="1"/>
  <c r="E78" i="11"/>
  <c r="F78" i="11" s="1"/>
  <c r="H78" i="11"/>
  <c r="I78" i="11" s="1"/>
  <c r="E73" i="11"/>
  <c r="F73" i="11" s="1"/>
  <c r="H73" i="11"/>
  <c r="I73" i="11" s="1"/>
  <c r="C73" i="11" s="1"/>
  <c r="E69" i="11"/>
  <c r="F69" i="11" s="1"/>
  <c r="H69" i="11"/>
  <c r="I69" i="11" s="1"/>
  <c r="C69" i="11" s="1"/>
  <c r="E65" i="11"/>
  <c r="F65" i="11" s="1"/>
  <c r="H65" i="11"/>
  <c r="I65" i="11" s="1"/>
  <c r="C65" i="11" s="1"/>
  <c r="E58" i="11"/>
  <c r="F58" i="11" s="1"/>
  <c r="H58" i="11"/>
  <c r="I58" i="11" s="1"/>
  <c r="E53" i="11"/>
  <c r="F53" i="11" s="1"/>
  <c r="H53" i="11"/>
  <c r="I53" i="11" s="1"/>
  <c r="E47" i="11"/>
  <c r="H47" i="11"/>
  <c r="E61" i="11"/>
  <c r="H61" i="11"/>
  <c r="E40" i="11"/>
  <c r="F40" i="11" s="1"/>
  <c r="H40" i="11"/>
  <c r="I40" i="11" s="1"/>
  <c r="E35" i="11"/>
  <c r="F35" i="11" s="1"/>
  <c r="H35" i="11"/>
  <c r="I35" i="11" s="1"/>
  <c r="E37" i="11"/>
  <c r="F37" i="11" s="1"/>
  <c r="H37" i="11"/>
  <c r="I37" i="11" s="1"/>
  <c r="C34" i="11" l="1"/>
  <c r="I45" i="18"/>
  <c r="J44" i="18"/>
  <c r="C51" i="11"/>
  <c r="F47" i="11"/>
  <c r="F60" i="11" s="1"/>
  <c r="E60" i="11"/>
  <c r="I61" i="11"/>
  <c r="C61" i="11" s="1"/>
  <c r="E46" i="11"/>
  <c r="F61" i="11"/>
  <c r="H46" i="11"/>
  <c r="I47" i="11"/>
  <c r="I60" i="11" s="1"/>
  <c r="H60" i="11"/>
  <c r="K88" i="11"/>
  <c r="K85" i="11"/>
  <c r="I75" i="11"/>
  <c r="F75" i="11"/>
  <c r="I46" i="11"/>
  <c r="F33" i="11"/>
  <c r="C36" i="11"/>
  <c r="C54" i="11"/>
  <c r="C48" i="11"/>
  <c r="C50" i="11"/>
  <c r="C53" i="11"/>
  <c r="C35" i="11"/>
  <c r="C59" i="11"/>
  <c r="C79" i="11"/>
  <c r="C44" i="11"/>
  <c r="C49" i="11"/>
  <c r="C55" i="11"/>
  <c r="C56" i="11"/>
  <c r="C45" i="11"/>
  <c r="C80" i="11"/>
  <c r="C37" i="11"/>
  <c r="C58" i="11"/>
  <c r="C78" i="11"/>
  <c r="C57" i="11"/>
  <c r="C52" i="11"/>
  <c r="C76" i="11"/>
  <c r="C77" i="11"/>
  <c r="H68" i="11"/>
  <c r="H87" i="11" s="1"/>
  <c r="E68" i="11"/>
  <c r="D61" i="10"/>
  <c r="D75" i="10"/>
  <c r="D47" i="10"/>
  <c r="E62" i="11"/>
  <c r="F62" i="11" s="1"/>
  <c r="F63" i="11"/>
  <c r="C42" i="11"/>
  <c r="C38" i="11"/>
  <c r="C43" i="11"/>
  <c r="C39" i="11"/>
  <c r="C40" i="11"/>
  <c r="C41" i="11"/>
  <c r="F46" i="11" l="1"/>
  <c r="C33" i="11"/>
  <c r="I46" i="18"/>
  <c r="J45" i="18"/>
  <c r="H74" i="11"/>
  <c r="H81" i="11" s="1"/>
  <c r="H85" i="11" s="1"/>
  <c r="H86" i="11"/>
  <c r="C47" i="11"/>
  <c r="C60" i="11" s="1"/>
  <c r="I68" i="11"/>
  <c r="E74" i="11"/>
  <c r="F68" i="11"/>
  <c r="F74" i="11" s="1"/>
  <c r="C75" i="11"/>
  <c r="E87" i="11"/>
  <c r="E86" i="11"/>
  <c r="I86" i="11" l="1"/>
  <c r="C68" i="11"/>
  <c r="C74" i="11" s="1"/>
  <c r="J46" i="18"/>
  <c r="I47" i="18"/>
  <c r="I48" i="18" s="1"/>
  <c r="E81" i="11"/>
  <c r="E85" i="11" s="1"/>
  <c r="I87" i="11"/>
  <c r="I74" i="11"/>
  <c r="I81" i="11" s="1"/>
  <c r="H88" i="11"/>
  <c r="F87" i="11"/>
  <c r="F86" i="11"/>
  <c r="F81" i="11"/>
  <c r="F88" i="11" s="1"/>
  <c r="C85" i="11"/>
  <c r="C46" i="11"/>
  <c r="C86" i="11"/>
  <c r="I49" i="18" l="1"/>
  <c r="J48" i="18"/>
  <c r="C88" i="11"/>
  <c r="C87" i="11"/>
  <c r="F85" i="11"/>
  <c r="C81" i="11"/>
  <c r="I85" i="11"/>
  <c r="I88" i="11"/>
  <c r="E88" i="11"/>
  <c r="G6" i="20"/>
  <c r="J49" i="18" l="1"/>
  <c r="I50" i="18"/>
  <c r="G6" i="11"/>
  <c r="G6" i="18"/>
  <c r="G6" i="10"/>
  <c r="G6" i="19"/>
  <c r="I51" i="18" l="1"/>
  <c r="J50" i="18"/>
  <c r="I52" i="18" l="1"/>
  <c r="J51" i="18"/>
  <c r="I53" i="18" l="1"/>
  <c r="J52" i="18"/>
  <c r="I54" i="18" l="1"/>
  <c r="J53" i="18"/>
  <c r="I55" i="18" l="1"/>
  <c r="J54" i="18"/>
  <c r="I56" i="18" l="1"/>
  <c r="J55" i="18"/>
  <c r="I57" i="18" l="1"/>
  <c r="J56" i="18"/>
  <c r="I58" i="18" l="1"/>
  <c r="J57" i="18"/>
  <c r="I59" i="18" l="1"/>
  <c r="J58" i="18"/>
  <c r="I60" i="18" l="1"/>
  <c r="J59" i="18"/>
  <c r="J60" i="18" l="1"/>
  <c r="I61" i="18"/>
  <c r="I62" i="18" s="1"/>
  <c r="I63" i="18" l="1"/>
  <c r="J62" i="18"/>
  <c r="I64" i="18" l="1"/>
  <c r="J63" i="18"/>
  <c r="I65" i="18" l="1"/>
  <c r="J64" i="18"/>
  <c r="I66" i="18" l="1"/>
  <c r="J65" i="18"/>
  <c r="I67" i="18" l="1"/>
  <c r="J66" i="18"/>
  <c r="I68" i="18" l="1"/>
  <c r="J67" i="18"/>
  <c r="I69" i="18" l="1"/>
  <c r="J68" i="18"/>
  <c r="I70" i="18" l="1"/>
  <c r="J69" i="18"/>
  <c r="I71" i="18" l="1"/>
  <c r="J70" i="18"/>
  <c r="I72" i="18" l="1"/>
  <c r="J71" i="18"/>
  <c r="I73" i="18" l="1"/>
  <c r="J72" i="18"/>
  <c r="I74" i="18" l="1"/>
  <c r="J73" i="18"/>
  <c r="J74" i="18" l="1"/>
  <c r="I75" i="18"/>
  <c r="I76" i="18" l="1"/>
  <c r="I77" i="18" l="1"/>
  <c r="J76" i="18"/>
  <c r="I78" i="18" l="1"/>
  <c r="J77" i="18"/>
  <c r="I79" i="18" l="1"/>
  <c r="J78" i="18"/>
  <c r="I80" i="18" l="1"/>
  <c r="J79" i="18"/>
  <c r="I81" i="18" l="1"/>
  <c r="J80" i="18"/>
  <c r="J81" i="18" l="1"/>
  <c r="I82" i="18"/>
</calcChain>
</file>

<file path=xl/sharedStrings.xml><?xml version="1.0" encoding="utf-8"?>
<sst xmlns="http://schemas.openxmlformats.org/spreadsheetml/2006/main" count="845" uniqueCount="352">
  <si>
    <t>GROUPE</t>
  </si>
  <si>
    <t>GE2.2</t>
  </si>
  <si>
    <t>GC</t>
  </si>
  <si>
    <t>GE2.1</t>
  </si>
  <si>
    <t>kWh</t>
  </si>
  <si>
    <t>T3</t>
  </si>
  <si>
    <t>T4</t>
  </si>
  <si>
    <t>T5</t>
  </si>
  <si>
    <t>SURFACE</t>
  </si>
  <si>
    <t>PROJET</t>
  </si>
  <si>
    <t>ENCERTICUS</t>
  </si>
  <si>
    <t>ETUDE</t>
  </si>
  <si>
    <t>CHAUFFAGE - ENERGIE GAZ</t>
  </si>
  <si>
    <t>INDICE GDF [N-1]</t>
  </si>
  <si>
    <t>INDICE GDF [N]</t>
  </si>
  <si>
    <t>KWh PCS en kWh PCI</t>
  </si>
  <si>
    <t>S01</t>
  </si>
  <si>
    <t>kWh PCI / m²</t>
  </si>
  <si>
    <t>-</t>
  </si>
  <si>
    <t>m²</t>
  </si>
  <si>
    <t>INDICE EDF [N-1]</t>
  </si>
  <si>
    <t>INDICE EDF [N]</t>
  </si>
  <si>
    <t>kWh / m²</t>
  </si>
  <si>
    <t>Nbre semaine par mois</t>
  </si>
  <si>
    <t>ENERTECH/CEREN - 2008</t>
  </si>
  <si>
    <t>INDICE EAU
[N-1]</t>
  </si>
  <si>
    <t>http://www.eaufrance.fr/site-156/groupes-de-chiffres-cles/consommation-d-eau-par-foyer-en</t>
  </si>
  <si>
    <t>EAU
EF + ECS</t>
  </si>
  <si>
    <t>%</t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</si>
  <si>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en kWh PCI</t>
    </r>
  </si>
  <si>
    <t>Semaine</t>
  </si>
  <si>
    <t>Pas de temps</t>
  </si>
  <si>
    <r>
      <t>1m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de 15°C à 50°C ; rendement=90%</t>
    </r>
  </si>
  <si>
    <r>
      <t>m</t>
    </r>
    <r>
      <rPr>
        <i/>
        <vertAlign val="superscript"/>
        <sz val="10"/>
        <color theme="1"/>
        <rFont val="Arial"/>
        <family val="2"/>
      </rPr>
      <t>3</t>
    </r>
  </si>
  <si>
    <t>kWh/m²</t>
  </si>
  <si>
    <t>Année</t>
  </si>
  <si>
    <t>Mois</t>
  </si>
  <si>
    <t>S16</t>
  </si>
  <si>
    <t>Avril</t>
  </si>
  <si>
    <t>SO</t>
  </si>
  <si>
    <t>APPARTEMENT</t>
  </si>
  <si>
    <t>Janvier</t>
  </si>
  <si>
    <t>Février</t>
  </si>
  <si>
    <t>Mars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</si>
  <si>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</si>
  <si>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</si>
  <si>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</si>
  <si>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</si>
  <si>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</si>
  <si>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</si>
  <si>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</si>
  <si>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</si>
  <si>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kWh / ménage</t>
  </si>
  <si>
    <t>Ratio type / semaine</t>
  </si>
  <si>
    <t>kWh / logement</t>
  </si>
  <si>
    <t>l / pers</t>
  </si>
  <si>
    <t>Unité</t>
  </si>
  <si>
    <t>Période</t>
  </si>
  <si>
    <t>Source</t>
  </si>
  <si>
    <t>T</t>
  </si>
  <si>
    <t>TYPE APPART</t>
  </si>
  <si>
    <t>TAUX OCCUPATION</t>
  </si>
  <si>
    <t>COMPTEUR GAZ</t>
  </si>
  <si>
    <t>COMPTEUR ECS</t>
  </si>
  <si>
    <t>NOM DE LA DONNEES</t>
  </si>
  <si>
    <t>ELECTRICTE - TOUT USAGE</t>
  </si>
  <si>
    <t>COMPTEUR ELEC</t>
  </si>
  <si>
    <t>Données relevé</t>
  </si>
  <si>
    <t>ECONOMIE GLOBALE</t>
  </si>
  <si>
    <t>EAU - EF + ECS</t>
  </si>
  <si>
    <t>NOMBRE D'OCCUPANTS</t>
  </si>
  <si>
    <t>Personne</t>
  </si>
  <si>
    <t>CASE à REMPLIR</t>
  </si>
  <si>
    <t>NOTES &amp; REMARQUES</t>
  </si>
  <si>
    <t>Entrée Logiciel</t>
  </si>
  <si>
    <t>VALEUR à vérifier</t>
  </si>
  <si>
    <t>SORTIE logiciel</t>
  </si>
  <si>
    <t>Valeur de référence</t>
  </si>
  <si>
    <t>ECONOMIE CHAUFFAGE</t>
  </si>
  <si>
    <t>ECONOMIE EAU</t>
  </si>
  <si>
    <t>ECONOMIE ELECTRICTE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</si>
  <si>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</si>
  <si>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</si>
  <si>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</si>
  <si>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</si>
  <si>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</si>
  <si>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</si>
  <si>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</si>
  <si>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</si>
  <si>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</si>
  <si>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</si>
  <si>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</si>
  <si>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</si>
  <si>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</si>
  <si>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</si>
  <si>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</si>
  <si>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</si>
  <si>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</si>
  <si>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</si>
  <si>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</si>
  <si>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</si>
  <si>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</si>
  <si>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</si>
  <si>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</si>
  <si>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</si>
  <si>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</si>
  <si>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</si>
  <si>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</si>
  <si>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</si>
  <si>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</si>
  <si>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</si>
  <si>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</si>
  <si>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</si>
  <si>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</si>
  <si>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</si>
  <si>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</si>
  <si>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</si>
  <si>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</si>
  <si>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</si>
  <si>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</si>
  <si>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</si>
  <si>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</si>
  <si>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</si>
  <si>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</si>
  <si>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</si>
  <si>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</si>
  <si>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</si>
  <si>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</si>
  <si>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</si>
  <si>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</si>
  <si>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</si>
  <si>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Facteur travaux</t>
  </si>
  <si>
    <t>NE PAS SUPPRIMER</t>
  </si>
  <si>
    <t>Ne pas supprimer</t>
  </si>
  <si>
    <t>Liste de choix - NE PAS SUPPRIMER</t>
  </si>
  <si>
    <t>Maximum</t>
  </si>
  <si>
    <t>Minimum</t>
  </si>
  <si>
    <t>Mediane</t>
  </si>
  <si>
    <t>Moyenne</t>
  </si>
  <si>
    <t>STATISTIQUE</t>
  </si>
  <si>
    <t>T2</t>
  </si>
  <si>
    <t>Case rouge 0 occupation remplace par 1</t>
  </si>
  <si>
    <t>DJU 2011</t>
  </si>
  <si>
    <t>DJU 2012</t>
  </si>
  <si>
    <t>DJU 2013</t>
  </si>
  <si>
    <t>DJU moyen semaine</t>
  </si>
  <si>
    <t>GAZ</t>
  </si>
  <si>
    <t>ECS</t>
  </si>
  <si>
    <t>ELEC</t>
  </si>
  <si>
    <t>EF</t>
  </si>
  <si>
    <t>Colonne Sem</t>
  </si>
  <si>
    <t>Année précédente</t>
  </si>
  <si>
    <t>semaine précédente</t>
  </si>
  <si>
    <t>DJU REEL - 2014</t>
  </si>
  <si>
    <t>DJU REEL - 2015</t>
  </si>
  <si>
    <t>DJU REEL - 2012</t>
  </si>
  <si>
    <t>DJU REEL - 2013</t>
  </si>
  <si>
    <t>CONSOMMATION BRUTES GAZ ANNEE PRECEDENTE - [kWh]</t>
  </si>
  <si>
    <t>MOYENNE GC</t>
  </si>
  <si>
    <t>MOYENNE GE2.1</t>
  </si>
  <si>
    <t>MOYENNE GE2.2</t>
  </si>
  <si>
    <t>MOYENNE SO</t>
  </si>
  <si>
    <t>MOIS</t>
  </si>
  <si>
    <t>Ratio EAU réf</t>
  </si>
  <si>
    <t>Ratio ELECTRICTE réf</t>
  </si>
  <si>
    <t>Ratio CHAUFFAGE réf</t>
  </si>
  <si>
    <t>INDICE EAU
[N]</t>
  </si>
  <si>
    <t>kWh/j/pers</t>
  </si>
  <si>
    <t>l/j/pers</t>
  </si>
  <si>
    <t>kWh/logt</t>
  </si>
  <si>
    <t>évolution</t>
  </si>
  <si>
    <t>DJU REEL - 2011</t>
  </si>
  <si>
    <t>DJU REEL - 2016</t>
  </si>
  <si>
    <t>DJU mois - A compléter</t>
  </si>
  <si>
    <t>RATIOS TYPES UTILISES</t>
  </si>
  <si>
    <t>CONSTANTES</t>
  </si>
  <si>
    <t>DONNEES ISSUES RELEVEES</t>
  </si>
  <si>
    <t>Nombre de jours</t>
  </si>
  <si>
    <t>Nombre de semaine</t>
  </si>
  <si>
    <t>DJU moyen mois</t>
  </si>
  <si>
    <t>CALCUL DES VALEURS DE REFERENCE</t>
  </si>
  <si>
    <t>DONNEES D'ENTREE GENERALES</t>
  </si>
  <si>
    <t>DJU MENSUEL</t>
  </si>
  <si>
    <t>DJU - MOYEN  - 2011 / 2012 / 2013</t>
  </si>
  <si>
    <t>S53</t>
  </si>
  <si>
    <t>DJU - SEMAINE - (voir avec HMP)</t>
  </si>
  <si>
    <t>Consommation de chauffage moyenne du mois de l'année 2012, ramené à la semaine avec correction DJU moins ratio ECS et cuisson</t>
  </si>
  <si>
    <t>2014-S01</t>
  </si>
  <si>
    <t>2014-S02</t>
  </si>
  <si>
    <t>2014-S03</t>
  </si>
  <si>
    <t>2014-S04</t>
  </si>
  <si>
    <t>2014-S05</t>
  </si>
  <si>
    <t>2014-S06</t>
  </si>
  <si>
    <t>2014-S07</t>
  </si>
  <si>
    <t>2014-S08</t>
  </si>
  <si>
    <t>2014-S09</t>
  </si>
  <si>
    <t>2014-S10</t>
  </si>
  <si>
    <t>2014-S11</t>
  </si>
  <si>
    <t>2014-S12</t>
  </si>
  <si>
    <t>2014-S13</t>
  </si>
  <si>
    <t>2014-S14</t>
  </si>
  <si>
    <t>2014-S15</t>
  </si>
  <si>
    <t>2014-S16</t>
  </si>
  <si>
    <t>2014-S17</t>
  </si>
  <si>
    <t>2014-S18</t>
  </si>
  <si>
    <t>2014-S19</t>
  </si>
  <si>
    <t>2014-S20</t>
  </si>
  <si>
    <t>2014-S21</t>
  </si>
  <si>
    <t>2014-S22</t>
  </si>
  <si>
    <t>2014-S23</t>
  </si>
  <si>
    <t>2014-S24</t>
  </si>
  <si>
    <t>2014-S25</t>
  </si>
  <si>
    <t>2014-S26</t>
  </si>
  <si>
    <t>2014-S27</t>
  </si>
  <si>
    <t>2014-S28</t>
  </si>
  <si>
    <t>2014-S29</t>
  </si>
  <si>
    <t>2014-S30</t>
  </si>
  <si>
    <t>2014-S31</t>
  </si>
  <si>
    <t>2014-S32</t>
  </si>
  <si>
    <t>2014-S33</t>
  </si>
  <si>
    <t>2014-S34</t>
  </si>
  <si>
    <t>2014-S35</t>
  </si>
  <si>
    <t>2014-S36</t>
  </si>
  <si>
    <t>2014-S37</t>
  </si>
  <si>
    <t>2014-S38</t>
  </si>
  <si>
    <t>2014-S39</t>
  </si>
  <si>
    <t>2014-S40</t>
  </si>
  <si>
    <t>2014-S41</t>
  </si>
  <si>
    <t>2014-S42</t>
  </si>
  <si>
    <t>2014-S43</t>
  </si>
  <si>
    <t>2014-S44</t>
  </si>
  <si>
    <t>2014-S45</t>
  </si>
  <si>
    <t>2014-S46</t>
  </si>
  <si>
    <t>2014-S47</t>
  </si>
  <si>
    <t>2014-S48</t>
  </si>
  <si>
    <t>2014-S49</t>
  </si>
  <si>
    <t>2014-S50</t>
  </si>
  <si>
    <t>2014-S51</t>
  </si>
  <si>
    <t>2014-S52</t>
  </si>
  <si>
    <t>2014-S53</t>
  </si>
  <si>
    <t>Coller les résultats obtenus les semaines précédentes</t>
  </si>
  <si>
    <t>VALEURS DE REFERENCE ELECTRICITE</t>
  </si>
  <si>
    <t>TRAITEMENT EAU</t>
  </si>
  <si>
    <t>TRAITEMENT ELEC</t>
  </si>
  <si>
    <t>TRAITEMENT CHAUFFAGE</t>
  </si>
  <si>
    <t>DJU REEL - 2017</t>
  </si>
  <si>
    <t>SUIVI CONSO</t>
  </si>
  <si>
    <t>HISTORIQUE ELECTRICITE</t>
  </si>
  <si>
    <t>HISTORIQUE CHAUFFAGE</t>
  </si>
  <si>
    <t>CHAUFFAGE HISTORIQUE</t>
  </si>
  <si>
    <t>HISTORIQUE EAU</t>
  </si>
  <si>
    <t>HISTORIQUE ECS</t>
  </si>
  <si>
    <t>Ref elec</t>
  </si>
  <si>
    <t>Ref eau</t>
  </si>
  <si>
    <t>Ref ECS</t>
  </si>
  <si>
    <t>REFERENCE - SEMAINE</t>
  </si>
  <si>
    <t>Coller les valeurs de référence, ce sont celles de la semaine précédente</t>
  </si>
  <si>
    <t>DETAIL CALCUL</t>
  </si>
  <si>
    <t>Conso gaz</t>
  </si>
  <si>
    <t>Conso Chauffage</t>
  </si>
  <si>
    <t>chauff ajusté - DJU</t>
  </si>
  <si>
    <t>DJU moyen</t>
  </si>
  <si>
    <t>REFERENCE - CHAUFFAGE</t>
  </si>
  <si>
    <t>chauff réf.mai 2012</t>
  </si>
  <si>
    <t>chauff ajusté
réel</t>
  </si>
  <si>
    <t>Ratio de chauffage</t>
  </si>
  <si>
    <t>Energie nécessaire ECS</t>
  </si>
  <si>
    <t>Conversion GAZ (volume en kWh PCI)</t>
  </si>
  <si>
    <t>Conversion GAZ (PCS en PCI)</t>
  </si>
  <si>
    <t xml:space="preserve">Ratio type </t>
  </si>
  <si>
    <t>Ratio cuisson - semaine</t>
  </si>
  <si>
    <t>Ratio ECS - jour</t>
  </si>
  <si>
    <t>Ratio électrique - semaine</t>
  </si>
  <si>
    <t>Ratio eau (EF+ECS) - semaine</t>
  </si>
  <si>
    <t>kWh / lgt</t>
  </si>
  <si>
    <t>Ratio ECS réf</t>
  </si>
  <si>
    <t>CHAUFFAGE corrigé</t>
  </si>
  <si>
    <t>ELECTRICTE</t>
  </si>
  <si>
    <t>EAU</t>
  </si>
  <si>
    <t>litres / lgt</t>
  </si>
  <si>
    <t>ECONOMIE ECS</t>
  </si>
  <si>
    <r>
      <t>kWh / m</t>
    </r>
    <r>
      <rPr>
        <vertAlign val="superscript"/>
        <sz val="10"/>
        <rFont val="Arial"/>
        <family val="2"/>
      </rPr>
      <t>3</t>
    </r>
  </si>
  <si>
    <t>Volume ECS consommé jour</t>
  </si>
  <si>
    <t>ARBRE de base</t>
  </si>
  <si>
    <t>ARBRE de base ref</t>
  </si>
  <si>
    <t>ARBRE BASE REFERENCE</t>
  </si>
  <si>
    <t>ARBRE BASE 12/13</t>
  </si>
  <si>
    <t>ARBRE DE BASE</t>
  </si>
  <si>
    <t>ARBRE BASE réf</t>
  </si>
  <si>
    <t>m3 / lgt</t>
  </si>
  <si>
    <t>CONSOMMATION ELEC - SEMAINE</t>
  </si>
  <si>
    <t>CONSOMMATION CHAUFFAGE - SEMAINE</t>
  </si>
  <si>
    <t>ETIQUETTE DPE</t>
  </si>
  <si>
    <t>CONSO 2012</t>
  </si>
  <si>
    <t>SIEDLER</t>
  </si>
  <si>
    <t>CONSO 12/13</t>
  </si>
  <si>
    <t>CONSOMMATION EAU - SEMAINE</t>
  </si>
  <si>
    <t>CONSO 13</t>
  </si>
  <si>
    <t>RATIO</t>
  </si>
  <si>
    <t>INDICE [N-1]</t>
  </si>
  <si>
    <t>INDICE [N]</t>
  </si>
  <si>
    <t>% économie</t>
  </si>
  <si>
    <t>&gt;100%</t>
  </si>
  <si>
    <t xml:space="preserve"> - 50% à -25%</t>
  </si>
  <si>
    <t xml:space="preserve"> - 25% à 0</t>
  </si>
  <si>
    <t xml:space="preserve"> - 75% à -50%</t>
  </si>
  <si>
    <t xml:space="preserve"> - 100% à -75%</t>
  </si>
  <si>
    <t>&lt;-100%</t>
  </si>
  <si>
    <t>0 à 10%</t>
  </si>
  <si>
    <t>10% à 20%</t>
  </si>
  <si>
    <t>20% à 50%</t>
  </si>
  <si>
    <t>50% à 75%</t>
  </si>
  <si>
    <t>75% à 100%</t>
  </si>
  <si>
    <t>nb logements GE2.2</t>
  </si>
  <si>
    <t>INDICATEUR EAU</t>
  </si>
  <si>
    <t>eau froide + eau chaude</t>
  </si>
  <si>
    <t>INDICATEUR ELEC</t>
  </si>
  <si>
    <t>Etiquette énergie (chauffage)</t>
  </si>
  <si>
    <t>C (91 à 150 kWhep/m²/an)</t>
  </si>
  <si>
    <t>B (51 à 90 kWhep/m²/an)</t>
  </si>
  <si>
    <t>A (&lt;51 kWhep/m²/an)</t>
  </si>
  <si>
    <t>D (151 à 230 Whep/m²/an)</t>
  </si>
  <si>
    <t>E (231 à 330 kWhep/m²/an)</t>
  </si>
  <si>
    <t>F (331 à 450 kWhep/m²/an)</t>
  </si>
  <si>
    <t>G (&gt;450 kWhep/m²/an)</t>
  </si>
  <si>
    <t>pas de données pour le n°301</t>
  </si>
  <si>
    <t>PROPOSITION PLAGES D'EVOLUTION</t>
  </si>
  <si>
    <t>IDENTIQUES POUR TOUTES LES ENERGIES</t>
  </si>
  <si>
    <t>nb pommes</t>
  </si>
  <si>
    <t>0 à 5 %</t>
  </si>
  <si>
    <t>5% à 10%</t>
  </si>
  <si>
    <t xml:space="preserve"> - 5% à 0</t>
  </si>
  <si>
    <t>nb de logts par rapport à l'économie gloable (sans chauffage pour l'instant)</t>
  </si>
  <si>
    <t>&gt;20%</t>
  </si>
  <si>
    <t>&lt;-20%</t>
  </si>
  <si>
    <t xml:space="preserve"> - 20% à -10%</t>
  </si>
  <si>
    <t xml:space="preserve"> - 10% à -5%</t>
  </si>
  <si>
    <t>+1</t>
  </si>
  <si>
    <t>+2</t>
  </si>
  <si>
    <t>+3</t>
  </si>
  <si>
    <t>+4</t>
  </si>
  <si>
    <t>+10</t>
  </si>
  <si>
    <t>+15</t>
  </si>
  <si>
    <t>+20</t>
  </si>
  <si>
    <t>+25</t>
  </si>
  <si>
    <t>Moyenne - GC</t>
  </si>
  <si>
    <t>Moyenne - GE2.1</t>
  </si>
  <si>
    <t>Moyenne - GE2.2</t>
  </si>
  <si>
    <t>Moyenne - SO</t>
  </si>
  <si>
    <t>PAS ECS</t>
  </si>
  <si>
    <t>NON EQUIPE</t>
  </si>
  <si>
    <t>Moyenne des economie sans coef ni 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</si>
</sst>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"/>
    <numFmt numFmtId="165" formatCode="0.0%"/>
    <numFmt numFmtId="166" formatCode="[$-40C]mmm\-yy;@"/>
    <numFmt numFmtId="167" formatCode="#,##0_ ;[Red]\-#,##0\ "/>
    <numFmt numFmtId="168" formatCode="[$-40C]mmmmm;@"/>
    <numFmt numFmtId="169" formatCode="#,##0.0_ ;[Red]\-#,##0.0\ 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Calibri"/>
      <family val="2"/>
      <scheme val="minor"/>
    </font>
    <font>
      <vertAlign val="superscript"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8"/>
      <color theme="1"/>
      <name val="Arial"/>
      <family val="2"/>
    </font>
    <font>
      <b/>
      <sz val="10"/>
      <color rgb="FFFF0000"/>
      <name val="Arial"/>
      <family val="2"/>
    </font>
    <font>
      <u/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u/>
      <sz val="10"/>
      <color rgb="FFFF0000"/>
      <name val="Calibri"/>
      <family val="2"/>
      <scheme val="minor"/>
    </font>
    <font>
      <sz val="10"/>
      <color theme="0" tint="-0.14999847407452621"/>
      <name val="Arial"/>
      <family val="2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vertAlign val="superscript"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ck">
        <color auto="1"/>
      </right>
      <top style="thin">
        <color indexed="55"/>
      </top>
      <bottom style="thin">
        <color indexed="55"/>
      </bottom>
      <diagonal/>
    </border>
    <border>
      <left style="thick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20" fillId="0" borderId="0"/>
    <xf numFmtId="0" fontId="21" fillId="0" borderId="67" applyNumberFormat="0" applyFill="0" applyAlignment="0" applyProtection="0"/>
    <xf numFmtId="0" fontId="22" fillId="0" borderId="68" applyNumberFormat="0" applyFill="0" applyAlignment="0" applyProtection="0"/>
    <xf numFmtId="0" fontId="23" fillId="0" borderId="0" applyNumberFormat="0" applyFill="0" applyBorder="0" applyAlignment="0" applyProtection="0"/>
  </cellStyleXfs>
  <cellXfs count="519">
    <xf numFmtId="0" fontId="0" fillId="0" borderId="0" xfId="0"/>
    <xf numFmtId="0" fontId="1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right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1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NumberFormat="1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2" fillId="3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left" vertical="center" wrapText="1"/>
    </xf>
    <xf numFmtId="3" fontId="1" fillId="0" borderId="24" xfId="0" applyNumberFormat="1" applyFont="1" applyBorder="1" applyAlignment="1">
      <alignment horizontal="left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26" xfId="0" applyNumberFormat="1" applyFont="1" applyFill="1" applyBorder="1" applyAlignment="1">
      <alignment horizontal="center" vertical="center" wrapText="1"/>
    </xf>
    <xf numFmtId="0" fontId="3" fillId="2" borderId="18" xfId="0" applyNumberFormat="1" applyFont="1" applyFill="1" applyBorder="1" applyAlignment="1">
      <alignment horizontal="center" vertical="center" wrapText="1"/>
    </xf>
    <xf numFmtId="0" fontId="3" fillId="2" borderId="27" xfId="0" applyNumberFormat="1" applyFont="1" applyFill="1" applyBorder="1" applyAlignment="1">
      <alignment horizontal="center" vertical="center" wrapText="1"/>
    </xf>
    <xf numFmtId="0" fontId="2" fillId="10" borderId="22" xfId="0" applyNumberFormat="1" applyFont="1" applyFill="1" applyBorder="1" applyAlignment="1">
      <alignment horizontal="center" vertical="center" wrapText="1"/>
    </xf>
    <xf numFmtId="0" fontId="3" fillId="10" borderId="2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3" fontId="1" fillId="0" borderId="34" xfId="0" applyNumberFormat="1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9" fillId="8" borderId="21" xfId="0" applyNumberFormat="1" applyFont="1" applyFill="1" applyBorder="1" applyAlignment="1">
      <alignment horizontal="center" vertical="center" wrapText="1"/>
    </xf>
    <xf numFmtId="0" fontId="9" fillId="8" borderId="1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9" fillId="8" borderId="2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9" fillId="7" borderId="20" xfId="0" applyNumberFormat="1" applyFont="1" applyFill="1" applyBorder="1" applyAlignment="1">
      <alignment horizontal="center" vertical="center" wrapText="1"/>
    </xf>
    <xf numFmtId="0" fontId="9" fillId="7" borderId="21" xfId="0" applyNumberFormat="1" applyFont="1" applyFill="1" applyBorder="1" applyAlignment="1">
      <alignment horizontal="center" vertical="center" wrapText="1"/>
    </xf>
    <xf numFmtId="0" fontId="9" fillId="7" borderId="1" xfId="0" applyNumberFormat="1" applyFont="1" applyFill="1" applyBorder="1" applyAlignment="1">
      <alignment horizontal="center" vertical="center" wrapText="1"/>
    </xf>
    <xf numFmtId="0" fontId="9" fillId="7" borderId="25" xfId="0" applyNumberFormat="1" applyFont="1" applyFill="1" applyBorder="1" applyAlignment="1">
      <alignment horizontal="center" vertical="center" wrapText="1"/>
    </xf>
    <xf numFmtId="0" fontId="2" fillId="4" borderId="17" xfId="0" applyNumberFormat="1" applyFont="1" applyFill="1" applyBorder="1" applyAlignment="1">
      <alignment horizontal="center" vertical="center" wrapText="1"/>
    </xf>
    <xf numFmtId="0" fontId="2" fillId="4" borderId="5" xfId="0" applyNumberFormat="1" applyFont="1" applyFill="1" applyBorder="1" applyAlignment="1">
      <alignment horizontal="center" vertical="center" wrapText="1"/>
    </xf>
    <xf numFmtId="0" fontId="3" fillId="4" borderId="18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164" fontId="2" fillId="2" borderId="31" xfId="0" applyNumberFormat="1" applyFont="1" applyFill="1" applyBorder="1" applyAlignment="1">
      <alignment horizontal="right" vertical="center" wrapText="1"/>
    </xf>
    <xf numFmtId="164" fontId="2" fillId="2" borderId="33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166" fontId="2" fillId="8" borderId="14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6" fontId="2" fillId="8" borderId="16" xfId="0" applyNumberFormat="1" applyFont="1" applyFill="1" applyBorder="1" applyAlignment="1">
      <alignment horizontal="center" vertical="center" wrapText="1"/>
    </xf>
    <xf numFmtId="166" fontId="13" fillId="7" borderId="14" xfId="0" applyNumberFormat="1" applyFont="1" applyFill="1" applyBorder="1" applyAlignment="1">
      <alignment horizontal="center" vertical="center" wrapText="1"/>
    </xf>
    <xf numFmtId="166" fontId="13" fillId="5" borderId="1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2" fillId="8" borderId="29" xfId="0" applyNumberFormat="1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0" borderId="17" xfId="0" applyNumberFormat="1" applyFont="1" applyFill="1" applyBorder="1" applyAlignment="1">
      <alignment horizontal="center" vertical="center" wrapText="1"/>
    </xf>
    <xf numFmtId="0" fontId="2" fillId="10" borderId="5" xfId="0" applyNumberFormat="1" applyFont="1" applyFill="1" applyBorder="1" applyAlignment="1">
      <alignment horizontal="center" vertical="center" wrapText="1"/>
    </xf>
    <xf numFmtId="0" fontId="2" fillId="10" borderId="11" xfId="0" applyNumberFormat="1" applyFont="1" applyFill="1" applyBorder="1" applyAlignment="1">
      <alignment horizontal="center" vertical="center" wrapText="1"/>
    </xf>
    <xf numFmtId="0" fontId="2" fillId="10" borderId="26" xfId="0" applyNumberFormat="1" applyFont="1" applyFill="1" applyBorder="1" applyAlignment="1">
      <alignment horizontal="center" vertical="center" wrapText="1"/>
    </xf>
    <xf numFmtId="0" fontId="3" fillId="10" borderId="18" xfId="0" applyNumberFormat="1" applyFont="1" applyFill="1" applyBorder="1" applyAlignment="1">
      <alignment horizontal="center" vertical="center" wrapText="1"/>
    </xf>
    <xf numFmtId="0" fontId="3" fillId="10" borderId="6" xfId="0" applyNumberFormat="1" applyFont="1" applyFill="1" applyBorder="1" applyAlignment="1">
      <alignment horizontal="center" vertical="center" wrapText="1"/>
    </xf>
    <xf numFmtId="0" fontId="3" fillId="10" borderId="12" xfId="0" applyNumberFormat="1" applyFont="1" applyFill="1" applyBorder="1" applyAlignment="1">
      <alignment horizontal="center" vertical="center" wrapText="1"/>
    </xf>
    <xf numFmtId="0" fontId="3" fillId="10" borderId="27" xfId="0" applyNumberFormat="1" applyFont="1" applyFill="1" applyBorder="1" applyAlignment="1">
      <alignment horizontal="center" vertical="center" wrapText="1"/>
    </xf>
    <xf numFmtId="164" fontId="1" fillId="10" borderId="17" xfId="0" applyNumberFormat="1" applyFont="1" applyFill="1" applyBorder="1" applyAlignment="1">
      <alignment horizontal="right" vertical="center" wrapText="1"/>
    </xf>
    <xf numFmtId="164" fontId="1" fillId="10" borderId="5" xfId="0" applyNumberFormat="1" applyFont="1" applyFill="1" applyBorder="1" applyAlignment="1">
      <alignment horizontal="right" vertical="center" wrapText="1"/>
    </xf>
    <xf numFmtId="4" fontId="1" fillId="10" borderId="11" xfId="0" applyNumberFormat="1" applyFont="1" applyFill="1" applyBorder="1" applyAlignment="1">
      <alignment horizontal="right" vertical="center" wrapText="1"/>
    </xf>
    <xf numFmtId="4" fontId="1" fillId="10" borderId="26" xfId="0" applyNumberFormat="1" applyFont="1" applyFill="1" applyBorder="1" applyAlignment="1">
      <alignment horizontal="right" vertical="center" wrapText="1"/>
    </xf>
    <xf numFmtId="164" fontId="1" fillId="10" borderId="19" xfId="0" applyNumberFormat="1" applyFont="1" applyFill="1" applyBorder="1" applyAlignment="1">
      <alignment horizontal="right" vertical="center" wrapText="1"/>
    </xf>
    <xf numFmtId="164" fontId="1" fillId="10" borderId="4" xfId="0" applyNumberFormat="1" applyFont="1" applyFill="1" applyBorder="1" applyAlignment="1">
      <alignment horizontal="right" vertical="center" wrapText="1"/>
    </xf>
    <xf numFmtId="4" fontId="1" fillId="10" borderId="10" xfId="0" applyNumberFormat="1" applyFont="1" applyFill="1" applyBorder="1" applyAlignment="1">
      <alignment horizontal="right" vertical="center" wrapText="1"/>
    </xf>
    <xf numFmtId="4" fontId="1" fillId="10" borderId="28" xfId="0" applyNumberFormat="1" applyFont="1" applyFill="1" applyBorder="1" applyAlignment="1">
      <alignment horizontal="right" vertical="center" wrapText="1"/>
    </xf>
    <xf numFmtId="164" fontId="1" fillId="10" borderId="36" xfId="0" applyNumberFormat="1" applyFont="1" applyFill="1" applyBorder="1" applyAlignment="1">
      <alignment horizontal="right" vertical="center" wrapText="1"/>
    </xf>
    <xf numFmtId="164" fontId="1" fillId="10" borderId="35" xfId="0" applyNumberFormat="1" applyFont="1" applyFill="1" applyBorder="1" applyAlignment="1">
      <alignment horizontal="right" vertical="center" wrapText="1"/>
    </xf>
    <xf numFmtId="4" fontId="1" fillId="10" borderId="37" xfId="0" applyNumberFormat="1" applyFont="1" applyFill="1" applyBorder="1" applyAlignment="1">
      <alignment horizontal="right" vertical="center" wrapText="1"/>
    </xf>
    <xf numFmtId="4" fontId="1" fillId="10" borderId="38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42" xfId="0" applyNumberFormat="1" applyFont="1" applyBorder="1" applyAlignment="1">
      <alignment horizontal="left" vertical="center" wrapText="1"/>
    </xf>
    <xf numFmtId="0" fontId="13" fillId="0" borderId="8" xfId="0" applyFont="1" applyBorder="1" applyAlignment="1">
      <alignment vertical="center" wrapText="1"/>
    </xf>
    <xf numFmtId="0" fontId="13" fillId="0" borderId="42" xfId="0" applyNumberFormat="1" applyFont="1" applyBorder="1" applyAlignment="1">
      <alignment horizontal="left" vertical="center" wrapText="1"/>
    </xf>
    <xf numFmtId="0" fontId="1" fillId="10" borderId="7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Border="1" applyAlignment="1">
      <alignment horizontal="left" vertical="center" wrapText="1"/>
    </xf>
    <xf numFmtId="0" fontId="1" fillId="10" borderId="7" xfId="0" applyFont="1" applyFill="1" applyBorder="1" applyAlignment="1">
      <alignment horizontal="right" vertical="center" wrapText="1"/>
    </xf>
    <xf numFmtId="0" fontId="1" fillId="10" borderId="43" xfId="0" applyNumberFormat="1" applyFont="1" applyFill="1" applyBorder="1" applyAlignment="1">
      <alignment horizontal="right" vertical="center" wrapText="1"/>
    </xf>
    <xf numFmtId="3" fontId="1" fillId="10" borderId="17" xfId="0" applyNumberFormat="1" applyFont="1" applyFill="1" applyBorder="1" applyAlignment="1">
      <alignment horizontal="right" vertical="center" wrapText="1"/>
    </xf>
    <xf numFmtId="3" fontId="1" fillId="10" borderId="26" xfId="0" applyNumberFormat="1" applyFont="1" applyFill="1" applyBorder="1" applyAlignment="1">
      <alignment horizontal="right" vertical="center" wrapText="1"/>
    </xf>
    <xf numFmtId="3" fontId="1" fillId="10" borderId="19" xfId="0" applyNumberFormat="1" applyFont="1" applyFill="1" applyBorder="1" applyAlignment="1">
      <alignment horizontal="right" vertical="center" wrapText="1"/>
    </xf>
    <xf numFmtId="3" fontId="1" fillId="10" borderId="28" xfId="0" applyNumberFormat="1" applyFont="1" applyFill="1" applyBorder="1" applyAlignment="1">
      <alignment horizontal="right" vertical="center" wrapText="1"/>
    </xf>
    <xf numFmtId="3" fontId="1" fillId="10" borderId="36" xfId="0" applyNumberFormat="1" applyFont="1" applyFill="1" applyBorder="1" applyAlignment="1">
      <alignment horizontal="right" vertical="center" wrapText="1"/>
    </xf>
    <xf numFmtId="3" fontId="1" fillId="10" borderId="38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 wrapText="1"/>
    </xf>
    <xf numFmtId="164" fontId="2" fillId="2" borderId="19" xfId="0" applyNumberFormat="1" applyFont="1" applyFill="1" applyBorder="1" applyAlignment="1">
      <alignment horizontal="right" vertical="center" wrapText="1"/>
    </xf>
    <xf numFmtId="164" fontId="2" fillId="2" borderId="4" xfId="0" applyNumberFormat="1" applyFont="1" applyFill="1" applyBorder="1" applyAlignment="1">
      <alignment horizontal="right" vertical="center" wrapText="1"/>
    </xf>
    <xf numFmtId="164" fontId="2" fillId="2" borderId="28" xfId="0" applyNumberFormat="1" applyFont="1" applyFill="1" applyBorder="1" applyAlignment="1">
      <alignment horizontal="right" vertical="center" wrapText="1"/>
    </xf>
    <xf numFmtId="167" fontId="1" fillId="0" borderId="14" xfId="0" applyNumberFormat="1" applyFont="1" applyFill="1" applyBorder="1" applyAlignment="1" applyProtection="1">
      <alignment horizontal="left" vertical="center" wrapText="1"/>
      <protection locked="0"/>
    </xf>
    <xf numFmtId="167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167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0" xfId="0" applyNumberFormat="1" applyFont="1" applyFill="1" applyBorder="1" applyAlignment="1">
      <alignment horizontal="center" vertical="center" wrapText="1"/>
    </xf>
    <xf numFmtId="0" fontId="2" fillId="6" borderId="49" xfId="0" applyNumberFormat="1" applyFont="1" applyFill="1" applyBorder="1" applyAlignment="1">
      <alignment horizontal="center" vertical="center" wrapText="1"/>
    </xf>
    <xf numFmtId="0" fontId="2" fillId="6" borderId="52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65" fontId="1" fillId="14" borderId="54" xfId="2" applyNumberFormat="1" applyFont="1" applyFill="1" applyBorder="1" applyAlignment="1">
      <alignment horizontal="right" vertical="center" wrapText="1"/>
    </xf>
    <xf numFmtId="0" fontId="1" fillId="6" borderId="13" xfId="0" applyNumberFormat="1" applyFont="1" applyFill="1" applyBorder="1" applyAlignment="1">
      <alignment horizontal="left" vertical="center" wrapText="1"/>
    </xf>
    <xf numFmtId="3" fontId="1" fillId="0" borderId="50" xfId="0" applyNumberFormat="1" applyFont="1" applyBorder="1" applyAlignment="1">
      <alignment horizontal="left" vertical="center" wrapText="1"/>
    </xf>
    <xf numFmtId="0" fontId="2" fillId="6" borderId="55" xfId="0" applyNumberFormat="1" applyFont="1" applyFill="1" applyBorder="1" applyAlignment="1">
      <alignment horizontal="center" vertical="center" wrapText="1"/>
    </xf>
    <xf numFmtId="0" fontId="3" fillId="6" borderId="23" xfId="0" applyNumberFormat="1" applyFont="1" applyFill="1" applyBorder="1" applyAlignment="1">
      <alignment horizontal="center" vertical="center" wrapText="1"/>
    </xf>
    <xf numFmtId="165" fontId="1" fillId="12" borderId="48" xfId="0" applyNumberFormat="1" applyFont="1" applyFill="1" applyBorder="1" applyAlignment="1">
      <alignment horizontal="right" vertical="center" wrapText="1"/>
    </xf>
    <xf numFmtId="3" fontId="2" fillId="6" borderId="50" xfId="0" applyNumberFormat="1" applyFont="1" applyFill="1" applyBorder="1" applyAlignment="1">
      <alignment horizontal="right" vertical="center" wrapText="1"/>
    </xf>
    <xf numFmtId="0" fontId="2" fillId="6" borderId="50" xfId="0" applyFont="1" applyFill="1" applyBorder="1" applyAlignment="1">
      <alignment horizontal="right" vertical="center" wrapText="1"/>
    </xf>
    <xf numFmtId="164" fontId="1" fillId="0" borderId="0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3" fontId="17" fillId="10" borderId="0" xfId="0" applyNumberFormat="1" applyFont="1" applyFill="1" applyBorder="1" applyAlignment="1">
      <alignment horizontal="left" vertical="center" wrapText="1"/>
    </xf>
    <xf numFmtId="0" fontId="17" fillId="10" borderId="0" xfId="0" applyFont="1" applyFill="1" applyAlignment="1">
      <alignment vertical="center" wrapText="1"/>
    </xf>
    <xf numFmtId="0" fontId="18" fillId="0" borderId="0" xfId="1" applyNumberFormat="1" applyFont="1" applyBorder="1" applyAlignment="1">
      <alignment horizontal="left" vertical="center"/>
    </xf>
    <xf numFmtId="4" fontId="1" fillId="10" borderId="17" xfId="0" applyNumberFormat="1" applyFont="1" applyFill="1" applyBorder="1" applyAlignment="1">
      <alignment horizontal="right" vertical="center" wrapText="1"/>
    </xf>
    <xf numFmtId="4" fontId="1" fillId="10" borderId="19" xfId="0" applyNumberFormat="1" applyFont="1" applyFill="1" applyBorder="1" applyAlignment="1">
      <alignment horizontal="right" vertical="center" wrapText="1"/>
    </xf>
    <xf numFmtId="165" fontId="1" fillId="14" borderId="41" xfId="2" applyNumberFormat="1" applyFont="1" applyFill="1" applyBorder="1" applyAlignment="1">
      <alignment horizontal="right" vertical="center" wrapText="1"/>
    </xf>
    <xf numFmtId="165" fontId="1" fillId="14" borderId="56" xfId="2" applyNumberFormat="1" applyFont="1" applyFill="1" applyBorder="1" applyAlignment="1">
      <alignment horizontal="right" vertical="center" wrapText="1"/>
    </xf>
    <xf numFmtId="165" fontId="1" fillId="14" borderId="43" xfId="2" applyNumberFormat="1" applyFont="1" applyFill="1" applyBorder="1" applyAlignment="1">
      <alignment horizontal="right" vertical="center" wrapText="1"/>
    </xf>
    <xf numFmtId="0" fontId="2" fillId="6" borderId="57" xfId="0" applyNumberFormat="1" applyFont="1" applyFill="1" applyBorder="1" applyAlignment="1">
      <alignment horizontal="center" vertical="center" wrapText="1"/>
    </xf>
    <xf numFmtId="0" fontId="3" fillId="6" borderId="58" xfId="0" applyNumberFormat="1" applyFont="1" applyFill="1" applyBorder="1" applyAlignment="1">
      <alignment horizontal="center" vertical="center" wrapText="1"/>
    </xf>
    <xf numFmtId="0" fontId="2" fillId="6" borderId="59" xfId="0" applyNumberFormat="1" applyFont="1" applyFill="1" applyBorder="1" applyAlignment="1">
      <alignment horizontal="center" vertical="center" wrapText="1"/>
    </xf>
    <xf numFmtId="0" fontId="3" fillId="6" borderId="60" xfId="0" applyNumberFormat="1" applyFont="1" applyFill="1" applyBorder="1" applyAlignment="1">
      <alignment horizontal="center" vertical="center" wrapText="1"/>
    </xf>
    <xf numFmtId="165" fontId="1" fillId="14" borderId="61" xfId="0" applyNumberFormat="1" applyFont="1" applyFill="1" applyBorder="1" applyAlignment="1">
      <alignment horizontal="right" vertical="center" wrapText="1"/>
    </xf>
    <xf numFmtId="165" fontId="1" fillId="14" borderId="62" xfId="0" applyNumberFormat="1" applyFont="1" applyFill="1" applyBorder="1" applyAlignment="1">
      <alignment horizontal="right" vertical="center" wrapText="1"/>
    </xf>
    <xf numFmtId="165" fontId="1" fillId="14" borderId="63" xfId="0" applyNumberFormat="1" applyFont="1" applyFill="1" applyBorder="1" applyAlignment="1">
      <alignment horizontal="right" vertical="center" wrapText="1"/>
    </xf>
    <xf numFmtId="0" fontId="1" fillId="6" borderId="60" xfId="0" applyNumberFormat="1" applyFont="1" applyFill="1" applyBorder="1" applyAlignment="1">
      <alignment horizontal="left" vertical="center" wrapText="1"/>
    </xf>
    <xf numFmtId="0" fontId="2" fillId="14" borderId="61" xfId="0" applyFont="1" applyFill="1" applyBorder="1" applyAlignment="1">
      <alignment horizontal="right" vertical="center" wrapText="1"/>
    </xf>
    <xf numFmtId="0" fontId="2" fillId="14" borderId="62" xfId="0" applyFont="1" applyFill="1" applyBorder="1" applyAlignment="1">
      <alignment horizontal="right" vertical="center" wrapText="1"/>
    </xf>
    <xf numFmtId="0" fontId="2" fillId="14" borderId="63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164" fontId="1" fillId="0" borderId="1" xfId="0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3" fontId="4" fillId="0" borderId="50" xfId="0" applyNumberFormat="1" applyFont="1" applyBorder="1" applyAlignment="1">
      <alignment horizontal="left" vertical="center" wrapText="1"/>
    </xf>
    <xf numFmtId="165" fontId="4" fillId="12" borderId="48" xfId="0" applyNumberFormat="1" applyFont="1" applyFill="1" applyBorder="1" applyAlignment="1">
      <alignment horizontal="right" vertical="center" wrapText="1"/>
    </xf>
    <xf numFmtId="165" fontId="4" fillId="14" borderId="54" xfId="2" applyNumberFormat="1" applyFont="1" applyFill="1" applyBorder="1" applyAlignment="1">
      <alignment horizontal="right" vertical="center" wrapText="1"/>
    </xf>
    <xf numFmtId="3" fontId="8" fillId="6" borderId="50" xfId="0" applyNumberFormat="1" applyFont="1" applyFill="1" applyBorder="1" applyAlignment="1">
      <alignment horizontal="right" vertical="center" wrapText="1"/>
    </xf>
    <xf numFmtId="166" fontId="2" fillId="2" borderId="16" xfId="0" applyNumberFormat="1" applyFont="1" applyFill="1" applyBorder="1" applyAlignment="1">
      <alignment horizontal="center" vertical="center" wrapText="1"/>
    </xf>
    <xf numFmtId="166" fontId="2" fillId="2" borderId="14" xfId="0" applyNumberFormat="1" applyFont="1" applyFill="1" applyBorder="1" applyAlignment="1">
      <alignment horizontal="center" vertical="center" wrapText="1"/>
    </xf>
    <xf numFmtId="166" fontId="2" fillId="2" borderId="1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center" vertical="center" wrapText="1"/>
    </xf>
    <xf numFmtId="164" fontId="1" fillId="19" borderId="17" xfId="0" applyNumberFormat="1" applyFont="1" applyFill="1" applyBorder="1" applyAlignment="1">
      <alignment horizontal="right" vertical="center" wrapText="1"/>
    </xf>
    <xf numFmtId="164" fontId="1" fillId="19" borderId="26" xfId="0" applyNumberFormat="1" applyFont="1" applyFill="1" applyBorder="1" applyAlignment="1">
      <alignment horizontal="right" vertical="center" wrapText="1"/>
    </xf>
    <xf numFmtId="164" fontId="1" fillId="19" borderId="19" xfId="0" applyNumberFormat="1" applyFont="1" applyFill="1" applyBorder="1" applyAlignment="1">
      <alignment horizontal="right" vertical="center" wrapText="1"/>
    </xf>
    <xf numFmtId="164" fontId="1" fillId="19" borderId="28" xfId="0" applyNumberFormat="1" applyFont="1" applyFill="1" applyBorder="1" applyAlignment="1">
      <alignment horizontal="right" vertical="center" wrapText="1"/>
    </xf>
    <xf numFmtId="164" fontId="1" fillId="19" borderId="36" xfId="0" applyNumberFormat="1" applyFont="1" applyFill="1" applyBorder="1" applyAlignment="1">
      <alignment horizontal="right" vertical="center" wrapText="1"/>
    </xf>
    <xf numFmtId="164" fontId="1" fillId="19" borderId="38" xfId="0" applyNumberFormat="1" applyFont="1" applyFill="1" applyBorder="1" applyAlignment="1">
      <alignment horizontal="right" vertical="center" wrapText="1"/>
    </xf>
    <xf numFmtId="0" fontId="1" fillId="19" borderId="7" xfId="0" applyFont="1" applyFill="1" applyBorder="1" applyAlignment="1">
      <alignment horizontal="right" vertical="center" wrapText="1"/>
    </xf>
    <xf numFmtId="0" fontId="1" fillId="19" borderId="43" xfId="0" applyNumberFormat="1" applyFont="1" applyFill="1" applyBorder="1" applyAlignment="1">
      <alignment horizontal="right" vertical="center" wrapText="1"/>
    </xf>
    <xf numFmtId="0" fontId="4" fillId="19" borderId="0" xfId="0" applyFont="1" applyFill="1" applyBorder="1" applyAlignment="1">
      <alignment vertical="center" wrapText="1"/>
    </xf>
    <xf numFmtId="0" fontId="25" fillId="10" borderId="0" xfId="0" applyFont="1" applyFill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10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66" fontId="2" fillId="8" borderId="14" xfId="0" applyNumberFormat="1" applyFont="1" applyFill="1" applyBorder="1" applyAlignment="1">
      <alignment horizontal="left" vertical="center" wrapText="1"/>
    </xf>
    <xf numFmtId="3" fontId="1" fillId="19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3" fontId="1" fillId="19" borderId="16" xfId="0" applyNumberFormat="1" applyFont="1" applyFill="1" applyBorder="1" applyAlignment="1" applyProtection="1">
      <alignment horizontal="center" vertical="center" wrapText="1"/>
      <protection locked="0"/>
    </xf>
    <xf numFmtId="3" fontId="1" fillId="19" borderId="14" xfId="0" applyNumberFormat="1" applyFont="1" applyFill="1" applyBorder="1" applyAlignment="1" applyProtection="1">
      <alignment horizontal="center" vertical="center" wrapText="1"/>
      <protection locked="0"/>
    </xf>
    <xf numFmtId="3" fontId="1" fillId="19" borderId="15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6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4" xfId="0" applyNumberFormat="1" applyFont="1" applyFill="1" applyBorder="1" applyAlignment="1" applyProtection="1">
      <alignment horizontal="center" vertical="center" wrapText="1"/>
      <protection locked="0"/>
    </xf>
    <xf numFmtId="167" fontId="1" fillId="19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vertical="center" wrapText="1"/>
    </xf>
    <xf numFmtId="0" fontId="5" fillId="10" borderId="0" xfId="0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1" fillId="3" borderId="4" xfId="0" applyNumberFormat="1" applyFont="1" applyFill="1" applyBorder="1" applyAlignment="1">
      <alignment horizontal="right" vertical="center" wrapText="1"/>
    </xf>
    <xf numFmtId="4" fontId="2" fillId="8" borderId="30" xfId="0" applyNumberFormat="1" applyFont="1" applyFill="1" applyBorder="1" applyAlignment="1">
      <alignment horizontal="right" vertical="center" wrapText="1"/>
    </xf>
    <xf numFmtId="4" fontId="1" fillId="3" borderId="35" xfId="0" applyNumberFormat="1" applyFont="1" applyFill="1" applyBorder="1" applyAlignment="1">
      <alignment horizontal="right" vertical="center" wrapText="1"/>
    </xf>
    <xf numFmtId="164" fontId="2" fillId="21" borderId="31" xfId="0" applyNumberFormat="1" applyFont="1" applyFill="1" applyBorder="1" applyAlignment="1">
      <alignment horizontal="right" vertical="center" wrapText="1"/>
    </xf>
    <xf numFmtId="164" fontId="2" fillId="21" borderId="30" xfId="0" applyNumberFormat="1" applyFont="1" applyFill="1" applyBorder="1" applyAlignment="1">
      <alignment horizontal="right" vertical="center" wrapText="1"/>
    </xf>
    <xf numFmtId="4" fontId="2" fillId="21" borderId="32" xfId="0" applyNumberFormat="1" applyFont="1" applyFill="1" applyBorder="1" applyAlignment="1">
      <alignment horizontal="right" vertical="center" wrapText="1"/>
    </xf>
    <xf numFmtId="4" fontId="2" fillId="21" borderId="33" xfId="0" applyNumberFormat="1" applyFont="1" applyFill="1" applyBorder="1" applyAlignment="1">
      <alignment horizontal="right" vertical="center" wrapText="1"/>
    </xf>
    <xf numFmtId="0" fontId="24" fillId="10" borderId="0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center" vertical="center" wrapText="1"/>
    </xf>
    <xf numFmtId="3" fontId="25" fillId="10" borderId="0" xfId="0" applyNumberFormat="1" applyFont="1" applyFill="1" applyBorder="1" applyAlignment="1">
      <alignment horizontal="left" vertical="center" wrapText="1"/>
    </xf>
    <xf numFmtId="0" fontId="24" fillId="10" borderId="0" xfId="0" applyNumberFormat="1" applyFont="1" applyFill="1" applyBorder="1" applyAlignment="1">
      <alignment horizontal="right" vertical="center" wrapText="1"/>
    </xf>
    <xf numFmtId="0" fontId="26" fillId="0" borderId="0" xfId="0" applyNumberFormat="1" applyFont="1" applyFill="1" applyBorder="1" applyAlignment="1">
      <alignment horizontal="right" vertical="center" wrapText="1"/>
    </xf>
    <xf numFmtId="3" fontId="25" fillId="10" borderId="0" xfId="0" applyNumberFormat="1" applyFont="1" applyFill="1" applyBorder="1" applyAlignment="1">
      <alignment horizontal="right" vertical="center" wrapText="1"/>
    </xf>
    <xf numFmtId="3" fontId="2" fillId="21" borderId="31" xfId="0" applyNumberFormat="1" applyFont="1" applyFill="1" applyBorder="1" applyAlignment="1">
      <alignment horizontal="right" vertical="center" wrapText="1"/>
    </xf>
    <xf numFmtId="3" fontId="2" fillId="21" borderId="33" xfId="0" applyNumberFormat="1" applyFont="1" applyFill="1" applyBorder="1" applyAlignment="1">
      <alignment horizontal="right" vertical="center" wrapText="1"/>
    </xf>
    <xf numFmtId="3" fontId="2" fillId="7" borderId="29" xfId="0" applyNumberFormat="1" applyFont="1" applyFill="1" applyBorder="1" applyAlignment="1">
      <alignment horizontal="right" vertical="center" wrapText="1"/>
    </xf>
    <xf numFmtId="4" fontId="2" fillId="21" borderId="31" xfId="0" applyNumberFormat="1" applyFont="1" applyFill="1" applyBorder="1" applyAlignment="1">
      <alignment horizontal="right" vertical="center" wrapText="1"/>
    </xf>
    <xf numFmtId="3" fontId="1" fillId="11" borderId="5" xfId="0" applyNumberFormat="1" applyFont="1" applyFill="1" applyBorder="1" applyAlignment="1">
      <alignment horizontal="right" vertical="center" wrapText="1"/>
    </xf>
    <xf numFmtId="3" fontId="1" fillId="11" borderId="69" xfId="0" applyNumberFormat="1" applyFont="1" applyFill="1" applyBorder="1" applyAlignment="1">
      <alignment horizontal="right" vertical="center" wrapText="1"/>
    </xf>
    <xf numFmtId="3" fontId="1" fillId="11" borderId="4" xfId="0" applyNumberFormat="1" applyFont="1" applyFill="1" applyBorder="1" applyAlignment="1">
      <alignment horizontal="right" vertical="center" wrapText="1"/>
    </xf>
    <xf numFmtId="3" fontId="1" fillId="11" borderId="35" xfId="0" applyNumberFormat="1" applyFont="1" applyFill="1" applyBorder="1" applyAlignment="1">
      <alignment horizontal="right" vertical="center" wrapText="1"/>
    </xf>
    <xf numFmtId="0" fontId="2" fillId="8" borderId="51" xfId="0" applyNumberFormat="1" applyFont="1" applyFill="1" applyBorder="1" applyAlignment="1">
      <alignment horizontal="center" vertical="center" wrapText="1"/>
    </xf>
    <xf numFmtId="0" fontId="2" fillId="8" borderId="47" xfId="0" applyNumberFormat="1" applyFont="1" applyFill="1" applyBorder="1" applyAlignment="1">
      <alignment horizontal="center" vertical="center" wrapText="1"/>
    </xf>
    <xf numFmtId="0" fontId="3" fillId="8" borderId="18" xfId="0" applyNumberFormat="1" applyFont="1" applyFill="1" applyBorder="1" applyAlignment="1">
      <alignment horizontal="center" vertical="center" wrapText="1"/>
    </xf>
    <xf numFmtId="0" fontId="3" fillId="8" borderId="6" xfId="0" applyNumberFormat="1" applyFont="1" applyFill="1" applyBorder="1" applyAlignment="1">
      <alignment horizontal="center" vertical="center" wrapText="1"/>
    </xf>
    <xf numFmtId="164" fontId="1" fillId="11" borderId="46" xfId="0" applyNumberFormat="1" applyFont="1" applyFill="1" applyBorder="1" applyAlignment="1">
      <alignment horizontal="right" vertical="center" wrapText="1"/>
    </xf>
    <xf numFmtId="164" fontId="4" fillId="4" borderId="53" xfId="0" applyNumberFormat="1" applyFont="1" applyFill="1" applyBorder="1" applyAlignment="1">
      <alignment horizontal="right" vertical="center" wrapText="1"/>
    </xf>
    <xf numFmtId="164" fontId="4" fillId="4" borderId="46" xfId="0" applyNumberFormat="1" applyFont="1" applyFill="1" applyBorder="1" applyAlignment="1">
      <alignment horizontal="right" vertical="center" wrapText="1"/>
    </xf>
    <xf numFmtId="164" fontId="1" fillId="4" borderId="53" xfId="0" applyNumberFormat="1" applyFont="1" applyFill="1" applyBorder="1" applyAlignment="1">
      <alignment horizontal="right" vertical="center" wrapText="1"/>
    </xf>
    <xf numFmtId="164" fontId="1" fillId="4" borderId="46" xfId="0" applyNumberFormat="1" applyFont="1" applyFill="1" applyBorder="1" applyAlignment="1">
      <alignment horizontal="right" vertical="center" wrapText="1"/>
    </xf>
    <xf numFmtId="164" fontId="1" fillId="3" borderId="46" xfId="0" applyNumberFormat="1" applyFont="1" applyFill="1" applyBorder="1" applyAlignment="1">
      <alignment horizontal="righ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4" fontId="1" fillId="3" borderId="53" xfId="0" applyNumberFormat="1" applyFont="1" applyFill="1" applyBorder="1" applyAlignment="1">
      <alignment horizontal="right" vertical="center" wrapText="1"/>
    </xf>
    <xf numFmtId="4" fontId="1" fillId="3" borderId="46" xfId="0" applyNumberFormat="1" applyFont="1" applyFill="1" applyBorder="1" applyAlignment="1">
      <alignment horizontal="right" vertical="center" wrapText="1"/>
    </xf>
    <xf numFmtId="4" fontId="2" fillId="8" borderId="53" xfId="0" applyNumberFormat="1" applyFont="1" applyFill="1" applyBorder="1" applyAlignment="1">
      <alignment horizontal="right" vertical="center" wrapText="1"/>
    </xf>
    <xf numFmtId="4" fontId="2" fillId="8" borderId="46" xfId="0" applyNumberFormat="1" applyFont="1" applyFill="1" applyBorder="1" applyAlignment="1">
      <alignment horizontal="right" vertical="center" wrapText="1"/>
    </xf>
    <xf numFmtId="4" fontId="4" fillId="3" borderId="53" xfId="0" applyNumberFormat="1" applyFont="1" applyFill="1" applyBorder="1" applyAlignment="1">
      <alignment horizontal="right" vertical="center" wrapText="1"/>
    </xf>
    <xf numFmtId="4" fontId="4" fillId="3" borderId="46" xfId="0" applyNumberFormat="1" applyFont="1" applyFill="1" applyBorder="1" applyAlignment="1">
      <alignment horizontal="right" vertical="center" wrapText="1"/>
    </xf>
    <xf numFmtId="4" fontId="8" fillId="8" borderId="53" xfId="0" applyNumberFormat="1" applyFont="1" applyFill="1" applyBorder="1" applyAlignment="1">
      <alignment horizontal="right" vertical="center" wrapText="1"/>
    </xf>
    <xf numFmtId="4" fontId="8" fillId="8" borderId="46" xfId="0" applyNumberFormat="1" applyFont="1" applyFill="1" applyBorder="1" applyAlignment="1">
      <alignment horizontal="right" vertical="center" wrapText="1"/>
    </xf>
    <xf numFmtId="164" fontId="2" fillId="7" borderId="53" xfId="0" applyNumberFormat="1" applyFont="1" applyFill="1" applyBorder="1" applyAlignment="1">
      <alignment horizontal="right" vertical="center" wrapText="1"/>
    </xf>
    <xf numFmtId="164" fontId="2" fillId="7" borderId="46" xfId="0" applyNumberFormat="1" applyFont="1" applyFill="1" applyBorder="1" applyAlignment="1">
      <alignment horizontal="right" vertical="center" wrapText="1"/>
    </xf>
    <xf numFmtId="164" fontId="8" fillId="7" borderId="53" xfId="0" applyNumberFormat="1" applyFont="1" applyFill="1" applyBorder="1" applyAlignment="1">
      <alignment horizontal="right" vertical="center" wrapText="1"/>
    </xf>
    <xf numFmtId="164" fontId="8" fillId="7" borderId="46" xfId="0" applyNumberFormat="1" applyFont="1" applyFill="1" applyBorder="1" applyAlignment="1">
      <alignment horizontal="right" vertical="center" wrapText="1"/>
    </xf>
    <xf numFmtId="0" fontId="2" fillId="7" borderId="51" xfId="0" applyNumberFormat="1" applyFont="1" applyFill="1" applyBorder="1" applyAlignment="1">
      <alignment horizontal="center" vertical="center" wrapText="1"/>
    </xf>
    <xf numFmtId="0" fontId="2" fillId="7" borderId="47" xfId="0" applyNumberFormat="1" applyFont="1" applyFill="1" applyBorder="1" applyAlignment="1">
      <alignment horizontal="center" vertical="center" wrapText="1"/>
    </xf>
    <xf numFmtId="0" fontId="3" fillId="7" borderId="18" xfId="0" applyNumberFormat="1" applyFont="1" applyFill="1" applyBorder="1" applyAlignment="1">
      <alignment horizontal="center" vertical="center" wrapText="1"/>
    </xf>
    <xf numFmtId="0" fontId="3" fillId="7" borderId="6" xfId="0" applyNumberFormat="1" applyFont="1" applyFill="1" applyBorder="1" applyAlignment="1">
      <alignment horizontal="center" vertical="center" wrapText="1"/>
    </xf>
    <xf numFmtId="4" fontId="4" fillId="4" borderId="53" xfId="0" applyNumberFormat="1" applyFont="1" applyFill="1" applyBorder="1" applyAlignment="1">
      <alignment horizontal="right" vertical="center" wrapText="1"/>
    </xf>
    <xf numFmtId="4" fontId="4" fillId="4" borderId="46" xfId="0" applyNumberFormat="1" applyFont="1" applyFill="1" applyBorder="1" applyAlignment="1">
      <alignment horizontal="right" vertical="center" wrapText="1"/>
    </xf>
    <xf numFmtId="0" fontId="2" fillId="7" borderId="64" xfId="0" applyNumberFormat="1" applyFont="1" applyFill="1" applyBorder="1" applyAlignment="1">
      <alignment horizontal="center" vertical="center" wrapText="1"/>
    </xf>
    <xf numFmtId="0" fontId="2" fillId="7" borderId="35" xfId="0" applyNumberFormat="1" applyFont="1" applyFill="1" applyBorder="1" applyAlignment="1">
      <alignment horizontal="center" vertical="center" wrapText="1"/>
    </xf>
    <xf numFmtId="0" fontId="3" fillId="7" borderId="65" xfId="0" applyNumberFormat="1" applyFont="1" applyFill="1" applyBorder="1" applyAlignment="1">
      <alignment horizontal="center" vertical="center" wrapText="1"/>
    </xf>
    <xf numFmtId="0" fontId="2" fillId="16" borderId="64" xfId="0" applyNumberFormat="1" applyFont="1" applyFill="1" applyBorder="1" applyAlignment="1">
      <alignment horizontal="center" vertical="center" wrapText="1"/>
    </xf>
    <xf numFmtId="0" fontId="2" fillId="16" borderId="35" xfId="0" applyNumberFormat="1" applyFont="1" applyFill="1" applyBorder="1" applyAlignment="1">
      <alignment horizontal="center" vertical="center" wrapText="1"/>
    </xf>
    <xf numFmtId="0" fontId="3" fillId="16" borderId="65" xfId="0" applyNumberFormat="1" applyFont="1" applyFill="1" applyBorder="1" applyAlignment="1">
      <alignment horizontal="center" vertical="center" wrapText="1"/>
    </xf>
    <xf numFmtId="0" fontId="3" fillId="16" borderId="6" xfId="0" applyNumberFormat="1" applyFont="1" applyFill="1" applyBorder="1" applyAlignment="1">
      <alignment horizontal="center" vertical="center" wrapText="1"/>
    </xf>
    <xf numFmtId="0" fontId="2" fillId="8" borderId="64" xfId="0" applyNumberFormat="1" applyFont="1" applyFill="1" applyBorder="1" applyAlignment="1">
      <alignment horizontal="center" vertical="center" wrapText="1"/>
    </xf>
    <xf numFmtId="0" fontId="2" fillId="8" borderId="35" xfId="0" applyNumberFormat="1" applyFont="1" applyFill="1" applyBorder="1" applyAlignment="1">
      <alignment horizontal="center" vertical="center" wrapText="1"/>
    </xf>
    <xf numFmtId="0" fontId="3" fillId="8" borderId="65" xfId="0" applyNumberFormat="1" applyFont="1" applyFill="1" applyBorder="1" applyAlignment="1">
      <alignment horizontal="center" vertical="center" wrapText="1"/>
    </xf>
    <xf numFmtId="164" fontId="1" fillId="3" borderId="40" xfId="0" applyNumberFormat="1" applyFont="1" applyFill="1" applyBorder="1" applyAlignment="1">
      <alignment horizontal="right" vertical="center" wrapText="1"/>
    </xf>
    <xf numFmtId="164" fontId="1" fillId="3" borderId="44" xfId="0" applyNumberFormat="1" applyFont="1" applyFill="1" applyBorder="1" applyAlignment="1">
      <alignment horizontal="right" vertical="center" wrapText="1"/>
    </xf>
    <xf numFmtId="164" fontId="1" fillId="4" borderId="40" xfId="0" applyNumberFormat="1" applyFont="1" applyFill="1" applyBorder="1" applyAlignment="1">
      <alignment horizontal="right" vertical="center" wrapText="1"/>
    </xf>
    <xf numFmtId="164" fontId="1" fillId="4" borderId="44" xfId="0" applyNumberFormat="1" applyFont="1" applyFill="1" applyBorder="1" applyAlignment="1">
      <alignment horizontal="right" vertical="center" wrapText="1"/>
    </xf>
    <xf numFmtId="164" fontId="1" fillId="3" borderId="66" xfId="0" applyNumberFormat="1" applyFont="1" applyFill="1" applyBorder="1" applyAlignment="1">
      <alignment horizontal="right" vertical="center" wrapText="1"/>
    </xf>
    <xf numFmtId="164" fontId="1" fillId="4" borderId="66" xfId="0" applyNumberFormat="1" applyFont="1" applyFill="1" applyBorder="1" applyAlignment="1">
      <alignment horizontal="right" vertical="center" wrapText="1"/>
    </xf>
    <xf numFmtId="164" fontId="1" fillId="3" borderId="42" xfId="0" applyNumberFormat="1" applyFont="1" applyFill="1" applyBorder="1" applyAlignment="1">
      <alignment horizontal="right" vertical="center" wrapText="1"/>
    </xf>
    <xf numFmtId="164" fontId="1" fillId="3" borderId="45" xfId="0" applyNumberFormat="1" applyFont="1" applyFill="1" applyBorder="1" applyAlignment="1">
      <alignment horizontal="right" vertical="center" wrapText="1"/>
    </xf>
    <xf numFmtId="164" fontId="1" fillId="4" borderId="42" xfId="0" applyNumberFormat="1" applyFont="1" applyFill="1" applyBorder="1" applyAlignment="1">
      <alignment horizontal="right" vertical="center" wrapText="1"/>
    </xf>
    <xf numFmtId="164" fontId="1" fillId="4" borderId="45" xfId="0" applyNumberFormat="1" applyFont="1" applyFill="1" applyBorder="1" applyAlignment="1">
      <alignment horizontal="right" vertical="center" wrapText="1"/>
    </xf>
    <xf numFmtId="0" fontId="2" fillId="16" borderId="51" xfId="0" applyNumberFormat="1" applyFont="1" applyFill="1" applyBorder="1" applyAlignment="1">
      <alignment horizontal="center" vertical="center" wrapText="1"/>
    </xf>
    <xf numFmtId="0" fontId="2" fillId="16" borderId="47" xfId="0" applyNumberFormat="1" applyFont="1" applyFill="1" applyBorder="1" applyAlignment="1">
      <alignment horizontal="center" vertical="center" wrapText="1"/>
    </xf>
    <xf numFmtId="0" fontId="3" fillId="16" borderId="18" xfId="0" applyNumberFormat="1" applyFont="1" applyFill="1" applyBorder="1" applyAlignment="1">
      <alignment horizontal="center" vertical="center" wrapText="1"/>
    </xf>
    <xf numFmtId="164" fontId="1" fillId="11" borderId="40" xfId="0" applyNumberFormat="1" applyFont="1" applyFill="1" applyBorder="1" applyAlignment="1">
      <alignment horizontal="right" vertical="center" wrapText="1"/>
    </xf>
    <xf numFmtId="164" fontId="1" fillId="11" borderId="44" xfId="0" applyNumberFormat="1" applyFont="1" applyFill="1" applyBorder="1" applyAlignment="1">
      <alignment horizontal="right" vertical="center" wrapText="1"/>
    </xf>
    <xf numFmtId="164" fontId="1" fillId="11" borderId="66" xfId="0" applyNumberFormat="1" applyFont="1" applyFill="1" applyBorder="1" applyAlignment="1">
      <alignment horizontal="right" vertical="center" wrapText="1"/>
    </xf>
    <xf numFmtId="164" fontId="1" fillId="11" borderId="42" xfId="0" applyNumberFormat="1" applyFont="1" applyFill="1" applyBorder="1" applyAlignment="1">
      <alignment horizontal="right" vertical="center" wrapText="1"/>
    </xf>
    <xf numFmtId="164" fontId="1" fillId="11" borderId="4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165" fontId="8" fillId="6" borderId="48" xfId="0" applyNumberFormat="1" applyFont="1" applyFill="1" applyBorder="1" applyAlignment="1">
      <alignment horizontal="right" vertical="center" wrapText="1"/>
    </xf>
    <xf numFmtId="165" fontId="8" fillId="6" borderId="54" xfId="2" applyNumberFormat="1" applyFont="1" applyFill="1" applyBorder="1" applyAlignment="1">
      <alignment horizontal="right" vertical="center" wrapText="1"/>
    </xf>
    <xf numFmtId="165" fontId="2" fillId="6" borderId="48" xfId="0" applyNumberFormat="1" applyFont="1" applyFill="1" applyBorder="1" applyAlignment="1">
      <alignment horizontal="right" vertical="center" wrapText="1"/>
    </xf>
    <xf numFmtId="165" fontId="2" fillId="6" borderId="54" xfId="2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9" fillId="16" borderId="20" xfId="0" applyNumberFormat="1" applyFont="1" applyFill="1" applyBorder="1" applyAlignment="1">
      <alignment horizontal="center" vertical="center" wrapText="1"/>
    </xf>
    <xf numFmtId="0" fontId="9" fillId="16" borderId="21" xfId="0" applyNumberFormat="1" applyFont="1" applyFill="1" applyBorder="1" applyAlignment="1">
      <alignment horizontal="center" vertical="center" wrapText="1"/>
    </xf>
    <xf numFmtId="0" fontId="9" fillId="16" borderId="1" xfId="0" applyNumberFormat="1" applyFont="1" applyFill="1" applyBorder="1" applyAlignment="1">
      <alignment horizontal="center" vertical="center" wrapText="1"/>
    </xf>
    <xf numFmtId="0" fontId="2" fillId="16" borderId="22" xfId="0" applyNumberFormat="1" applyFont="1" applyFill="1" applyBorder="1" applyAlignment="1">
      <alignment horizontal="center" vertical="center" wrapText="1"/>
    </xf>
    <xf numFmtId="0" fontId="2" fillId="16" borderId="17" xfId="0" applyNumberFormat="1" applyFont="1" applyFill="1" applyBorder="1" applyAlignment="1">
      <alignment horizontal="center" vertical="center" wrapText="1"/>
    </xf>
    <xf numFmtId="0" fontId="2" fillId="16" borderId="5" xfId="0" applyNumberFormat="1" applyFont="1" applyFill="1" applyBorder="1" applyAlignment="1">
      <alignment horizontal="center" vertical="center" wrapText="1"/>
    </xf>
    <xf numFmtId="0" fontId="3" fillId="16" borderId="23" xfId="0" applyNumberFormat="1" applyFont="1" applyFill="1" applyBorder="1" applyAlignment="1">
      <alignment horizontal="center" vertical="center" wrapText="1"/>
    </xf>
    <xf numFmtId="0" fontId="1" fillId="16" borderId="21" xfId="0" applyNumberFormat="1" applyFont="1" applyFill="1" applyBorder="1" applyAlignment="1">
      <alignment horizontal="center" vertical="center" wrapText="1"/>
    </xf>
    <xf numFmtId="0" fontId="1" fillId="16" borderId="25" xfId="0" applyNumberFormat="1" applyFont="1" applyFill="1" applyBorder="1" applyAlignment="1">
      <alignment horizontal="center" vertical="center" wrapText="1"/>
    </xf>
    <xf numFmtId="3" fontId="2" fillId="16" borderId="30" xfId="0" applyNumberFormat="1" applyFont="1" applyFill="1" applyBorder="1" applyAlignment="1">
      <alignment horizontal="right" vertical="center" wrapText="1"/>
    </xf>
    <xf numFmtId="3" fontId="2" fillId="16" borderId="29" xfId="0" applyNumberFormat="1" applyFont="1" applyFill="1" applyBorder="1" applyAlignment="1">
      <alignment horizontal="right" vertical="center" wrapText="1"/>
    </xf>
    <xf numFmtId="4" fontId="1" fillId="19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24" fillId="10" borderId="0" xfId="0" applyFont="1" applyFill="1" applyAlignment="1">
      <alignment horizontal="center" vertical="center" wrapText="1"/>
    </xf>
    <xf numFmtId="0" fontId="24" fillId="10" borderId="0" xfId="0" applyFont="1" applyFill="1" applyAlignment="1">
      <alignment vertical="center" wrapText="1"/>
    </xf>
    <xf numFmtId="0" fontId="2" fillId="22" borderId="40" xfId="0" applyFont="1" applyFill="1" applyBorder="1" applyAlignment="1">
      <alignment vertical="center" wrapText="1"/>
    </xf>
    <xf numFmtId="0" fontId="1" fillId="22" borderId="41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2" fillId="22" borderId="0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 wrapText="1"/>
    </xf>
    <xf numFmtId="3" fontId="5" fillId="19" borderId="1" xfId="0" applyNumberFormat="1" applyFont="1" applyFill="1" applyBorder="1" applyAlignment="1">
      <alignment vertical="center" wrapText="1"/>
    </xf>
    <xf numFmtId="0" fontId="1" fillId="22" borderId="0" xfId="0" applyFont="1" applyFill="1" applyAlignment="1">
      <alignment vertical="center" wrapText="1"/>
    </xf>
    <xf numFmtId="3" fontId="5" fillId="0" borderId="0" xfId="0" applyNumberFormat="1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 wrapText="1"/>
    </xf>
    <xf numFmtId="0" fontId="13" fillId="22" borderId="40" xfId="0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0" fontId="2" fillId="22" borderId="0" xfId="0" applyFont="1" applyFill="1" applyAlignment="1">
      <alignment vertical="center"/>
    </xf>
    <xf numFmtId="0" fontId="25" fillId="0" borderId="0" xfId="0" applyFont="1" applyFill="1" applyAlignment="1">
      <alignment vertical="center" wrapText="1"/>
    </xf>
    <xf numFmtId="166" fontId="2" fillId="21" borderId="0" xfId="0" applyNumberFormat="1" applyFont="1" applyFill="1" applyBorder="1" applyAlignment="1">
      <alignment horizontal="center" vertical="center" wrapText="1"/>
    </xf>
    <xf numFmtId="167" fontId="2" fillId="21" borderId="0" xfId="0" applyNumberFormat="1" applyFont="1" applyFill="1" applyBorder="1" applyAlignment="1" applyProtection="1">
      <alignment horizontal="left" vertical="center" wrapText="1"/>
      <protection locked="0"/>
    </xf>
    <xf numFmtId="167" fontId="1" fillId="13" borderId="0" xfId="0" applyNumberFormat="1" applyFont="1" applyFill="1" applyBorder="1" applyAlignment="1" applyProtection="1">
      <alignment horizontal="left" vertical="center" wrapText="1"/>
      <protection locked="0"/>
    </xf>
    <xf numFmtId="3" fontId="1" fillId="13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13" borderId="0" xfId="0" applyFont="1" applyFill="1" applyBorder="1" applyAlignment="1">
      <alignment horizontal="right" vertical="center" wrapText="1"/>
    </xf>
    <xf numFmtId="167" fontId="1" fillId="13" borderId="0" xfId="0" applyNumberFormat="1" applyFont="1" applyFill="1" applyBorder="1" applyAlignment="1" applyProtection="1">
      <alignment horizontal="right" vertical="center" wrapText="1"/>
      <protection locked="0"/>
    </xf>
    <xf numFmtId="169" fontId="1" fillId="13" borderId="0" xfId="0" applyNumberFormat="1" applyFont="1" applyFill="1" applyBorder="1" applyAlignment="1" applyProtection="1">
      <alignment horizontal="center" vertical="center" wrapText="1"/>
      <protection locked="0"/>
    </xf>
    <xf numFmtId="3" fontId="2" fillId="21" borderId="0" xfId="0" applyNumberFormat="1" applyFont="1" applyFill="1" applyBorder="1" applyAlignment="1" applyProtection="1">
      <alignment horizontal="center" vertical="center" wrapText="1"/>
      <protection locked="0"/>
    </xf>
    <xf numFmtId="0" fontId="17" fillId="10" borderId="0" xfId="0" applyFont="1" applyFill="1" applyAlignment="1">
      <alignment horizontal="left" vertical="center" wrapText="1"/>
    </xf>
    <xf numFmtId="0" fontId="8" fillId="21" borderId="1" xfId="0" applyFont="1" applyFill="1" applyBorder="1" applyAlignment="1">
      <alignment horizontal="center" vertical="center" wrapText="1"/>
    </xf>
    <xf numFmtId="168" fontId="1" fillId="21" borderId="1" xfId="0" applyNumberFormat="1" applyFont="1" applyFill="1" applyBorder="1" applyAlignment="1">
      <alignment horizontal="right" vertical="center" wrapText="1"/>
    </xf>
    <xf numFmtId="168" fontId="2" fillId="21" borderId="1" xfId="0" applyNumberFormat="1" applyFont="1" applyFill="1" applyBorder="1" applyAlignment="1">
      <alignment horizontal="right" vertical="center" wrapText="1"/>
    </xf>
    <xf numFmtId="0" fontId="2" fillId="21" borderId="1" xfId="0" applyFont="1" applyFill="1" applyBorder="1" applyAlignment="1">
      <alignment horizontal="center" vertical="center" wrapText="1"/>
    </xf>
    <xf numFmtId="3" fontId="2" fillId="21" borderId="1" xfId="0" applyNumberFormat="1" applyFont="1" applyFill="1" applyBorder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2" fillId="2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1" fillId="19" borderId="0" xfId="0" applyNumberFormat="1" applyFont="1" applyFill="1" applyBorder="1" applyAlignment="1">
      <alignment horizontal="right" vertical="center" wrapText="1"/>
    </xf>
    <xf numFmtId="0" fontId="25" fillId="10" borderId="0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21" borderId="0" xfId="0" applyFont="1" applyFill="1" applyAlignment="1">
      <alignment vertical="center" wrapText="1"/>
    </xf>
    <xf numFmtId="0" fontId="4" fillId="13" borderId="0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vertical="center" wrapText="1"/>
    </xf>
    <xf numFmtId="167" fontId="2" fillId="8" borderId="14" xfId="0" applyNumberFormat="1" applyFont="1" applyFill="1" applyBorder="1" applyAlignment="1" applyProtection="1">
      <alignment horizontal="right" vertical="center" wrapText="1"/>
      <protection locked="0"/>
    </xf>
    <xf numFmtId="0" fontId="2" fillId="7" borderId="0" xfId="0" applyFont="1" applyFill="1" applyAlignment="1">
      <alignment vertical="center" wrapText="1"/>
    </xf>
    <xf numFmtId="3" fontId="13" fillId="0" borderId="1" xfId="0" applyNumberFormat="1" applyFont="1" applyFill="1" applyBorder="1" applyAlignment="1">
      <alignment vertical="center" wrapText="1"/>
    </xf>
    <xf numFmtId="164" fontId="13" fillId="0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5" fillId="10" borderId="0" xfId="0" applyFont="1" applyFill="1" applyBorder="1" applyAlignment="1">
      <alignment vertical="center"/>
    </xf>
    <xf numFmtId="4" fontId="1" fillId="10" borderId="35" xfId="0" applyNumberFormat="1" applyFont="1" applyFill="1" applyBorder="1" applyAlignment="1">
      <alignment horizontal="right" vertical="center" wrapText="1"/>
    </xf>
    <xf numFmtId="4" fontId="1" fillId="10" borderId="4" xfId="0" applyNumberFormat="1" applyFont="1" applyFill="1" applyBorder="1" applyAlignment="1">
      <alignment horizontal="right" vertical="center" wrapText="1"/>
    </xf>
    <xf numFmtId="4" fontId="1" fillId="9" borderId="14" xfId="0" applyNumberFormat="1" applyFont="1" applyFill="1" applyBorder="1" applyAlignment="1" applyProtection="1">
      <alignment horizontal="center" vertical="center" wrapText="1"/>
      <protection locked="0"/>
    </xf>
    <xf numFmtId="3" fontId="1" fillId="2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1" fillId="9" borderId="16" xfId="0" applyNumberFormat="1" applyFont="1" applyFill="1" applyBorder="1" applyAlignment="1" applyProtection="1">
      <alignment horizontal="center" vertical="center" wrapText="1"/>
      <protection locked="0"/>
    </xf>
    <xf numFmtId="4" fontId="1" fillId="9" borderId="15" xfId="0" applyNumberFormat="1" applyFont="1" applyFill="1" applyBorder="1" applyAlignment="1" applyProtection="1">
      <alignment horizontal="center" vertical="center" wrapText="1"/>
      <protection locked="0"/>
    </xf>
    <xf numFmtId="9" fontId="1" fillId="10" borderId="38" xfId="0" applyNumberFormat="1" applyFont="1" applyFill="1" applyBorder="1" applyAlignment="1">
      <alignment horizontal="right" vertical="center" wrapText="1"/>
    </xf>
    <xf numFmtId="9" fontId="1" fillId="10" borderId="28" xfId="0" applyNumberFormat="1" applyFont="1" applyFill="1" applyBorder="1" applyAlignment="1">
      <alignment horizontal="right" vertical="center" wrapText="1"/>
    </xf>
    <xf numFmtId="9" fontId="1" fillId="14" borderId="54" xfId="2" applyNumberFormat="1" applyFont="1" applyFill="1" applyBorder="1" applyAlignment="1">
      <alignment horizontal="right" vertical="center" wrapText="1"/>
    </xf>
    <xf numFmtId="9" fontId="2" fillId="6" borderId="54" xfId="2" applyNumberFormat="1" applyFont="1" applyFill="1" applyBorder="1" applyAlignment="1">
      <alignment horizontal="right" vertical="center" wrapText="1"/>
    </xf>
    <xf numFmtId="9" fontId="4" fillId="14" borderId="54" xfId="2" applyNumberFormat="1" applyFont="1" applyFill="1" applyBorder="1" applyAlignment="1">
      <alignment horizontal="right" vertical="center" wrapText="1"/>
    </xf>
    <xf numFmtId="9" fontId="8" fillId="6" borderId="54" xfId="2" applyNumberFormat="1" applyFont="1" applyFill="1" applyBorder="1" applyAlignment="1">
      <alignment horizontal="right" vertical="center" wrapText="1"/>
    </xf>
    <xf numFmtId="0" fontId="9" fillId="18" borderId="21" xfId="0" applyNumberFormat="1" applyFont="1" applyFill="1" applyBorder="1" applyAlignment="1">
      <alignment horizontal="center" vertical="center" wrapText="1"/>
    </xf>
    <xf numFmtId="0" fontId="9" fillId="18" borderId="1" xfId="0" applyNumberFormat="1" applyFont="1" applyFill="1" applyBorder="1" applyAlignment="1">
      <alignment horizontal="center" vertical="center" wrapText="1"/>
    </xf>
    <xf numFmtId="0" fontId="2" fillId="18" borderId="17" xfId="0" applyNumberFormat="1" applyFont="1" applyFill="1" applyBorder="1" applyAlignment="1">
      <alignment horizontal="center" vertical="center" wrapText="1"/>
    </xf>
    <xf numFmtId="0" fontId="2" fillId="18" borderId="5" xfId="0" applyNumberFormat="1" applyFont="1" applyFill="1" applyBorder="1" applyAlignment="1">
      <alignment horizontal="center" vertical="center" wrapText="1"/>
    </xf>
    <xf numFmtId="0" fontId="3" fillId="18" borderId="18" xfId="0" applyNumberFormat="1" applyFont="1" applyFill="1" applyBorder="1" applyAlignment="1">
      <alignment horizontal="center" vertical="center" wrapText="1"/>
    </xf>
    <xf numFmtId="0" fontId="3" fillId="18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64" fontId="1" fillId="10" borderId="26" xfId="0" applyNumberFormat="1" applyFont="1" applyFill="1" applyBorder="1" applyAlignment="1">
      <alignment horizontal="right" vertical="center" wrapText="1"/>
    </xf>
    <xf numFmtId="164" fontId="1" fillId="10" borderId="28" xfId="0" applyNumberFormat="1" applyFont="1" applyFill="1" applyBorder="1" applyAlignment="1">
      <alignment horizontal="right" vertical="center" wrapText="1"/>
    </xf>
    <xf numFmtId="164" fontId="2" fillId="21" borderId="33" xfId="0" applyNumberFormat="1" applyFont="1" applyFill="1" applyBorder="1" applyAlignment="1">
      <alignment horizontal="right" vertical="center" wrapText="1"/>
    </xf>
    <xf numFmtId="4" fontId="1" fillId="10" borderId="36" xfId="0" applyNumberFormat="1" applyFont="1" applyFill="1" applyBorder="1" applyAlignment="1">
      <alignment horizontal="right" vertical="center" wrapText="1"/>
    </xf>
    <xf numFmtId="0" fontId="9" fillId="18" borderId="51" xfId="0" applyNumberFormat="1" applyFont="1" applyFill="1" applyBorder="1" applyAlignment="1">
      <alignment horizontal="center" vertical="center" wrapText="1"/>
    </xf>
    <xf numFmtId="0" fontId="9" fillId="18" borderId="69" xfId="0" applyNumberFormat="1" applyFont="1" applyFill="1" applyBorder="1" applyAlignment="1">
      <alignment horizontal="center" vertical="center" wrapText="1"/>
    </xf>
    <xf numFmtId="0" fontId="2" fillId="18" borderId="19" xfId="0" applyNumberFormat="1" applyFont="1" applyFill="1" applyBorder="1" applyAlignment="1">
      <alignment horizontal="center" vertical="center" wrapText="1"/>
    </xf>
    <xf numFmtId="0" fontId="2" fillId="18" borderId="4" xfId="0" applyNumberFormat="1" applyFont="1" applyFill="1" applyBorder="1" applyAlignment="1">
      <alignment horizontal="center" vertical="center" wrapText="1"/>
    </xf>
    <xf numFmtId="4" fontId="2" fillId="18" borderId="30" xfId="0" applyNumberFormat="1" applyFont="1" applyFill="1" applyBorder="1" applyAlignment="1">
      <alignment horizontal="right" vertical="center" wrapText="1"/>
    </xf>
    <xf numFmtId="4" fontId="1" fillId="17" borderId="69" xfId="0" applyNumberFormat="1" applyFont="1" applyFill="1" applyBorder="1" applyAlignment="1">
      <alignment horizontal="right" vertical="center" wrapText="1"/>
    </xf>
    <xf numFmtId="4" fontId="1" fillId="17" borderId="66" xfId="0" applyNumberFormat="1" applyFont="1" applyFill="1" applyBorder="1" applyAlignment="1">
      <alignment horizontal="right" vertical="center" wrapText="1"/>
    </xf>
    <xf numFmtId="4" fontId="1" fillId="17" borderId="46" xfId="0" applyNumberFormat="1" applyFont="1" applyFill="1" applyBorder="1" applyAlignment="1">
      <alignment horizontal="right" vertical="center" wrapText="1"/>
    </xf>
    <xf numFmtId="0" fontId="9" fillId="18" borderId="35" xfId="0" applyNumberFormat="1" applyFont="1" applyFill="1" applyBorder="1" applyAlignment="1">
      <alignment horizontal="center" vertical="center" wrapText="1"/>
    </xf>
    <xf numFmtId="0" fontId="3" fillId="8" borderId="70" xfId="0" applyNumberFormat="1" applyFont="1" applyFill="1" applyBorder="1" applyAlignment="1">
      <alignment horizontal="center" vertical="center" wrapText="1"/>
    </xf>
    <xf numFmtId="0" fontId="3" fillId="7" borderId="70" xfId="0" applyNumberFormat="1" applyFont="1" applyFill="1" applyBorder="1" applyAlignment="1">
      <alignment horizontal="center" vertical="center" wrapText="1"/>
    </xf>
    <xf numFmtId="0" fontId="3" fillId="16" borderId="70" xfId="0" applyNumberFormat="1" applyFont="1" applyFill="1" applyBorder="1" applyAlignment="1">
      <alignment horizontal="center" vertical="center" wrapText="1"/>
    </xf>
    <xf numFmtId="4" fontId="1" fillId="17" borderId="42" xfId="0" applyNumberFormat="1" applyFont="1" applyFill="1" applyBorder="1" applyAlignment="1">
      <alignment horizontal="right" vertical="center" wrapText="1"/>
    </xf>
    <xf numFmtId="4" fontId="1" fillId="17" borderId="45" xfId="0" applyNumberFormat="1" applyFont="1" applyFill="1" applyBorder="1" applyAlignment="1">
      <alignment horizontal="right" vertical="center" wrapText="1"/>
    </xf>
    <xf numFmtId="0" fontId="9" fillId="18" borderId="64" xfId="0" applyNumberFormat="1" applyFont="1" applyFill="1" applyBorder="1" applyAlignment="1">
      <alignment horizontal="center" vertical="center" wrapText="1"/>
    </xf>
    <xf numFmtId="4" fontId="1" fillId="17" borderId="65" xfId="0" applyNumberFormat="1" applyFont="1" applyFill="1" applyBorder="1" applyAlignment="1">
      <alignment horizontal="right" vertical="center" wrapText="1"/>
    </xf>
    <xf numFmtId="4" fontId="1" fillId="17" borderId="70" xfId="0" applyNumberFormat="1" applyFont="1" applyFill="1" applyBorder="1" applyAlignment="1">
      <alignment horizontal="right" vertical="center" wrapText="1"/>
    </xf>
    <xf numFmtId="165" fontId="1" fillId="14" borderId="58" xfId="2" applyNumberFormat="1" applyFont="1" applyFill="1" applyBorder="1" applyAlignment="1">
      <alignment horizontal="right" vertical="center" wrapText="1"/>
    </xf>
    <xf numFmtId="0" fontId="2" fillId="18" borderId="71" xfId="0" applyNumberFormat="1" applyFont="1" applyFill="1" applyBorder="1" applyAlignment="1">
      <alignment horizontal="center" vertical="center" wrapText="1"/>
    </xf>
    <xf numFmtId="0" fontId="2" fillId="18" borderId="30" xfId="0" applyNumberFormat="1" applyFont="1" applyFill="1" applyBorder="1" applyAlignment="1">
      <alignment horizontal="center" vertical="center" wrapText="1"/>
    </xf>
    <xf numFmtId="0" fontId="3" fillId="6" borderId="72" xfId="0" applyNumberFormat="1" applyFont="1" applyFill="1" applyBorder="1" applyAlignment="1">
      <alignment horizontal="center" vertical="center" wrapText="1"/>
    </xf>
    <xf numFmtId="4" fontId="5" fillId="19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167" fontId="4" fillId="0" borderId="14" xfId="0" applyNumberFormat="1" applyFont="1" applyFill="1" applyBorder="1" applyAlignment="1" applyProtection="1">
      <alignment horizontal="left" vertical="center" wrapText="1"/>
      <protection locked="0"/>
    </xf>
    <xf numFmtId="4" fontId="4" fillId="19" borderId="1" xfId="0" applyNumberFormat="1" applyFont="1" applyFill="1" applyBorder="1" applyAlignment="1">
      <alignment vertical="center" wrapText="1"/>
    </xf>
    <xf numFmtId="4" fontId="2" fillId="8" borderId="16" xfId="0" applyNumberFormat="1" applyFont="1" applyFill="1" applyBorder="1" applyAlignment="1" applyProtection="1">
      <alignment horizontal="center" vertical="center" wrapText="1"/>
      <protection locked="0"/>
    </xf>
    <xf numFmtId="4" fontId="2" fillId="8" borderId="14" xfId="0" applyNumberFormat="1" applyFont="1" applyFill="1" applyBorder="1" applyAlignment="1" applyProtection="1">
      <alignment horizontal="center" vertical="center" wrapText="1"/>
      <protection locked="0"/>
    </xf>
    <xf numFmtId="4" fontId="2" fillId="8" borderId="15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6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4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5" xfId="0" applyNumberFormat="1" applyFont="1" applyFill="1" applyBorder="1" applyAlignment="1" applyProtection="1">
      <alignment horizontal="center" vertical="center" wrapText="1"/>
      <protection locked="0"/>
    </xf>
    <xf numFmtId="3" fontId="1" fillId="4" borderId="5" xfId="0" applyNumberFormat="1" applyFont="1" applyFill="1" applyBorder="1" applyAlignment="1">
      <alignment horizontal="right" vertical="center" wrapText="1"/>
    </xf>
    <xf numFmtId="3" fontId="1" fillId="4" borderId="69" xfId="0" applyNumberFormat="1" applyFont="1" applyFill="1" applyBorder="1" applyAlignment="1">
      <alignment horizontal="right" vertical="center" wrapText="1"/>
    </xf>
    <xf numFmtId="3" fontId="1" fillId="4" borderId="4" xfId="0" applyNumberFormat="1" applyFont="1" applyFill="1" applyBorder="1" applyAlignment="1">
      <alignment horizontal="right" vertical="center" wrapText="1"/>
    </xf>
    <xf numFmtId="3" fontId="2" fillId="7" borderId="30" xfId="0" applyNumberFormat="1" applyFont="1" applyFill="1" applyBorder="1" applyAlignment="1">
      <alignment horizontal="right" vertical="center" wrapText="1"/>
    </xf>
    <xf numFmtId="3" fontId="1" fillId="4" borderId="35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Alignment="1">
      <alignment horizontal="left" vertical="center" wrapText="1"/>
    </xf>
    <xf numFmtId="0" fontId="5" fillId="0" borderId="0" xfId="0" applyNumberFormat="1" applyFont="1" applyAlignment="1">
      <alignment horizontal="left" vertical="center"/>
    </xf>
    <xf numFmtId="9" fontId="1" fillId="10" borderId="26" xfId="0" applyNumberFormat="1" applyFont="1" applyFill="1" applyBorder="1" applyAlignment="1">
      <alignment horizontal="right" vertical="center" wrapText="1"/>
    </xf>
    <xf numFmtId="9" fontId="2" fillId="21" borderId="33" xfId="0" applyNumberFormat="1" applyFont="1" applyFill="1" applyBorder="1" applyAlignment="1">
      <alignment horizontal="right" vertical="center" wrapText="1"/>
    </xf>
    <xf numFmtId="0" fontId="1" fillId="8" borderId="25" xfId="0" applyNumberFormat="1" applyFont="1" applyFill="1" applyBorder="1" applyAlignment="1">
      <alignment horizontal="center" vertical="center" wrapText="1"/>
    </xf>
    <xf numFmtId="0" fontId="1" fillId="7" borderId="25" xfId="0" applyNumberFormat="1" applyFont="1" applyFill="1" applyBorder="1" applyAlignment="1">
      <alignment horizontal="center" vertical="center" wrapText="1"/>
    </xf>
    <xf numFmtId="166" fontId="13" fillId="18" borderId="14" xfId="0" applyNumberFormat="1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8" borderId="0" xfId="0" applyFont="1" applyFill="1" applyAlignment="1">
      <alignment vertical="center" wrapText="1"/>
    </xf>
    <xf numFmtId="164" fontId="1" fillId="19" borderId="11" xfId="0" applyNumberFormat="1" applyFont="1" applyFill="1" applyBorder="1" applyAlignment="1">
      <alignment horizontal="right" vertical="center" wrapText="1"/>
    </xf>
    <xf numFmtId="164" fontId="1" fillId="19" borderId="10" xfId="0" applyNumberFormat="1" applyFont="1" applyFill="1" applyBorder="1" applyAlignment="1">
      <alignment horizontal="right" vertical="center" wrapText="1"/>
    </xf>
    <xf numFmtId="164" fontId="2" fillId="2" borderId="32" xfId="0" applyNumberFormat="1" applyFont="1" applyFill="1" applyBorder="1" applyAlignment="1">
      <alignment horizontal="right" vertical="center" wrapText="1"/>
    </xf>
    <xf numFmtId="164" fontId="1" fillId="19" borderId="37" xfId="0" applyNumberFormat="1" applyFont="1" applyFill="1" applyBorder="1" applyAlignment="1">
      <alignment horizontal="right" vertical="center" wrapText="1"/>
    </xf>
    <xf numFmtId="3" fontId="1" fillId="11" borderId="53" xfId="0" applyNumberFormat="1" applyFont="1" applyFill="1" applyBorder="1" applyAlignment="1">
      <alignment horizontal="right" vertical="center" wrapText="1"/>
    </xf>
    <xf numFmtId="3" fontId="1" fillId="11" borderId="46" xfId="0" applyNumberFormat="1" applyFont="1" applyFill="1" applyBorder="1" applyAlignment="1">
      <alignment horizontal="right" vertical="center" wrapText="1"/>
    </xf>
    <xf numFmtId="3" fontId="2" fillId="16" borderId="53" xfId="0" applyNumberFormat="1" applyFont="1" applyFill="1" applyBorder="1" applyAlignment="1">
      <alignment horizontal="right" vertical="center" wrapText="1"/>
    </xf>
    <xf numFmtId="3" fontId="2" fillId="16" borderId="46" xfId="0" applyNumberFormat="1" applyFont="1" applyFill="1" applyBorder="1" applyAlignment="1">
      <alignment horizontal="right" vertical="center" wrapText="1"/>
    </xf>
    <xf numFmtId="3" fontId="4" fillId="11" borderId="53" xfId="0" applyNumberFormat="1" applyFont="1" applyFill="1" applyBorder="1" applyAlignment="1">
      <alignment horizontal="right" vertical="center" wrapText="1"/>
    </xf>
    <xf numFmtId="3" fontId="4" fillId="11" borderId="46" xfId="0" applyNumberFormat="1" applyFont="1" applyFill="1" applyBorder="1" applyAlignment="1">
      <alignment horizontal="right" vertical="center" wrapText="1"/>
    </xf>
    <xf numFmtId="3" fontId="8" fillId="16" borderId="53" xfId="0" applyNumberFormat="1" applyFont="1" applyFill="1" applyBorder="1" applyAlignment="1">
      <alignment horizontal="right" vertical="center" wrapText="1"/>
    </xf>
    <xf numFmtId="3" fontId="8" fillId="16" borderId="46" xfId="0" applyNumberFormat="1" applyFont="1" applyFill="1" applyBorder="1" applyAlignment="1">
      <alignment horizontal="right" vertical="center" wrapText="1"/>
    </xf>
    <xf numFmtId="4" fontId="1" fillId="17" borderId="53" xfId="0" applyNumberFormat="1" applyFont="1" applyFill="1" applyBorder="1" applyAlignment="1">
      <alignment horizontal="right" vertical="center" wrapText="1"/>
    </xf>
    <xf numFmtId="4" fontId="1" fillId="17" borderId="51" xfId="0" applyNumberFormat="1" applyFont="1" applyFill="1" applyBorder="1" applyAlignment="1">
      <alignment horizontal="right" vertical="center" wrapText="1"/>
    </xf>
    <xf numFmtId="164" fontId="1" fillId="19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18" borderId="0" xfId="0" applyFont="1" applyFill="1" applyAlignment="1">
      <alignment horizontal="center" vertical="center" wrapText="1"/>
    </xf>
    <xf numFmtId="0" fontId="9" fillId="18" borderId="9" xfId="0" applyNumberFormat="1" applyFont="1" applyFill="1" applyBorder="1" applyAlignment="1">
      <alignment horizontal="center" vertical="center" wrapText="1"/>
    </xf>
    <xf numFmtId="0" fontId="9" fillId="18" borderId="25" xfId="0" applyNumberFormat="1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vertical="center" wrapText="1"/>
    </xf>
    <xf numFmtId="0" fontId="5" fillId="24" borderId="1" xfId="0" applyFont="1" applyFill="1" applyBorder="1" applyAlignment="1">
      <alignment vertical="center" wrapText="1"/>
    </xf>
    <xf numFmtId="9" fontId="1" fillId="24" borderId="1" xfId="2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9" fontId="2" fillId="22" borderId="1" xfId="2" applyFont="1" applyFill="1" applyBorder="1" applyAlignment="1">
      <alignment vertical="center" wrapText="1"/>
    </xf>
    <xf numFmtId="0" fontId="1" fillId="22" borderId="69" xfId="0" applyFont="1" applyFill="1" applyBorder="1" applyAlignment="1">
      <alignment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2" fillId="22" borderId="26" xfId="0" applyFont="1" applyFill="1" applyBorder="1" applyAlignment="1">
      <alignment horizontal="center" vertical="center" wrapText="1"/>
    </xf>
    <xf numFmtId="0" fontId="1" fillId="22" borderId="70" xfId="0" applyFont="1" applyFill="1" applyBorder="1" applyAlignment="1">
      <alignment vertical="center" wrapText="1"/>
    </xf>
    <xf numFmtId="0" fontId="3" fillId="22" borderId="6" xfId="0" applyFont="1" applyFill="1" applyBorder="1" applyAlignment="1">
      <alignment horizontal="center" vertical="center" wrapText="1"/>
    </xf>
    <xf numFmtId="0" fontId="3" fillId="22" borderId="27" xfId="0" applyFont="1" applyFill="1" applyBorder="1" applyAlignment="1">
      <alignment horizontal="center" vertical="center" wrapText="1"/>
    </xf>
    <xf numFmtId="164" fontId="1" fillId="19" borderId="5" xfId="0" applyNumberFormat="1" applyFont="1" applyFill="1" applyBorder="1" applyAlignment="1">
      <alignment horizontal="right" vertical="center" wrapText="1"/>
    </xf>
    <xf numFmtId="164" fontId="1" fillId="19" borderId="4" xfId="0" applyNumberFormat="1" applyFont="1" applyFill="1" applyBorder="1" applyAlignment="1">
      <alignment horizontal="right" vertical="center" wrapText="1"/>
    </xf>
    <xf numFmtId="164" fontId="2" fillId="2" borderId="30" xfId="0" applyNumberFormat="1" applyFont="1" applyFill="1" applyBorder="1" applyAlignment="1">
      <alignment horizontal="right" vertical="center" wrapText="1"/>
    </xf>
    <xf numFmtId="164" fontId="1" fillId="19" borderId="35" xfId="0" applyNumberFormat="1" applyFont="1" applyFill="1" applyBorder="1" applyAlignment="1">
      <alignment horizontal="right" vertical="center" wrapText="1"/>
    </xf>
    <xf numFmtId="0" fontId="1" fillId="25" borderId="0" xfId="0" applyNumberFormat="1" applyFont="1" applyFill="1" applyAlignment="1">
      <alignment horizontal="left" vertical="center" wrapText="1"/>
    </xf>
    <xf numFmtId="9" fontId="1" fillId="25" borderId="0" xfId="0" applyNumberFormat="1" applyFont="1" applyFill="1" applyAlignment="1">
      <alignment horizontal="left" vertical="center" wrapText="1"/>
    </xf>
    <xf numFmtId="0" fontId="1" fillId="26" borderId="0" xfId="0" applyNumberFormat="1" applyFont="1" applyFill="1" applyAlignment="1">
      <alignment horizontal="left" vertical="center" wrapText="1"/>
    </xf>
    <xf numFmtId="9" fontId="1" fillId="26" borderId="0" xfId="0" applyNumberFormat="1" applyFont="1" applyFill="1" applyAlignment="1">
      <alignment horizontal="left" vertical="center" wrapText="1"/>
    </xf>
    <xf numFmtId="0" fontId="1" fillId="0" borderId="0" xfId="0" applyNumberFormat="1" applyFont="1" applyAlignment="1">
      <alignment horizontal="left" vertical="center"/>
    </xf>
    <xf numFmtId="164" fontId="1" fillId="3" borderId="35" xfId="0" applyNumberFormat="1" applyFont="1" applyFill="1" applyBorder="1" applyAlignment="1">
      <alignment horizontal="right" vertical="center" wrapText="1"/>
    </xf>
    <xf numFmtId="164" fontId="1" fillId="3" borderId="4" xfId="0" applyNumberFormat="1" applyFont="1" applyFill="1" applyBorder="1" applyAlignment="1">
      <alignment horizontal="right" vertical="center" wrapText="1"/>
    </xf>
    <xf numFmtId="0" fontId="1" fillId="26" borderId="0" xfId="0" applyNumberFormat="1" applyFont="1" applyFill="1" applyAlignment="1">
      <alignment horizontal="left" vertical="center"/>
    </xf>
    <xf numFmtId="0" fontId="1" fillId="25" borderId="0" xfId="0" applyNumberFormat="1" applyFont="1" applyFill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9" fontId="1" fillId="25" borderId="0" xfId="0" applyNumberFormat="1" applyFont="1" applyFill="1" applyAlignment="1">
      <alignment horizontal="left" vertical="center"/>
    </xf>
    <xf numFmtId="9" fontId="1" fillId="26" borderId="0" xfId="0" applyNumberFormat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7" fillId="10" borderId="0" xfId="0" applyFont="1" applyFill="1" applyAlignment="1">
      <alignment vertical="center"/>
    </xf>
    <xf numFmtId="0" fontId="3" fillId="3" borderId="27" xfId="0" applyNumberFormat="1" applyFont="1" applyFill="1" applyBorder="1" applyAlignment="1">
      <alignment horizontal="center" vertical="center" wrapText="1"/>
    </xf>
    <xf numFmtId="4" fontId="1" fillId="3" borderId="51" xfId="0" applyNumberFormat="1" applyFont="1" applyFill="1" applyBorder="1" applyAlignment="1">
      <alignment horizontal="right" vertical="center" wrapText="1"/>
    </xf>
    <xf numFmtId="4" fontId="1" fillId="3" borderId="52" xfId="0" applyNumberFormat="1" applyFont="1" applyFill="1" applyBorder="1" applyAlignment="1">
      <alignment horizontal="right" vertical="center" wrapText="1"/>
    </xf>
    <xf numFmtId="164" fontId="1" fillId="4" borderId="5" xfId="0" applyNumberFormat="1" applyFont="1" applyFill="1" applyBorder="1" applyAlignment="1">
      <alignment horizontal="right" vertical="center" wrapText="1"/>
    </xf>
    <xf numFmtId="164" fontId="1" fillId="4" borderId="69" xfId="0" applyNumberFormat="1" applyFont="1" applyFill="1" applyBorder="1" applyAlignment="1">
      <alignment horizontal="right" vertical="center" wrapText="1"/>
    </xf>
    <xf numFmtId="164" fontId="1" fillId="4" borderId="4" xfId="0" applyNumberFormat="1" applyFont="1" applyFill="1" applyBorder="1" applyAlignment="1">
      <alignment horizontal="right" vertical="center" wrapText="1"/>
    </xf>
    <xf numFmtId="164" fontId="2" fillId="7" borderId="30" xfId="0" applyNumberFormat="1" applyFont="1" applyFill="1" applyBorder="1" applyAlignment="1">
      <alignment horizontal="right" vertical="center" wrapText="1"/>
    </xf>
    <xf numFmtId="164" fontId="1" fillId="4" borderId="35" xfId="0" applyNumberFormat="1" applyFont="1" applyFill="1" applyBorder="1" applyAlignment="1">
      <alignment horizontal="right" vertical="center" wrapText="1"/>
    </xf>
    <xf numFmtId="4" fontId="1" fillId="17" borderId="52" xfId="0" applyNumberFormat="1" applyFont="1" applyFill="1" applyBorder="1" applyAlignment="1">
      <alignment horizontal="right" vertical="center" wrapText="1"/>
    </xf>
    <xf numFmtId="4" fontId="1" fillId="17" borderId="19" xfId="0" applyNumberFormat="1" applyFont="1" applyFill="1" applyBorder="1" applyAlignment="1">
      <alignment horizontal="right" vertical="center" wrapText="1"/>
    </xf>
    <xf numFmtId="4" fontId="1" fillId="17" borderId="28" xfId="0" applyNumberFormat="1" applyFont="1" applyFill="1" applyBorder="1" applyAlignment="1">
      <alignment horizontal="right" vertical="center" wrapText="1"/>
    </xf>
    <xf numFmtId="4" fontId="2" fillId="18" borderId="31" xfId="0" applyNumberFormat="1" applyFont="1" applyFill="1" applyBorder="1" applyAlignment="1">
      <alignment horizontal="right" vertical="center" wrapText="1"/>
    </xf>
    <xf numFmtId="4" fontId="2" fillId="18" borderId="33" xfId="0" applyNumberFormat="1" applyFont="1" applyFill="1" applyBorder="1" applyAlignment="1">
      <alignment horizontal="right" vertical="center" wrapText="1"/>
    </xf>
    <xf numFmtId="9" fontId="1" fillId="10" borderId="73" xfId="0" applyNumberFormat="1" applyFont="1" applyFill="1" applyBorder="1" applyAlignment="1">
      <alignment horizontal="right" vertical="center" wrapText="1"/>
    </xf>
    <xf numFmtId="9" fontId="1" fillId="10" borderId="74" xfId="0" applyNumberFormat="1" applyFont="1" applyFill="1" applyBorder="1" applyAlignment="1">
      <alignment horizontal="right" vertical="center" wrapText="1"/>
    </xf>
    <xf numFmtId="9" fontId="2" fillId="21" borderId="75" xfId="0" applyNumberFormat="1" applyFont="1" applyFill="1" applyBorder="1" applyAlignment="1">
      <alignment horizontal="right" vertical="center" wrapText="1"/>
    </xf>
    <xf numFmtId="3" fontId="1" fillId="11" borderId="51" xfId="0" applyNumberFormat="1" applyFont="1" applyFill="1" applyBorder="1" applyAlignment="1">
      <alignment horizontal="right" vertical="center" wrapText="1"/>
    </xf>
    <xf numFmtId="3" fontId="1" fillId="11" borderId="52" xfId="0" applyNumberFormat="1" applyFont="1" applyFill="1" applyBorder="1" applyAlignment="1">
      <alignment horizontal="right" vertical="center" wrapText="1"/>
    </xf>
    <xf numFmtId="3" fontId="1" fillId="11" borderId="19" xfId="0" applyNumberFormat="1" applyFont="1" applyFill="1" applyBorder="1" applyAlignment="1">
      <alignment horizontal="right" vertical="center" wrapText="1"/>
    </xf>
    <xf numFmtId="3" fontId="1" fillId="11" borderId="28" xfId="0" applyNumberFormat="1" applyFont="1" applyFill="1" applyBorder="1" applyAlignment="1">
      <alignment horizontal="right" vertical="center" wrapText="1"/>
    </xf>
    <xf numFmtId="3" fontId="2" fillId="16" borderId="31" xfId="0" applyNumberFormat="1" applyFont="1" applyFill="1" applyBorder="1" applyAlignment="1">
      <alignment horizontal="right" vertical="center" wrapText="1"/>
    </xf>
    <xf numFmtId="3" fontId="2" fillId="16" borderId="33" xfId="0" applyNumberFormat="1" applyFont="1" applyFill="1" applyBorder="1" applyAlignment="1">
      <alignment horizontal="right" vertical="center" wrapText="1"/>
    </xf>
    <xf numFmtId="3" fontId="1" fillId="11" borderId="36" xfId="0" applyNumberFormat="1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18" borderId="1" xfId="0" applyFont="1" applyFill="1" applyBorder="1" applyAlignment="1">
      <alignment horizontal="right" vertical="center" wrapText="1"/>
    </xf>
    <xf numFmtId="164" fontId="2" fillId="2" borderId="1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left" vertical="center"/>
    </xf>
    <xf numFmtId="3" fontId="5" fillId="19" borderId="0" xfId="0" applyNumberFormat="1" applyFont="1" applyFill="1" applyBorder="1" applyAlignment="1">
      <alignment horizontal="right" vertical="center" wrapText="1"/>
    </xf>
    <xf numFmtId="3" fontId="5" fillId="0" borderId="50" xfId="0" applyNumberFormat="1" applyFont="1" applyBorder="1" applyAlignment="1">
      <alignment horizontal="left" vertical="center" wrapText="1"/>
    </xf>
    <xf numFmtId="3" fontId="5" fillId="0" borderId="24" xfId="0" applyNumberFormat="1" applyFont="1" applyBorder="1" applyAlignment="1">
      <alignment horizontal="left" vertical="center" wrapText="1"/>
    </xf>
    <xf numFmtId="167" fontId="5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center" wrapText="1"/>
    </xf>
    <xf numFmtId="0" fontId="2" fillId="22" borderId="0" xfId="0" applyFont="1" applyFill="1" applyAlignment="1">
      <alignment horizontal="left" vertical="center" wrapText="1"/>
    </xf>
    <xf numFmtId="0" fontId="2" fillId="22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4" fillId="22" borderId="3" xfId="0" applyFont="1" applyFill="1" applyBorder="1" applyAlignment="1">
      <alignment horizontal="center" vertical="center" wrapText="1"/>
    </xf>
    <xf numFmtId="0" fontId="14" fillId="22" borderId="39" xfId="0" applyFont="1" applyFill="1" applyBorder="1" applyAlignment="1">
      <alignment horizontal="center" vertical="center" wrapText="1"/>
    </xf>
    <xf numFmtId="0" fontId="14" fillId="22" borderId="2" xfId="0" applyFont="1" applyFill="1" applyBorder="1" applyAlignment="1">
      <alignment horizontal="center" vertical="center" wrapText="1"/>
    </xf>
    <xf numFmtId="0" fontId="24" fillId="1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7">
    <cellStyle name="Lien hypertexte" xfId="1" builtinId="8"/>
    <cellStyle name="Normal" xfId="0" builtinId="0"/>
    <cellStyle name="Normal 2" xfId="3"/>
    <cellStyle name="Pourcentage" xfId="2" builtinId="5"/>
    <cellStyle name="Titre 1 2" xfId="4"/>
    <cellStyle name="Titre 2 2" xfId="5"/>
    <cellStyle name="Titre 4 2" xfId="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aufrance.fr/site-156/groupes-de-chiffres-cles/consommation-d-eau-par-foyer-e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93"/>
  <sheetViews>
    <sheetView topLeftCell="A49" zoomScaleNormal="100" workbookViewId="0">
      <selection activeCell="D26" sqref="D26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6" width="12.7109375" style="18" customWidth="1"/>
    <col min="17" max="17" width="12.7109375" style="26" customWidth="1"/>
    <col min="18" max="19" width="10.7109375" style="18" customWidth="1"/>
    <col min="20" max="16384" width="15.7109375" style="18"/>
  </cols>
  <sheetData>
    <row r="1" spans="1:24" ht="30" customHeight="1" thickBot="1" x14ac:dyDescent="0.3">
      <c r="A1" s="513" t="str">
        <f>CONCATENATE("ENCERTICUS - ",B4," - ",B5," - ",B7)</f>
        <v>ENCERTICUS - Entrée Logiciel - 2014 - S23</v>
      </c>
      <c r="B1" s="514"/>
      <c r="C1" s="514"/>
      <c r="D1" s="515"/>
      <c r="E1" s="25"/>
      <c r="F1" s="173" t="s">
        <v>72</v>
      </c>
      <c r="G1" s="107" t="s">
        <v>75</v>
      </c>
      <c r="H1" s="25"/>
      <c r="I1" s="25"/>
      <c r="T1" s="516" t="s">
        <v>134</v>
      </c>
      <c r="U1" s="516"/>
      <c r="V1" s="516"/>
      <c r="W1" s="516"/>
      <c r="X1" s="516"/>
    </row>
    <row r="2" spans="1:24" ht="13.5" thickBot="1" x14ac:dyDescent="0.3">
      <c r="E2" s="23"/>
      <c r="F2" s="13"/>
      <c r="G2" s="98"/>
      <c r="H2" s="13"/>
      <c r="I2" s="25"/>
      <c r="K2" s="174">
        <v>3</v>
      </c>
      <c r="L2" s="174">
        <v>4</v>
      </c>
      <c r="M2" s="174">
        <v>5</v>
      </c>
      <c r="N2" s="174">
        <v>6</v>
      </c>
      <c r="O2" s="174">
        <v>7</v>
      </c>
      <c r="P2" s="174">
        <v>8</v>
      </c>
      <c r="Q2" s="174"/>
      <c r="T2" s="174" t="s">
        <v>35</v>
      </c>
      <c r="U2" s="174" t="s">
        <v>36</v>
      </c>
      <c r="V2" s="174" t="s">
        <v>30</v>
      </c>
      <c r="W2" s="174" t="s">
        <v>150</v>
      </c>
      <c r="X2" s="174"/>
    </row>
    <row r="3" spans="1:24" ht="25.5" x14ac:dyDescent="0.25">
      <c r="A3" s="293" t="s">
        <v>9</v>
      </c>
      <c r="B3" s="294" t="s">
        <v>10</v>
      </c>
      <c r="C3" s="317"/>
      <c r="I3" s="321" t="s">
        <v>261</v>
      </c>
      <c r="J3" s="318" t="s">
        <v>173</v>
      </c>
      <c r="K3" s="321" t="s">
        <v>171</v>
      </c>
      <c r="L3" s="321" t="s">
        <v>155</v>
      </c>
      <c r="M3" s="321" t="s">
        <v>156</v>
      </c>
      <c r="N3" s="321" t="s">
        <v>153</v>
      </c>
      <c r="O3" s="321" t="s">
        <v>154</v>
      </c>
      <c r="P3" s="321" t="s">
        <v>172</v>
      </c>
      <c r="Q3" s="321" t="s">
        <v>245</v>
      </c>
      <c r="T3" s="174">
        <v>2011</v>
      </c>
      <c r="U3" s="174" t="s">
        <v>41</v>
      </c>
      <c r="V3" s="174" t="s">
        <v>16</v>
      </c>
      <c r="W3" s="174">
        <v>3</v>
      </c>
      <c r="X3" s="174"/>
    </row>
    <row r="4" spans="1:24" x14ac:dyDescent="0.25">
      <c r="A4" s="92" t="s">
        <v>11</v>
      </c>
      <c r="B4" s="93" t="s">
        <v>74</v>
      </c>
      <c r="C4" s="317"/>
      <c r="E4" s="517" t="str">
        <f>CONCATENATE("DJU Annuel Moyen")</f>
        <v>DJU Annuel Moyen</v>
      </c>
      <c r="F4" s="517"/>
      <c r="G4" s="323">
        <f>'1_REFERENCE'!G4</f>
        <v>1519.8666666666668</v>
      </c>
      <c r="I4" s="347">
        <f>AVERAGE(K4:M4)</f>
        <v>335.36666666666662</v>
      </c>
      <c r="J4" s="319" t="s">
        <v>41</v>
      </c>
      <c r="K4" s="182">
        <v>339.1</v>
      </c>
      <c r="L4" s="182">
        <v>302.7</v>
      </c>
      <c r="M4" s="182">
        <v>364.3</v>
      </c>
      <c r="N4" s="300">
        <v>302.7</v>
      </c>
      <c r="O4" s="182"/>
      <c r="P4" s="182"/>
      <c r="Q4" s="182"/>
      <c r="R4" s="174">
        <v>3</v>
      </c>
      <c r="T4" s="174">
        <v>2012</v>
      </c>
      <c r="U4" s="174" t="s">
        <v>42</v>
      </c>
      <c r="V4" s="174" t="s">
        <v>81</v>
      </c>
      <c r="W4" s="174">
        <v>4</v>
      </c>
      <c r="X4" s="174"/>
    </row>
    <row r="5" spans="1:24" x14ac:dyDescent="0.25">
      <c r="A5" s="92" t="s">
        <v>35</v>
      </c>
      <c r="B5" s="171">
        <v>2014</v>
      </c>
      <c r="C5" s="317">
        <f>VLOOKUP(B5,T2:W16,4,FALSE)</f>
        <v>6</v>
      </c>
      <c r="E5" s="517" t="str">
        <f>CONCATENATE("DJU Annuel Réel - ",B5)</f>
        <v>DJU Annuel Réel - 2014</v>
      </c>
      <c r="F5" s="517"/>
      <c r="G5" s="323">
        <f>HLOOKUP($C$5,$J$2:$Q$16,15,FALSE)</f>
        <v>1548.4</v>
      </c>
      <c r="I5" s="347">
        <f t="shared" ref="I5:I15" si="0">AVERAGE(K5:M5)</f>
        <v>347.76666666666671</v>
      </c>
      <c r="J5" s="319" t="s">
        <v>42</v>
      </c>
      <c r="K5" s="182">
        <v>266.60000000000002</v>
      </c>
      <c r="L5" s="182">
        <v>425.6</v>
      </c>
      <c r="M5" s="182">
        <v>351.1</v>
      </c>
      <c r="N5" s="300">
        <v>425.6</v>
      </c>
      <c r="O5" s="182"/>
      <c r="P5" s="182"/>
      <c r="Q5" s="182"/>
      <c r="R5" s="174">
        <v>4</v>
      </c>
      <c r="T5" s="174">
        <v>2013</v>
      </c>
      <c r="U5" s="174" t="s">
        <v>43</v>
      </c>
      <c r="V5" s="174" t="s">
        <v>82</v>
      </c>
      <c r="W5" s="174">
        <v>5</v>
      </c>
      <c r="X5" s="174"/>
    </row>
    <row r="6" spans="1:24" x14ac:dyDescent="0.25">
      <c r="A6" s="92" t="s">
        <v>36</v>
      </c>
      <c r="B6" s="171" t="s">
        <v>45</v>
      </c>
      <c r="C6" s="317">
        <f>VLOOKUP(B6,U3:W17,3,FALSE)</f>
        <v>8</v>
      </c>
      <c r="E6" s="517" t="str">
        <f>CONCATENATE("DJU Mensuel Moyen - ",B6)</f>
        <v>DJU Mensuel Moyen - Juin</v>
      </c>
      <c r="F6" s="517"/>
      <c r="G6" s="323">
        <f>'1_REFERENCE'!G6</f>
        <v>0</v>
      </c>
      <c r="I6" s="347">
        <f t="shared" si="0"/>
        <v>210.16666666666666</v>
      </c>
      <c r="J6" s="319" t="s">
        <v>43</v>
      </c>
      <c r="K6" s="182">
        <v>217.4</v>
      </c>
      <c r="L6" s="182">
        <v>183.6</v>
      </c>
      <c r="M6" s="182">
        <v>229.5</v>
      </c>
      <c r="N6" s="300">
        <v>183.6</v>
      </c>
      <c r="O6" s="182"/>
      <c r="P6" s="182"/>
      <c r="Q6" s="182"/>
      <c r="R6" s="174">
        <v>5</v>
      </c>
      <c r="T6" s="174">
        <v>2014</v>
      </c>
      <c r="U6" s="174" t="s">
        <v>38</v>
      </c>
      <c r="V6" s="174" t="s">
        <v>83</v>
      </c>
      <c r="W6" s="174">
        <v>6</v>
      </c>
      <c r="X6" s="174"/>
    </row>
    <row r="7" spans="1:24" x14ac:dyDescent="0.25">
      <c r="A7" s="92" t="s">
        <v>57</v>
      </c>
      <c r="B7" s="171" t="s">
        <v>101</v>
      </c>
      <c r="C7" s="317">
        <f>VLOOKUP(B7,V2:W54,2,FALSE)</f>
        <v>25</v>
      </c>
      <c r="E7" s="517" t="str">
        <f>CONCATENATE("DJU Mensuel Réel - ",B6)</f>
        <v>DJU Mensuel Réel - Juin</v>
      </c>
      <c r="F7" s="517"/>
      <c r="G7" s="323">
        <f>HLOOKUP(C5,$J$2:$Q$16,C6,FALSE)</f>
        <v>0</v>
      </c>
      <c r="I7" s="347">
        <f t="shared" si="0"/>
        <v>106.96666666666665</v>
      </c>
      <c r="J7" s="319" t="s">
        <v>38</v>
      </c>
      <c r="K7" s="182">
        <v>69</v>
      </c>
      <c r="L7" s="182">
        <v>120.9</v>
      </c>
      <c r="M7" s="182">
        <v>131</v>
      </c>
      <c r="N7" s="300">
        <v>120.9</v>
      </c>
      <c r="O7" s="182"/>
      <c r="P7" s="182"/>
      <c r="Q7" s="182"/>
      <c r="R7" s="174">
        <v>6</v>
      </c>
      <c r="T7" s="174">
        <v>2015</v>
      </c>
      <c r="U7" s="174" t="s">
        <v>44</v>
      </c>
      <c r="V7" s="174" t="s">
        <v>84</v>
      </c>
      <c r="W7" s="174">
        <v>7</v>
      </c>
      <c r="X7" s="174"/>
    </row>
    <row r="8" spans="1:24" ht="13.5" thickBot="1" x14ac:dyDescent="0.3">
      <c r="A8" s="94" t="s">
        <v>31</v>
      </c>
      <c r="B8" s="172" t="s">
        <v>30</v>
      </c>
      <c r="C8" s="317"/>
      <c r="E8" s="517" t="str">
        <f>CONCATENATE("DJU Hebdo Moyen - ",B6)</f>
        <v>DJU Hebdo Moyen - Juin</v>
      </c>
      <c r="F8" s="517"/>
      <c r="G8" s="323">
        <f>'1_REFERENCE'!G8</f>
        <v>0</v>
      </c>
      <c r="I8" s="347">
        <f t="shared" si="0"/>
        <v>31.966666666666669</v>
      </c>
      <c r="J8" s="319" t="s">
        <v>44</v>
      </c>
      <c r="K8" s="182">
        <v>7.9</v>
      </c>
      <c r="L8" s="182">
        <v>17.2</v>
      </c>
      <c r="M8" s="182">
        <v>70.8</v>
      </c>
      <c r="N8" s="300">
        <v>17.2</v>
      </c>
      <c r="O8" s="182"/>
      <c r="P8" s="182"/>
      <c r="Q8" s="182"/>
      <c r="R8" s="174">
        <v>7</v>
      </c>
      <c r="T8" s="174">
        <v>2016</v>
      </c>
      <c r="U8" s="174" t="s">
        <v>45</v>
      </c>
      <c r="V8" s="174" t="s">
        <v>85</v>
      </c>
      <c r="W8" s="174">
        <v>8</v>
      </c>
      <c r="X8" s="174"/>
    </row>
    <row r="9" spans="1:24" x14ac:dyDescent="0.25">
      <c r="A9" s="4"/>
      <c r="B9" s="24"/>
      <c r="C9" s="26"/>
      <c r="D9" s="26"/>
      <c r="E9" s="517" t="str">
        <f>CONCATENATE("DJU Hebdo Réel - ",B7)</f>
        <v>DJU Hebdo Réel - S23</v>
      </c>
      <c r="F9" s="517"/>
      <c r="G9" s="323">
        <f>HLOOKUP(C7,A86:BC90,3,FALSE)</f>
        <v>0</v>
      </c>
      <c r="H9" s="4"/>
      <c r="I9" s="347">
        <f t="shared" si="0"/>
        <v>0</v>
      </c>
      <c r="J9" s="319" t="s">
        <v>45</v>
      </c>
      <c r="K9" s="182">
        <v>0</v>
      </c>
      <c r="L9" s="182">
        <v>0</v>
      </c>
      <c r="M9" s="182">
        <v>0</v>
      </c>
      <c r="N9" s="300">
        <v>0</v>
      </c>
      <c r="O9" s="182"/>
      <c r="P9" s="182"/>
      <c r="Q9" s="182"/>
      <c r="R9" s="174">
        <v>8</v>
      </c>
      <c r="T9" s="174"/>
      <c r="U9" s="174" t="s">
        <v>46</v>
      </c>
      <c r="V9" s="174" t="s">
        <v>86</v>
      </c>
      <c r="W9" s="174">
        <v>9</v>
      </c>
      <c r="X9" s="174"/>
    </row>
    <row r="10" spans="1:24" s="19" customFormat="1" x14ac:dyDescent="0.25">
      <c r="H10" s="14"/>
      <c r="I10" s="347">
        <f t="shared" si="0"/>
        <v>0</v>
      </c>
      <c r="J10" s="319" t="s">
        <v>46</v>
      </c>
      <c r="K10" s="182">
        <v>0</v>
      </c>
      <c r="L10" s="182">
        <v>0</v>
      </c>
      <c r="M10" s="182">
        <v>0</v>
      </c>
      <c r="N10" s="300">
        <v>0</v>
      </c>
      <c r="O10" s="182"/>
      <c r="P10" s="182"/>
      <c r="Q10" s="182"/>
      <c r="R10" s="174">
        <v>9</v>
      </c>
      <c r="T10" s="174"/>
      <c r="U10" s="174" t="s">
        <v>47</v>
      </c>
      <c r="V10" s="174" t="s">
        <v>87</v>
      </c>
      <c r="W10" s="174">
        <v>10</v>
      </c>
      <c r="X10" s="291"/>
    </row>
    <row r="11" spans="1:24" x14ac:dyDescent="0.25">
      <c r="G11" s="13"/>
      <c r="H11" s="25"/>
      <c r="I11" s="347">
        <f t="shared" si="0"/>
        <v>0</v>
      </c>
      <c r="J11" s="319" t="s">
        <v>47</v>
      </c>
      <c r="K11" s="182">
        <v>0</v>
      </c>
      <c r="L11" s="182">
        <v>0</v>
      </c>
      <c r="M11" s="182">
        <v>0</v>
      </c>
      <c r="N11" s="300">
        <v>0</v>
      </c>
      <c r="O11" s="182"/>
      <c r="P11" s="182"/>
      <c r="Q11" s="182"/>
      <c r="R11" s="174">
        <v>10</v>
      </c>
      <c r="T11" s="174"/>
      <c r="U11" s="174" t="s">
        <v>48</v>
      </c>
      <c r="V11" s="174" t="s">
        <v>88</v>
      </c>
      <c r="W11" s="174">
        <v>11</v>
      </c>
      <c r="X11" s="174"/>
    </row>
    <row r="12" spans="1:24" x14ac:dyDescent="0.25">
      <c r="B12" s="298" t="s">
        <v>174</v>
      </c>
      <c r="C12" s="298" t="s">
        <v>269</v>
      </c>
      <c r="D12" s="509" t="s">
        <v>56</v>
      </c>
      <c r="E12" s="509"/>
      <c r="F12" s="298" t="s">
        <v>58</v>
      </c>
      <c r="G12" s="13"/>
      <c r="H12" s="25"/>
      <c r="I12" s="347">
        <f t="shared" si="0"/>
        <v>0</v>
      </c>
      <c r="J12" s="319" t="s">
        <v>48</v>
      </c>
      <c r="K12" s="182">
        <v>0</v>
      </c>
      <c r="L12" s="182">
        <v>0</v>
      </c>
      <c r="M12" s="182">
        <v>0</v>
      </c>
      <c r="N12" s="300">
        <v>0</v>
      </c>
      <c r="O12" s="182"/>
      <c r="P12" s="182"/>
      <c r="Q12" s="182"/>
      <c r="R12" s="174">
        <v>11</v>
      </c>
      <c r="T12" s="174"/>
      <c r="U12" s="174" t="s">
        <v>49</v>
      </c>
      <c r="V12" s="174" t="s">
        <v>89</v>
      </c>
      <c r="W12" s="174">
        <v>12</v>
      </c>
      <c r="X12" s="174"/>
    </row>
    <row r="13" spans="1:24" x14ac:dyDescent="0.25">
      <c r="B13" s="390" t="s">
        <v>265</v>
      </c>
      <c r="C13" s="302"/>
      <c r="D13" s="510" t="s">
        <v>34</v>
      </c>
      <c r="E13" s="510"/>
      <c r="F13" s="296"/>
      <c r="G13" s="25"/>
      <c r="H13" s="25"/>
      <c r="I13" s="347">
        <f t="shared" si="0"/>
        <v>20</v>
      </c>
      <c r="J13" s="319" t="s">
        <v>49</v>
      </c>
      <c r="K13" s="182">
        <v>9.6</v>
      </c>
      <c r="L13" s="182">
        <v>44.5</v>
      </c>
      <c r="M13" s="182">
        <v>5.9</v>
      </c>
      <c r="N13" s="300">
        <v>44.5</v>
      </c>
      <c r="O13" s="182"/>
      <c r="P13" s="182"/>
      <c r="Q13" s="182"/>
      <c r="R13" s="174">
        <v>12</v>
      </c>
      <c r="T13" s="174"/>
      <c r="U13" s="174" t="s">
        <v>50</v>
      </c>
      <c r="V13" s="174" t="s">
        <v>92</v>
      </c>
      <c r="W13" s="174">
        <v>13</v>
      </c>
      <c r="X13" s="174"/>
    </row>
    <row r="14" spans="1:24" x14ac:dyDescent="0.25">
      <c r="B14" s="390" t="s">
        <v>270</v>
      </c>
      <c r="C14" s="303">
        <f>1*7</f>
        <v>7</v>
      </c>
      <c r="D14" s="511" t="s">
        <v>54</v>
      </c>
      <c r="E14" s="511"/>
      <c r="F14" s="296"/>
      <c r="I14" s="347">
        <f t="shared" si="0"/>
        <v>182.4</v>
      </c>
      <c r="J14" s="319" t="s">
        <v>50</v>
      </c>
      <c r="K14" s="182">
        <v>172.7</v>
      </c>
      <c r="L14" s="182">
        <v>154</v>
      </c>
      <c r="M14" s="182">
        <v>220.5</v>
      </c>
      <c r="N14" s="300">
        <v>154</v>
      </c>
      <c r="O14" s="182"/>
      <c r="P14" s="182"/>
      <c r="Q14" s="182"/>
      <c r="R14" s="174">
        <v>13</v>
      </c>
      <c r="T14" s="174"/>
      <c r="U14" s="174" t="s">
        <v>51</v>
      </c>
      <c r="V14" s="174" t="s">
        <v>93</v>
      </c>
      <c r="W14" s="174">
        <v>14</v>
      </c>
      <c r="X14" s="174"/>
    </row>
    <row r="15" spans="1:24" ht="14.25" x14ac:dyDescent="0.25">
      <c r="B15" s="390" t="s">
        <v>266</v>
      </c>
      <c r="C15" s="303">
        <f>1.16*1*(50-15)/0.9</f>
        <v>45.111111111111107</v>
      </c>
      <c r="D15" s="511" t="s">
        <v>281</v>
      </c>
      <c r="E15" s="511"/>
      <c r="F15" s="296" t="s">
        <v>32</v>
      </c>
      <c r="I15" s="347">
        <f t="shared" si="0"/>
        <v>285.23333333333335</v>
      </c>
      <c r="J15" s="319" t="s">
        <v>51</v>
      </c>
      <c r="K15" s="182">
        <v>271</v>
      </c>
      <c r="L15" s="182">
        <v>299.89999999999998</v>
      </c>
      <c r="M15" s="182">
        <v>284.8</v>
      </c>
      <c r="N15" s="300">
        <v>299.89999999999998</v>
      </c>
      <c r="O15" s="182"/>
      <c r="P15" s="182"/>
      <c r="Q15" s="182"/>
      <c r="R15" s="174">
        <v>14</v>
      </c>
      <c r="T15" s="174"/>
      <c r="U15" s="174"/>
      <c r="V15" s="174" t="s">
        <v>94</v>
      </c>
      <c r="W15" s="174">
        <v>15</v>
      </c>
      <c r="X15" s="174"/>
    </row>
    <row r="16" spans="1:24" x14ac:dyDescent="0.25">
      <c r="B16" s="390" t="s">
        <v>282</v>
      </c>
      <c r="C16" s="391">
        <v>35</v>
      </c>
      <c r="D16" s="511" t="s">
        <v>168</v>
      </c>
      <c r="E16" s="511"/>
      <c r="F16" s="296"/>
      <c r="G16" s="13"/>
      <c r="H16" s="25"/>
      <c r="I16" s="322"/>
      <c r="J16" s="320" t="s">
        <v>35</v>
      </c>
      <c r="K16" s="322">
        <f>SUM(K4:K15)</f>
        <v>1353.3</v>
      </c>
      <c r="L16" s="322">
        <f t="shared" ref="L16:Q16" si="1">SUM(L4:L15)</f>
        <v>1548.4</v>
      </c>
      <c r="M16" s="322">
        <f t="shared" si="1"/>
        <v>1657.9</v>
      </c>
      <c r="N16" s="322">
        <f t="shared" si="1"/>
        <v>1548.4</v>
      </c>
      <c r="O16" s="322">
        <f t="shared" si="1"/>
        <v>0</v>
      </c>
      <c r="P16" s="322">
        <f t="shared" si="1"/>
        <v>0</v>
      </c>
      <c r="Q16" s="322">
        <f t="shared" si="1"/>
        <v>0</v>
      </c>
      <c r="T16" s="174"/>
      <c r="U16" s="174"/>
      <c r="V16" s="174" t="s">
        <v>90</v>
      </c>
      <c r="W16" s="174">
        <v>16</v>
      </c>
      <c r="X16" s="174"/>
    </row>
    <row r="17" spans="2:24" x14ac:dyDescent="0.25">
      <c r="B17" s="390" t="s">
        <v>271</v>
      </c>
      <c r="C17" s="303">
        <f>C15*C16/1000</f>
        <v>1.5788888888888888</v>
      </c>
      <c r="D17" s="511" t="s">
        <v>167</v>
      </c>
      <c r="E17" s="511"/>
      <c r="F17" s="331"/>
      <c r="G17" s="25"/>
      <c r="H17" s="25"/>
      <c r="I17" s="25"/>
      <c r="Q17" s="18"/>
      <c r="T17" s="174"/>
      <c r="U17" s="174"/>
      <c r="V17" s="174" t="s">
        <v>91</v>
      </c>
      <c r="W17" s="174">
        <v>17</v>
      </c>
      <c r="X17" s="174"/>
    </row>
    <row r="18" spans="2:24" x14ac:dyDescent="0.25">
      <c r="B18" s="390" t="s">
        <v>272</v>
      </c>
      <c r="C18" s="303">
        <f>2726/52</f>
        <v>52.42307692307692</v>
      </c>
      <c r="D18" s="511" t="s">
        <v>52</v>
      </c>
      <c r="E18" s="511"/>
      <c r="F18" s="296" t="s">
        <v>24</v>
      </c>
      <c r="T18" s="174"/>
      <c r="U18" s="174"/>
      <c r="V18" s="174" t="s">
        <v>37</v>
      </c>
      <c r="W18" s="174">
        <v>18</v>
      </c>
      <c r="X18" s="174"/>
    </row>
    <row r="19" spans="2:24" x14ac:dyDescent="0.25">
      <c r="B19" s="390" t="s">
        <v>273</v>
      </c>
      <c r="C19" s="391">
        <f>150*7</f>
        <v>1050</v>
      </c>
      <c r="D19" s="511" t="s">
        <v>55</v>
      </c>
      <c r="E19" s="511"/>
      <c r="F19" s="297" t="s">
        <v>26</v>
      </c>
      <c r="T19" s="174"/>
      <c r="U19" s="174"/>
      <c r="V19" s="174" t="s">
        <v>95</v>
      </c>
      <c r="W19" s="174">
        <v>19</v>
      </c>
      <c r="X19" s="174"/>
    </row>
    <row r="20" spans="2:24" ht="25.5" x14ac:dyDescent="0.25">
      <c r="B20" s="298" t="s">
        <v>175</v>
      </c>
      <c r="C20" s="298" t="s">
        <v>53</v>
      </c>
      <c r="D20" s="509" t="s">
        <v>56</v>
      </c>
      <c r="E20" s="509"/>
      <c r="F20" s="298" t="s">
        <v>58</v>
      </c>
      <c r="T20" s="174"/>
      <c r="U20" s="174"/>
      <c r="V20" s="174" t="s">
        <v>96</v>
      </c>
      <c r="W20" s="174">
        <v>20</v>
      </c>
      <c r="X20" s="174"/>
    </row>
    <row r="21" spans="2:24" x14ac:dyDescent="0.25">
      <c r="B21" s="27" t="s">
        <v>23</v>
      </c>
      <c r="C21" s="295">
        <f>(365/7)/12</f>
        <v>4.3452380952380958</v>
      </c>
      <c r="D21" s="512"/>
      <c r="E21" s="512"/>
      <c r="F21" s="296"/>
      <c r="T21" s="174"/>
      <c r="U21" s="174"/>
      <c r="V21" s="174" t="s">
        <v>97</v>
      </c>
      <c r="W21" s="174">
        <v>21</v>
      </c>
      <c r="X21" s="174"/>
    </row>
    <row r="22" spans="2:24" x14ac:dyDescent="0.25">
      <c r="B22" s="27" t="s">
        <v>267</v>
      </c>
      <c r="C22" s="295">
        <v>11.628</v>
      </c>
      <c r="D22" s="512" t="s">
        <v>29</v>
      </c>
      <c r="E22" s="512"/>
      <c r="F22" s="296"/>
      <c r="T22" s="174"/>
      <c r="U22" s="174"/>
      <c r="V22" s="174" t="s">
        <v>98</v>
      </c>
      <c r="W22" s="174">
        <v>22</v>
      </c>
      <c r="X22" s="174"/>
    </row>
    <row r="23" spans="2:24" x14ac:dyDescent="0.25">
      <c r="B23" s="27" t="s">
        <v>268</v>
      </c>
      <c r="C23" s="295">
        <f>1/1.11</f>
        <v>0.9009009009009008</v>
      </c>
      <c r="D23" s="512" t="s">
        <v>15</v>
      </c>
      <c r="E23" s="512"/>
      <c r="F23" s="296"/>
      <c r="T23" s="174"/>
      <c r="U23" s="174"/>
      <c r="V23" s="174" t="s">
        <v>99</v>
      </c>
      <c r="W23" s="174">
        <v>23</v>
      </c>
      <c r="X23" s="174"/>
    </row>
    <row r="24" spans="2:24" x14ac:dyDescent="0.25">
      <c r="B24" s="27"/>
      <c r="C24" s="295"/>
      <c r="D24" s="512"/>
      <c r="E24" s="512"/>
      <c r="F24" s="296"/>
      <c r="T24" s="174"/>
      <c r="U24" s="174"/>
      <c r="V24" s="174" t="s">
        <v>100</v>
      </c>
      <c r="W24" s="174">
        <v>24</v>
      </c>
      <c r="X24" s="174"/>
    </row>
    <row r="25" spans="2:24" x14ac:dyDescent="0.25">
      <c r="B25" s="27" t="s">
        <v>131</v>
      </c>
      <c r="C25" s="295">
        <v>1</v>
      </c>
      <c r="D25" s="512"/>
      <c r="E25" s="512"/>
      <c r="F25" s="296"/>
      <c r="T25" s="174"/>
      <c r="U25" s="174"/>
      <c r="V25" s="174" t="s">
        <v>101</v>
      </c>
      <c r="W25" s="174">
        <v>25</v>
      </c>
      <c r="X25" s="174"/>
    </row>
    <row r="26" spans="2:24" x14ac:dyDescent="0.25">
      <c r="T26" s="174"/>
      <c r="U26" s="174"/>
      <c r="V26" s="308" t="s">
        <v>102</v>
      </c>
      <c r="W26" s="308">
        <v>26</v>
      </c>
      <c r="X26" s="174"/>
    </row>
    <row r="27" spans="2:24" x14ac:dyDescent="0.25">
      <c r="T27" s="174"/>
      <c r="U27" s="174"/>
      <c r="V27" s="174" t="s">
        <v>103</v>
      </c>
      <c r="W27" s="174">
        <v>27</v>
      </c>
      <c r="X27" s="174"/>
    </row>
    <row r="28" spans="2:24" x14ac:dyDescent="0.25">
      <c r="B28" s="307" t="s">
        <v>181</v>
      </c>
      <c r="C28" s="324"/>
      <c r="D28" s="324"/>
      <c r="E28" s="324"/>
      <c r="F28" s="324"/>
      <c r="G28" s="324"/>
      <c r="H28" s="324"/>
      <c r="I28" s="508" t="s">
        <v>176</v>
      </c>
      <c r="J28" s="508"/>
      <c r="K28" s="508"/>
      <c r="L28" s="508"/>
      <c r="M28" s="508"/>
      <c r="N28" s="508"/>
      <c r="O28" s="508"/>
      <c r="P28" s="508"/>
      <c r="Q28" s="32"/>
      <c r="T28" s="174"/>
      <c r="U28" s="174"/>
      <c r="V28" s="174" t="s">
        <v>104</v>
      </c>
      <c r="W28" s="174">
        <v>28</v>
      </c>
      <c r="X28" s="174"/>
    </row>
    <row r="29" spans="2:24" s="26" customFormat="1" x14ac:dyDescent="0.25">
      <c r="G29" s="326" t="s">
        <v>141</v>
      </c>
      <c r="Q29" s="33"/>
      <c r="T29" s="308"/>
      <c r="U29" s="308"/>
      <c r="V29" s="174" t="s">
        <v>105</v>
      </c>
      <c r="W29" s="174">
        <v>29</v>
      </c>
      <c r="X29" s="308"/>
    </row>
    <row r="30" spans="2:24" x14ac:dyDescent="0.25">
      <c r="I30" s="164" t="s">
        <v>146</v>
      </c>
      <c r="J30" s="164" t="s">
        <v>146</v>
      </c>
      <c r="K30" s="431" t="s">
        <v>147</v>
      </c>
      <c r="L30" s="431" t="s">
        <v>147</v>
      </c>
      <c r="M30" s="177" t="s">
        <v>148</v>
      </c>
      <c r="N30" s="177" t="s">
        <v>148</v>
      </c>
      <c r="O30" s="178" t="s">
        <v>149</v>
      </c>
      <c r="P30" s="178" t="s">
        <v>149</v>
      </c>
      <c r="Q30" s="126"/>
      <c r="T30" s="174"/>
      <c r="U30" s="174"/>
      <c r="V30" s="174" t="s">
        <v>106</v>
      </c>
      <c r="W30" s="174">
        <v>30</v>
      </c>
      <c r="X30" s="174"/>
    </row>
    <row r="31" spans="2:24" ht="38.25" x14ac:dyDescent="0.25">
      <c r="B31" s="439"/>
      <c r="C31" s="440" t="s">
        <v>0</v>
      </c>
      <c r="D31" s="440" t="s">
        <v>40</v>
      </c>
      <c r="E31" s="440" t="s">
        <v>60</v>
      </c>
      <c r="F31" s="440" t="s">
        <v>8</v>
      </c>
      <c r="G31" s="440" t="s">
        <v>70</v>
      </c>
      <c r="H31" s="441" t="s">
        <v>61</v>
      </c>
      <c r="I31" s="38" t="s">
        <v>13</v>
      </c>
      <c r="J31" s="6" t="s">
        <v>14</v>
      </c>
      <c r="K31" s="7" t="s">
        <v>299</v>
      </c>
      <c r="L31" s="39" t="s">
        <v>300</v>
      </c>
      <c r="M31" s="38" t="s">
        <v>20</v>
      </c>
      <c r="N31" s="39" t="s">
        <v>21</v>
      </c>
      <c r="O31" s="38" t="s">
        <v>25</v>
      </c>
      <c r="P31" s="39" t="s">
        <v>166</v>
      </c>
      <c r="Q31" s="126"/>
      <c r="T31" s="174"/>
      <c r="U31" s="174"/>
      <c r="V31" s="174" t="s">
        <v>107</v>
      </c>
      <c r="W31" s="174">
        <v>31</v>
      </c>
      <c r="X31" s="174"/>
    </row>
    <row r="32" spans="2:24" ht="14.25" x14ac:dyDescent="0.25">
      <c r="B32" s="442"/>
      <c r="C32" s="443" t="s">
        <v>18</v>
      </c>
      <c r="D32" s="443" t="s">
        <v>18</v>
      </c>
      <c r="E32" s="443" t="s">
        <v>18</v>
      </c>
      <c r="F32" s="443" t="s">
        <v>19</v>
      </c>
      <c r="G32" s="443" t="s">
        <v>71</v>
      </c>
      <c r="H32" s="444" t="s">
        <v>28</v>
      </c>
      <c r="I32" s="40" t="s">
        <v>33</v>
      </c>
      <c r="J32" s="11" t="s">
        <v>33</v>
      </c>
      <c r="K32" s="12" t="s">
        <v>33</v>
      </c>
      <c r="L32" s="41" t="s">
        <v>33</v>
      </c>
      <c r="M32" s="40" t="s">
        <v>4</v>
      </c>
      <c r="N32" s="41" t="s">
        <v>4</v>
      </c>
      <c r="O32" s="40" t="s">
        <v>33</v>
      </c>
      <c r="P32" s="41" t="s">
        <v>33</v>
      </c>
      <c r="Q32" s="126"/>
      <c r="T32" s="174"/>
      <c r="U32" s="174"/>
      <c r="V32" s="174" t="s">
        <v>108</v>
      </c>
      <c r="W32" s="174">
        <v>32</v>
      </c>
      <c r="X32" s="174"/>
    </row>
    <row r="33" spans="1:24" x14ac:dyDescent="0.25">
      <c r="B33" s="434" t="str">
        <f>CONCATENATE(C33," - ",D33," - ",E33," - ",F33,"m²")</f>
        <v>GC - 274 - T4 - 83m²</v>
      </c>
      <c r="C33" s="434" t="s">
        <v>2</v>
      </c>
      <c r="D33" s="434">
        <v>274</v>
      </c>
      <c r="E33" s="434" t="s">
        <v>6</v>
      </c>
      <c r="F33" s="434">
        <v>83</v>
      </c>
      <c r="G33" s="434">
        <v>2</v>
      </c>
      <c r="H33" s="436">
        <v>0.9</v>
      </c>
      <c r="I33" s="165">
        <v>530.79999999999995</v>
      </c>
      <c r="J33" s="445">
        <v>535.6</v>
      </c>
      <c r="K33" s="414">
        <v>15.5</v>
      </c>
      <c r="L33" s="166">
        <v>16.3</v>
      </c>
      <c r="M33" s="165">
        <v>1415.1</v>
      </c>
      <c r="N33" s="166">
        <v>1470.1</v>
      </c>
      <c r="O33" s="165">
        <v>38.299999999999997</v>
      </c>
      <c r="P33" s="166">
        <v>40.700000000000003</v>
      </c>
      <c r="Q33" s="126"/>
      <c r="T33" s="174"/>
      <c r="U33" s="174"/>
      <c r="V33" s="174" t="s">
        <v>109</v>
      </c>
      <c r="W33" s="174">
        <v>33</v>
      </c>
      <c r="X33" s="174"/>
    </row>
    <row r="34" spans="1:24" x14ac:dyDescent="0.25">
      <c r="B34" s="434" t="str">
        <f t="shared" ref="B34:B80" si="2">CONCATENATE(C34," - ",D34," - ",E34," - ",F34,"m²")</f>
        <v>GC - 277 - T2 - 53m²</v>
      </c>
      <c r="C34" s="434" t="s">
        <v>2</v>
      </c>
      <c r="D34" s="434">
        <v>277</v>
      </c>
      <c r="E34" s="434" t="s">
        <v>140</v>
      </c>
      <c r="F34" s="434">
        <v>53</v>
      </c>
      <c r="G34" s="434">
        <v>1</v>
      </c>
      <c r="H34" s="436">
        <v>0.9</v>
      </c>
      <c r="I34" s="167">
        <v>523.6</v>
      </c>
      <c r="J34" s="446">
        <v>524.79999999999995</v>
      </c>
      <c r="K34" s="415">
        <v>9.8000000000000007</v>
      </c>
      <c r="L34" s="168">
        <v>10</v>
      </c>
      <c r="M34" s="167">
        <v>1013.5</v>
      </c>
      <c r="N34" s="168">
        <v>1045</v>
      </c>
      <c r="O34" s="167">
        <v>22.6</v>
      </c>
      <c r="P34" s="168">
        <v>23.1</v>
      </c>
      <c r="Q34" s="126"/>
      <c r="T34" s="174"/>
      <c r="U34" s="174"/>
      <c r="V34" s="174" t="s">
        <v>110</v>
      </c>
      <c r="W34" s="174">
        <v>34</v>
      </c>
      <c r="X34" s="174"/>
    </row>
    <row r="35" spans="1:24" x14ac:dyDescent="0.25">
      <c r="B35" s="434" t="str">
        <f t="shared" si="2"/>
        <v>GC - 281 - T3 - 71m²</v>
      </c>
      <c r="C35" s="434" t="s">
        <v>2</v>
      </c>
      <c r="D35" s="434">
        <v>281</v>
      </c>
      <c r="E35" s="434" t="s">
        <v>5</v>
      </c>
      <c r="F35" s="434">
        <v>71</v>
      </c>
      <c r="G35" s="434">
        <v>2</v>
      </c>
      <c r="H35" s="436">
        <v>0.9</v>
      </c>
      <c r="I35" s="167">
        <v>576.4</v>
      </c>
      <c r="J35" s="446">
        <v>579.9</v>
      </c>
      <c r="K35" s="415">
        <v>27.8</v>
      </c>
      <c r="L35" s="168">
        <v>28.8</v>
      </c>
      <c r="M35" s="167">
        <v>1083.2</v>
      </c>
      <c r="N35" s="168">
        <v>1119.9000000000001</v>
      </c>
      <c r="O35" s="167">
        <v>46.6</v>
      </c>
      <c r="P35" s="168">
        <v>48.6</v>
      </c>
      <c r="Q35" s="126"/>
      <c r="T35" s="174"/>
      <c r="U35" s="174"/>
      <c r="V35" s="174" t="s">
        <v>111</v>
      </c>
      <c r="W35" s="174">
        <v>35</v>
      </c>
      <c r="X35" s="174"/>
    </row>
    <row r="36" spans="1:24" x14ac:dyDescent="0.25">
      <c r="B36" s="434" t="str">
        <f t="shared" si="2"/>
        <v>GC - 283 - T3 - 70m²</v>
      </c>
      <c r="C36" s="434" t="s">
        <v>2</v>
      </c>
      <c r="D36" s="434">
        <v>283</v>
      </c>
      <c r="E36" s="434" t="s">
        <v>5</v>
      </c>
      <c r="F36" s="434">
        <v>70</v>
      </c>
      <c r="G36" s="434">
        <v>2</v>
      </c>
      <c r="H36" s="436">
        <v>0.9</v>
      </c>
      <c r="I36" s="167">
        <v>648.20000000000005</v>
      </c>
      <c r="J36" s="446">
        <v>649.9</v>
      </c>
      <c r="K36" s="415">
        <v>7.7</v>
      </c>
      <c r="L36" s="168">
        <v>7.9</v>
      </c>
      <c r="M36" s="167">
        <v>771.5</v>
      </c>
      <c r="N36" s="168">
        <v>799.5</v>
      </c>
      <c r="O36" s="167">
        <v>22.2</v>
      </c>
      <c r="P36" s="168">
        <v>23.4</v>
      </c>
      <c r="Q36" s="126"/>
      <c r="T36" s="174"/>
      <c r="U36" s="174"/>
      <c r="V36" s="174" t="s">
        <v>112</v>
      </c>
      <c r="W36" s="174">
        <v>36</v>
      </c>
      <c r="X36" s="174"/>
    </row>
    <row r="37" spans="1:24" x14ac:dyDescent="0.25">
      <c r="B37" s="434" t="str">
        <f t="shared" si="2"/>
        <v>GC - 285 - T3 - 64m²</v>
      </c>
      <c r="C37" s="434" t="s">
        <v>2</v>
      </c>
      <c r="D37" s="434">
        <v>285</v>
      </c>
      <c r="E37" s="434" t="s">
        <v>5</v>
      </c>
      <c r="F37" s="434">
        <v>64</v>
      </c>
      <c r="G37" s="434">
        <v>3</v>
      </c>
      <c r="H37" s="436">
        <v>0.9</v>
      </c>
      <c r="I37" s="167">
        <v>244.4</v>
      </c>
      <c r="J37" s="446">
        <v>248.7</v>
      </c>
      <c r="K37" s="415">
        <v>999993.5</v>
      </c>
      <c r="L37" s="168">
        <v>999993</v>
      </c>
      <c r="M37" s="167">
        <v>853</v>
      </c>
      <c r="N37" s="168">
        <v>890</v>
      </c>
      <c r="O37" s="167">
        <v>23.9</v>
      </c>
      <c r="P37" s="168">
        <v>25.5</v>
      </c>
      <c r="Q37" s="126"/>
      <c r="T37" s="174"/>
      <c r="U37" s="174"/>
      <c r="V37" s="174" t="s">
        <v>113</v>
      </c>
      <c r="W37" s="174">
        <v>37</v>
      </c>
      <c r="X37" s="174"/>
    </row>
    <row r="38" spans="1:24" x14ac:dyDescent="0.25">
      <c r="B38" s="434" t="str">
        <f t="shared" si="2"/>
        <v>GC - 286 - T3 - 68m²</v>
      </c>
      <c r="C38" s="434" t="s">
        <v>2</v>
      </c>
      <c r="D38" s="434">
        <v>286</v>
      </c>
      <c r="E38" s="434" t="s">
        <v>5</v>
      </c>
      <c r="F38" s="434">
        <v>68</v>
      </c>
      <c r="G38" s="434">
        <v>3</v>
      </c>
      <c r="H38" s="436">
        <v>0.9</v>
      </c>
      <c r="I38" s="167">
        <v>518.70000000000005</v>
      </c>
      <c r="J38" s="446">
        <v>524.4</v>
      </c>
      <c r="K38" s="415">
        <v>28.2</v>
      </c>
      <c r="L38" s="168">
        <v>29.6</v>
      </c>
      <c r="M38" s="167">
        <v>925.5</v>
      </c>
      <c r="N38" s="168">
        <v>946.1</v>
      </c>
      <c r="O38" s="167">
        <v>67</v>
      </c>
      <c r="P38" s="168">
        <v>70.5</v>
      </c>
      <c r="Q38" s="126"/>
      <c r="T38" s="174"/>
      <c r="U38" s="174"/>
      <c r="V38" s="174" t="s">
        <v>114</v>
      </c>
      <c r="W38" s="174">
        <v>38</v>
      </c>
      <c r="X38" s="174"/>
    </row>
    <row r="39" spans="1:24" x14ac:dyDescent="0.25">
      <c r="B39" s="434" t="str">
        <f t="shared" si="2"/>
        <v>GC - 289 - T3 - 76m²</v>
      </c>
      <c r="C39" s="434" t="s">
        <v>2</v>
      </c>
      <c r="D39" s="434">
        <v>289</v>
      </c>
      <c r="E39" s="434" t="s">
        <v>5</v>
      </c>
      <c r="F39" s="434">
        <v>76</v>
      </c>
      <c r="G39" s="434">
        <v>1</v>
      </c>
      <c r="H39" s="436">
        <v>0.9</v>
      </c>
      <c r="I39" s="167">
        <v>258.3</v>
      </c>
      <c r="J39" s="446">
        <v>259.10000000000002</v>
      </c>
      <c r="K39" s="415">
        <v>5.0999999999999996</v>
      </c>
      <c r="L39" s="168">
        <v>5.2</v>
      </c>
      <c r="M39" s="167">
        <v>659</v>
      </c>
      <c r="N39" s="168">
        <v>684.4</v>
      </c>
      <c r="O39" s="167">
        <v>12.8</v>
      </c>
      <c r="P39" s="168">
        <v>13.3</v>
      </c>
      <c r="Q39" s="126"/>
      <c r="T39" s="174"/>
      <c r="U39" s="174"/>
      <c r="V39" s="174" t="s">
        <v>115</v>
      </c>
      <c r="W39" s="174">
        <v>39</v>
      </c>
      <c r="X39" s="174"/>
    </row>
    <row r="40" spans="1:24" x14ac:dyDescent="0.25">
      <c r="B40" s="434" t="str">
        <f t="shared" si="2"/>
        <v>GC - 303 - T4 - 81m²</v>
      </c>
      <c r="C40" s="434" t="s">
        <v>2</v>
      </c>
      <c r="D40" s="434">
        <v>303</v>
      </c>
      <c r="E40" s="434" t="s">
        <v>6</v>
      </c>
      <c r="F40" s="434">
        <v>81</v>
      </c>
      <c r="G40" s="435">
        <v>1</v>
      </c>
      <c r="H40" s="436">
        <v>0.9</v>
      </c>
      <c r="I40" s="167">
        <v>148.1</v>
      </c>
      <c r="J40" s="446">
        <v>151.80000000000001</v>
      </c>
      <c r="K40" s="415">
        <v>11.1</v>
      </c>
      <c r="L40" s="168">
        <v>11.5</v>
      </c>
      <c r="M40" s="167">
        <v>1856.9</v>
      </c>
      <c r="N40" s="168">
        <v>1930.2</v>
      </c>
      <c r="O40" s="167">
        <v>39.799999999999997</v>
      </c>
      <c r="P40" s="168">
        <v>41.9</v>
      </c>
      <c r="Q40" s="126"/>
      <c r="T40" s="174"/>
      <c r="U40" s="174"/>
      <c r="V40" s="174" t="s">
        <v>116</v>
      </c>
      <c r="W40" s="174">
        <v>40</v>
      </c>
      <c r="X40" s="174"/>
    </row>
    <row r="41" spans="1:24" x14ac:dyDescent="0.25">
      <c r="B41" s="434" t="str">
        <f t="shared" si="2"/>
        <v>GC - 304 - T3 - 66m²</v>
      </c>
      <c r="C41" s="434" t="s">
        <v>2</v>
      </c>
      <c r="D41" s="434">
        <v>304</v>
      </c>
      <c r="E41" s="434" t="s">
        <v>5</v>
      </c>
      <c r="F41" s="434">
        <v>66</v>
      </c>
      <c r="G41" s="434">
        <v>1</v>
      </c>
      <c r="H41" s="436">
        <v>0.9</v>
      </c>
      <c r="I41" s="167">
        <v>617.6</v>
      </c>
      <c r="J41" s="446">
        <v>621.29999999999995</v>
      </c>
      <c r="K41" s="415">
        <v>34.9</v>
      </c>
      <c r="L41" s="168">
        <v>35.6</v>
      </c>
      <c r="M41" s="167">
        <v>868.2</v>
      </c>
      <c r="N41" s="168">
        <v>891.7</v>
      </c>
      <c r="O41" s="167">
        <v>65.3</v>
      </c>
      <c r="P41" s="168">
        <v>67.099999999999994</v>
      </c>
      <c r="Q41" s="126"/>
      <c r="T41" s="174"/>
      <c r="U41" s="174"/>
      <c r="V41" s="174" t="s">
        <v>117</v>
      </c>
      <c r="W41" s="174">
        <v>41</v>
      </c>
      <c r="X41" s="174"/>
    </row>
    <row r="42" spans="1:24" x14ac:dyDescent="0.25">
      <c r="B42" s="434" t="str">
        <f t="shared" si="2"/>
        <v>GC - 306 - T3 - 66m²</v>
      </c>
      <c r="C42" s="434" t="s">
        <v>2</v>
      </c>
      <c r="D42" s="434">
        <v>306</v>
      </c>
      <c r="E42" s="434" t="s">
        <v>5</v>
      </c>
      <c r="F42" s="434">
        <v>66</v>
      </c>
      <c r="G42" s="434">
        <v>2</v>
      </c>
      <c r="H42" s="436">
        <v>0.9</v>
      </c>
      <c r="I42" s="167">
        <v>578.6</v>
      </c>
      <c r="J42" s="446">
        <v>581.1</v>
      </c>
      <c r="K42" s="415">
        <v>9</v>
      </c>
      <c r="L42" s="168">
        <v>9.3000000000000007</v>
      </c>
      <c r="M42" s="167">
        <v>685.4</v>
      </c>
      <c r="N42" s="168">
        <v>705.6</v>
      </c>
      <c r="O42" s="167">
        <v>21.5</v>
      </c>
      <c r="P42" s="168">
        <v>23.1</v>
      </c>
      <c r="Q42" s="126"/>
      <c r="T42" s="174"/>
      <c r="U42" s="174"/>
      <c r="V42" s="174" t="s">
        <v>118</v>
      </c>
      <c r="W42" s="174">
        <v>42</v>
      </c>
      <c r="X42" s="174"/>
    </row>
    <row r="43" spans="1:24" s="21" customFormat="1" x14ac:dyDescent="0.25">
      <c r="A43" s="18"/>
      <c r="B43" s="435" t="str">
        <f t="shared" si="2"/>
        <v>GC - 307 - T3 - 66m²</v>
      </c>
      <c r="C43" s="434" t="s">
        <v>2</v>
      </c>
      <c r="D43" s="434">
        <v>307</v>
      </c>
      <c r="E43" s="434" t="s">
        <v>5</v>
      </c>
      <c r="F43" s="434">
        <v>66</v>
      </c>
      <c r="G43" s="434">
        <v>3</v>
      </c>
      <c r="H43" s="436">
        <v>0.9</v>
      </c>
      <c r="I43" s="167">
        <v>571.4</v>
      </c>
      <c r="J43" s="446">
        <v>578.79999999999995</v>
      </c>
      <c r="K43" s="415">
        <v>0</v>
      </c>
      <c r="L43" s="168">
        <v>0</v>
      </c>
      <c r="M43" s="167">
        <v>1553</v>
      </c>
      <c r="N43" s="168">
        <v>1598.9</v>
      </c>
      <c r="O43" s="167">
        <v>74</v>
      </c>
      <c r="P43" s="168">
        <v>77.400000000000006</v>
      </c>
      <c r="Q43" s="501" t="s">
        <v>349</v>
      </c>
      <c r="T43" s="174"/>
      <c r="U43" s="174"/>
      <c r="V43" s="174" t="s">
        <v>119</v>
      </c>
      <c r="W43" s="174">
        <v>43</v>
      </c>
      <c r="X43" s="292"/>
    </row>
    <row r="44" spans="1:24" x14ac:dyDescent="0.25">
      <c r="B44" s="434" t="str">
        <f t="shared" si="2"/>
        <v>GC - 308 - T3 - 66m²</v>
      </c>
      <c r="C44" s="434" t="s">
        <v>2</v>
      </c>
      <c r="D44" s="434">
        <v>308</v>
      </c>
      <c r="E44" s="434" t="s">
        <v>5</v>
      </c>
      <c r="F44" s="434">
        <v>66</v>
      </c>
      <c r="G44" s="434">
        <v>2</v>
      </c>
      <c r="H44" s="436">
        <v>0.9</v>
      </c>
      <c r="I44" s="167">
        <v>606.5</v>
      </c>
      <c r="J44" s="446">
        <v>608.9</v>
      </c>
      <c r="K44" s="415">
        <v>12.7</v>
      </c>
      <c r="L44" s="168">
        <v>13.2</v>
      </c>
      <c r="M44" s="167">
        <v>1026.4000000000001</v>
      </c>
      <c r="N44" s="168">
        <v>1048.5999999999999</v>
      </c>
      <c r="O44" s="167">
        <v>34.5</v>
      </c>
      <c r="P44" s="168">
        <v>36</v>
      </c>
      <c r="Q44" s="126"/>
      <c r="T44" s="174"/>
      <c r="U44" s="174"/>
      <c r="V44" s="174" t="s">
        <v>120</v>
      </c>
      <c r="W44" s="174">
        <v>44</v>
      </c>
      <c r="X44" s="174"/>
    </row>
    <row r="45" spans="1:24" x14ac:dyDescent="0.25">
      <c r="B45" s="434" t="str">
        <f t="shared" si="2"/>
        <v>GC - 314 - T4 - 75m²</v>
      </c>
      <c r="C45" s="434" t="s">
        <v>2</v>
      </c>
      <c r="D45" s="434">
        <v>314</v>
      </c>
      <c r="E45" s="434" t="s">
        <v>6</v>
      </c>
      <c r="F45" s="434">
        <v>75</v>
      </c>
      <c r="G45" s="434">
        <v>5</v>
      </c>
      <c r="H45" s="436">
        <v>0.9</v>
      </c>
      <c r="I45" s="167">
        <v>718.1</v>
      </c>
      <c r="J45" s="446">
        <v>728.9</v>
      </c>
      <c r="K45" s="415">
        <v>40.4</v>
      </c>
      <c r="L45" s="168">
        <v>42.6</v>
      </c>
      <c r="M45" s="167">
        <v>3209.6</v>
      </c>
      <c r="N45" s="168">
        <v>3322.8</v>
      </c>
      <c r="O45" s="167">
        <v>82.3</v>
      </c>
      <c r="P45" s="168">
        <v>86.7</v>
      </c>
      <c r="Q45" s="126"/>
      <c r="T45" s="174"/>
      <c r="U45" s="174"/>
      <c r="V45" s="174" t="s">
        <v>121</v>
      </c>
      <c r="W45" s="174">
        <v>45</v>
      </c>
      <c r="X45" s="174"/>
    </row>
    <row r="46" spans="1:24" ht="13.5" thickBot="1" x14ac:dyDescent="0.3">
      <c r="A46" s="21"/>
      <c r="B46" s="437" t="s">
        <v>158</v>
      </c>
      <c r="C46" s="437"/>
      <c r="D46" s="437"/>
      <c r="E46" s="437"/>
      <c r="F46" s="437"/>
      <c r="G46" s="437"/>
      <c r="H46" s="438"/>
      <c r="I46" s="60"/>
      <c r="J46" s="447"/>
      <c r="K46" s="416"/>
      <c r="L46" s="61"/>
      <c r="M46" s="60"/>
      <c r="N46" s="61"/>
      <c r="O46" s="60"/>
      <c r="P46" s="61"/>
      <c r="Q46" s="126"/>
      <c r="T46" s="174"/>
      <c r="U46" s="174"/>
      <c r="V46" s="174" t="s">
        <v>122</v>
      </c>
      <c r="W46" s="174">
        <v>46</v>
      </c>
      <c r="X46" s="174"/>
    </row>
    <row r="47" spans="1:24" x14ac:dyDescent="0.25">
      <c r="B47" s="434" t="str">
        <f t="shared" si="2"/>
        <v>GE2.1 - 275 - T3 - 74m²</v>
      </c>
      <c r="C47" s="434" t="s">
        <v>3</v>
      </c>
      <c r="D47" s="434">
        <v>275</v>
      </c>
      <c r="E47" s="434" t="s">
        <v>5</v>
      </c>
      <c r="F47" s="434">
        <v>74</v>
      </c>
      <c r="G47" s="434">
        <v>2</v>
      </c>
      <c r="H47" s="436">
        <v>0.9</v>
      </c>
      <c r="I47" s="169">
        <v>91.5</v>
      </c>
      <c r="J47" s="448">
        <v>96</v>
      </c>
      <c r="K47" s="417">
        <v>18.5</v>
      </c>
      <c r="L47" s="170">
        <v>19.5</v>
      </c>
      <c r="M47" s="169">
        <v>1566.9</v>
      </c>
      <c r="N47" s="170">
        <v>1621.9</v>
      </c>
      <c r="O47" s="169">
        <v>34.9</v>
      </c>
      <c r="P47" s="170">
        <v>37.200000000000003</v>
      </c>
      <c r="Q47" s="126"/>
      <c r="T47" s="174"/>
      <c r="U47" s="174"/>
      <c r="V47" s="174" t="s">
        <v>123</v>
      </c>
      <c r="W47" s="174">
        <v>47</v>
      </c>
      <c r="X47" s="174"/>
    </row>
    <row r="48" spans="1:24" x14ac:dyDescent="0.25">
      <c r="B48" s="434" t="str">
        <f t="shared" si="2"/>
        <v>GE2.1 - 278 - T2 - 57m²</v>
      </c>
      <c r="C48" s="434" t="s">
        <v>3</v>
      </c>
      <c r="D48" s="434">
        <v>278</v>
      </c>
      <c r="E48" s="434" t="s">
        <v>140</v>
      </c>
      <c r="F48" s="434">
        <v>57</v>
      </c>
      <c r="G48" s="434">
        <v>1</v>
      </c>
      <c r="H48" s="436">
        <v>0.9</v>
      </c>
      <c r="I48" s="167">
        <v>452.3</v>
      </c>
      <c r="J48" s="446">
        <v>453.9</v>
      </c>
      <c r="K48" s="415">
        <v>2.6</v>
      </c>
      <c r="L48" s="168">
        <v>2.7</v>
      </c>
      <c r="M48" s="167">
        <v>325.5</v>
      </c>
      <c r="N48" s="168">
        <v>328.5</v>
      </c>
      <c r="O48" s="167">
        <v>9.5</v>
      </c>
      <c r="P48" s="168">
        <v>9.9</v>
      </c>
      <c r="Q48" s="126"/>
      <c r="T48" s="174"/>
      <c r="U48" s="174"/>
      <c r="V48" s="174" t="s">
        <v>124</v>
      </c>
      <c r="W48" s="174">
        <v>48</v>
      </c>
      <c r="X48" s="174"/>
    </row>
    <row r="49" spans="1:24" x14ac:dyDescent="0.25">
      <c r="B49" s="434" t="str">
        <f t="shared" si="2"/>
        <v>GE2.1 - 280 - T3 - 66m²</v>
      </c>
      <c r="C49" s="434" t="s">
        <v>3</v>
      </c>
      <c r="D49" s="434">
        <v>280</v>
      </c>
      <c r="E49" s="434" t="s">
        <v>5</v>
      </c>
      <c r="F49" s="434">
        <v>66</v>
      </c>
      <c r="G49" s="434">
        <v>3</v>
      </c>
      <c r="H49" s="436">
        <v>0.9</v>
      </c>
      <c r="I49" s="167">
        <v>0.2</v>
      </c>
      <c r="J49" s="446">
        <v>0.5</v>
      </c>
      <c r="K49" s="415">
        <v>0.3</v>
      </c>
      <c r="L49" s="168">
        <v>0.4</v>
      </c>
      <c r="M49" s="167">
        <v>2.5</v>
      </c>
      <c r="N49" s="168">
        <v>2.9</v>
      </c>
      <c r="O49" s="167">
        <v>1.3</v>
      </c>
      <c r="P49" s="168">
        <v>1.6</v>
      </c>
      <c r="Q49" s="126"/>
      <c r="T49" s="174"/>
      <c r="U49" s="174"/>
      <c r="V49" s="174" t="s">
        <v>125</v>
      </c>
      <c r="W49" s="174">
        <v>49</v>
      </c>
      <c r="X49" s="174"/>
    </row>
    <row r="50" spans="1:24" x14ac:dyDescent="0.25">
      <c r="B50" s="434" t="str">
        <f t="shared" si="2"/>
        <v>GE2.1 - 282 - T4 - 78m²</v>
      </c>
      <c r="C50" s="434" t="s">
        <v>3</v>
      </c>
      <c r="D50" s="434">
        <v>282</v>
      </c>
      <c r="E50" s="434" t="s">
        <v>6</v>
      </c>
      <c r="F50" s="434">
        <v>78</v>
      </c>
      <c r="G50" s="434">
        <v>3</v>
      </c>
      <c r="H50" s="436">
        <v>0.9</v>
      </c>
      <c r="I50" s="167">
        <v>178.1</v>
      </c>
      <c r="J50" s="446">
        <v>181.3</v>
      </c>
      <c r="K50" s="415">
        <v>6.4</v>
      </c>
      <c r="L50" s="168">
        <v>6.7</v>
      </c>
      <c r="M50" s="167">
        <v>729.1</v>
      </c>
      <c r="N50" s="168">
        <v>758.4</v>
      </c>
      <c r="O50" s="167">
        <v>14.5</v>
      </c>
      <c r="P50" s="168">
        <v>15.2</v>
      </c>
      <c r="Q50" s="126"/>
      <c r="T50" s="174"/>
      <c r="U50" s="174"/>
      <c r="V50" s="174" t="s">
        <v>126</v>
      </c>
      <c r="W50" s="174">
        <v>50</v>
      </c>
      <c r="X50" s="174"/>
    </row>
    <row r="51" spans="1:24" x14ac:dyDescent="0.25">
      <c r="B51" s="434" t="str">
        <f t="shared" si="2"/>
        <v>GE2.1 - 292 - T3 - 63m²</v>
      </c>
      <c r="C51" s="434" t="s">
        <v>3</v>
      </c>
      <c r="D51" s="434">
        <v>292</v>
      </c>
      <c r="E51" s="434" t="s">
        <v>5</v>
      </c>
      <c r="F51" s="434">
        <v>63</v>
      </c>
      <c r="G51" s="434">
        <v>1</v>
      </c>
      <c r="H51" s="436">
        <v>0.9</v>
      </c>
      <c r="I51" s="167">
        <v>387.9</v>
      </c>
      <c r="J51" s="446">
        <v>390.4</v>
      </c>
      <c r="K51" s="415">
        <v>9.1</v>
      </c>
      <c r="L51" s="168">
        <v>9.5</v>
      </c>
      <c r="M51" s="167">
        <v>848.9</v>
      </c>
      <c r="N51" s="168">
        <v>884.4</v>
      </c>
      <c r="O51" s="167">
        <v>18.5</v>
      </c>
      <c r="P51" s="168">
        <v>19.5</v>
      </c>
      <c r="Q51" s="126"/>
      <c r="T51" s="174"/>
      <c r="U51" s="174"/>
      <c r="V51" s="174" t="s">
        <v>127</v>
      </c>
      <c r="W51" s="174">
        <v>51</v>
      </c>
      <c r="X51" s="174"/>
    </row>
    <row r="52" spans="1:24" x14ac:dyDescent="0.25">
      <c r="B52" s="434" t="str">
        <f t="shared" si="2"/>
        <v>GE2.1 - 293 - T3 - 63m²</v>
      </c>
      <c r="C52" s="434" t="s">
        <v>3</v>
      </c>
      <c r="D52" s="434">
        <v>293</v>
      </c>
      <c r="E52" s="434" t="s">
        <v>5</v>
      </c>
      <c r="F52" s="434">
        <v>63</v>
      </c>
      <c r="G52" s="434">
        <v>2</v>
      </c>
      <c r="H52" s="436">
        <v>0.9</v>
      </c>
      <c r="I52" s="167">
        <v>145.4</v>
      </c>
      <c r="J52" s="446">
        <v>149.9</v>
      </c>
      <c r="K52" s="415">
        <v>18.2</v>
      </c>
      <c r="L52" s="168">
        <v>19</v>
      </c>
      <c r="M52" s="167">
        <v>477.7</v>
      </c>
      <c r="N52" s="168">
        <v>503.4</v>
      </c>
      <c r="O52" s="167">
        <v>40.6</v>
      </c>
      <c r="P52" s="168">
        <v>43.3</v>
      </c>
      <c r="Q52" s="126"/>
      <c r="T52" s="174"/>
      <c r="U52" s="174"/>
      <c r="V52" s="174" t="s">
        <v>128</v>
      </c>
      <c r="W52" s="174">
        <v>52</v>
      </c>
      <c r="X52" s="174"/>
    </row>
    <row r="53" spans="1:24" x14ac:dyDescent="0.25">
      <c r="B53" s="434" t="str">
        <f t="shared" si="2"/>
        <v>GE2.1 - 295 - T3 - 63m²</v>
      </c>
      <c r="C53" s="434" t="s">
        <v>3</v>
      </c>
      <c r="D53" s="434">
        <v>295</v>
      </c>
      <c r="E53" s="434" t="s">
        <v>5</v>
      </c>
      <c r="F53" s="434">
        <v>63</v>
      </c>
      <c r="G53" s="434">
        <v>2</v>
      </c>
      <c r="H53" s="436">
        <v>0.9</v>
      </c>
      <c r="I53" s="167">
        <v>680.6</v>
      </c>
      <c r="J53" s="446">
        <v>690.6</v>
      </c>
      <c r="K53" s="415">
        <v>38.299999999999997</v>
      </c>
      <c r="L53" s="168">
        <v>39.9</v>
      </c>
      <c r="M53" s="167">
        <v>1103.5</v>
      </c>
      <c r="N53" s="168">
        <v>1152.0999999999999</v>
      </c>
      <c r="O53" s="167">
        <v>78.8</v>
      </c>
      <c r="P53" s="168">
        <v>82.9</v>
      </c>
      <c r="Q53" s="126"/>
      <c r="T53" s="174"/>
      <c r="U53" s="174"/>
      <c r="V53" s="174" t="s">
        <v>129</v>
      </c>
      <c r="W53" s="174">
        <v>53</v>
      </c>
      <c r="X53" s="174"/>
    </row>
    <row r="54" spans="1:24" x14ac:dyDescent="0.25">
      <c r="B54" s="434" t="str">
        <f t="shared" si="2"/>
        <v>GE2.1 - 296 - T4 - 78m²</v>
      </c>
      <c r="C54" s="434" t="s">
        <v>3</v>
      </c>
      <c r="D54" s="434">
        <v>296</v>
      </c>
      <c r="E54" s="434" t="s">
        <v>6</v>
      </c>
      <c r="F54" s="434">
        <v>78</v>
      </c>
      <c r="G54" s="434">
        <v>4</v>
      </c>
      <c r="H54" s="436">
        <v>0.9</v>
      </c>
      <c r="I54" s="167">
        <v>338.6</v>
      </c>
      <c r="J54" s="446">
        <v>340.6</v>
      </c>
      <c r="K54" s="415">
        <v>10.7</v>
      </c>
      <c r="L54" s="168">
        <v>11.2</v>
      </c>
      <c r="M54" s="167">
        <v>678.9</v>
      </c>
      <c r="N54" s="168">
        <v>706.6</v>
      </c>
      <c r="O54" s="167">
        <v>35.299999999999997</v>
      </c>
      <c r="P54" s="168">
        <v>36.299999999999997</v>
      </c>
      <c r="Q54" s="126"/>
      <c r="T54" s="174"/>
      <c r="U54" s="174"/>
      <c r="V54" s="174" t="s">
        <v>130</v>
      </c>
      <c r="W54" s="174">
        <v>54</v>
      </c>
      <c r="X54" s="174"/>
    </row>
    <row r="55" spans="1:24" x14ac:dyDescent="0.25">
      <c r="B55" s="434" t="str">
        <f t="shared" si="2"/>
        <v>GE2.1 - 297 - T4 - 79m²</v>
      </c>
      <c r="C55" s="434" t="s">
        <v>3</v>
      </c>
      <c r="D55" s="434">
        <v>297</v>
      </c>
      <c r="E55" s="434" t="s">
        <v>6</v>
      </c>
      <c r="F55" s="434">
        <v>79</v>
      </c>
      <c r="G55" s="435">
        <v>1</v>
      </c>
      <c r="H55" s="436">
        <v>0.9</v>
      </c>
      <c r="I55" s="167">
        <v>1114.5</v>
      </c>
      <c r="J55" s="446">
        <v>1146.4000000000001</v>
      </c>
      <c r="K55" s="415">
        <v>53.3</v>
      </c>
      <c r="L55" s="168">
        <v>54.9</v>
      </c>
      <c r="M55" s="167">
        <v>1717.7</v>
      </c>
      <c r="N55" s="168">
        <v>1776.6</v>
      </c>
      <c r="O55" s="167">
        <v>110.5</v>
      </c>
      <c r="P55" s="168">
        <v>115.1</v>
      </c>
      <c r="Q55" s="126"/>
      <c r="T55" s="174"/>
      <c r="U55" s="174"/>
      <c r="X55" s="174"/>
    </row>
    <row r="56" spans="1:24" x14ac:dyDescent="0.25">
      <c r="B56" s="434" t="str">
        <f t="shared" si="2"/>
        <v>GE2.1 - 299 - T4 - 79m²</v>
      </c>
      <c r="C56" s="434" t="s">
        <v>3</v>
      </c>
      <c r="D56" s="434">
        <v>299</v>
      </c>
      <c r="E56" s="434" t="s">
        <v>6</v>
      </c>
      <c r="F56" s="434">
        <v>79</v>
      </c>
      <c r="G56" s="434">
        <v>3</v>
      </c>
      <c r="H56" s="436">
        <v>0.9</v>
      </c>
      <c r="I56" s="167">
        <v>109.9</v>
      </c>
      <c r="J56" s="446">
        <v>111.6</v>
      </c>
      <c r="K56" s="415">
        <v>14.1</v>
      </c>
      <c r="L56" s="168">
        <v>14.3</v>
      </c>
      <c r="M56" s="167">
        <v>836.1</v>
      </c>
      <c r="N56" s="168">
        <v>858.4</v>
      </c>
      <c r="O56" s="167">
        <v>28.5</v>
      </c>
      <c r="P56" s="168">
        <v>29.3</v>
      </c>
      <c r="Q56" s="126"/>
      <c r="T56" s="174"/>
      <c r="U56" s="174"/>
      <c r="X56" s="174"/>
    </row>
    <row r="57" spans="1:24" s="21" customFormat="1" x14ac:dyDescent="0.25">
      <c r="A57" s="18"/>
      <c r="B57" s="434" t="str">
        <f t="shared" si="2"/>
        <v>GE2.1 - 300 - T5 - 93m²</v>
      </c>
      <c r="C57" s="434" t="s">
        <v>3</v>
      </c>
      <c r="D57" s="434">
        <v>300</v>
      </c>
      <c r="E57" s="434" t="s">
        <v>7</v>
      </c>
      <c r="F57" s="434">
        <v>93</v>
      </c>
      <c r="G57" s="434">
        <v>4</v>
      </c>
      <c r="H57" s="436">
        <v>0.9</v>
      </c>
      <c r="I57" s="167">
        <v>354.6</v>
      </c>
      <c r="J57" s="446">
        <v>359.1</v>
      </c>
      <c r="K57" s="415">
        <v>26.3</v>
      </c>
      <c r="L57" s="168">
        <v>27.3</v>
      </c>
      <c r="M57" s="167">
        <v>1531.6</v>
      </c>
      <c r="N57" s="168">
        <v>1580.6</v>
      </c>
      <c r="O57" s="167">
        <v>53.9</v>
      </c>
      <c r="P57" s="168">
        <v>56.4</v>
      </c>
      <c r="Q57" s="127"/>
      <c r="T57" s="174"/>
      <c r="U57" s="174"/>
      <c r="X57" s="292"/>
    </row>
    <row r="58" spans="1:24" x14ac:dyDescent="0.25">
      <c r="B58" s="434" t="str">
        <f t="shared" si="2"/>
        <v>GE2.1 - 302 - T5 - 93m²</v>
      </c>
      <c r="C58" s="434" t="s">
        <v>3</v>
      </c>
      <c r="D58" s="434">
        <v>302</v>
      </c>
      <c r="E58" s="434" t="s">
        <v>7</v>
      </c>
      <c r="F58" s="434">
        <v>93</v>
      </c>
      <c r="G58" s="434">
        <v>3</v>
      </c>
      <c r="H58" s="436">
        <v>0.9</v>
      </c>
      <c r="I58" s="167">
        <v>791.9</v>
      </c>
      <c r="J58" s="446">
        <v>796.2</v>
      </c>
      <c r="K58" s="415">
        <v>17</v>
      </c>
      <c r="L58" s="168">
        <v>17.600000000000001</v>
      </c>
      <c r="M58" s="167">
        <v>1326.3</v>
      </c>
      <c r="N58" s="168">
        <v>1378.1</v>
      </c>
      <c r="O58" s="167">
        <v>42.8</v>
      </c>
      <c r="P58" s="168">
        <v>44.9</v>
      </c>
      <c r="Q58" s="126"/>
    </row>
    <row r="59" spans="1:24" x14ac:dyDescent="0.25">
      <c r="B59" s="434" t="str">
        <f t="shared" si="2"/>
        <v>GE2.1 - 312 - T4 - 75m²</v>
      </c>
      <c r="C59" s="434" t="s">
        <v>3</v>
      </c>
      <c r="D59" s="434">
        <v>312</v>
      </c>
      <c r="E59" s="434" t="s">
        <v>6</v>
      </c>
      <c r="F59" s="434">
        <v>75</v>
      </c>
      <c r="G59" s="434">
        <v>2</v>
      </c>
      <c r="H59" s="436">
        <v>0.9</v>
      </c>
      <c r="I59" s="167">
        <v>128.19999999999999</v>
      </c>
      <c r="J59" s="446">
        <v>130</v>
      </c>
      <c r="K59" s="415">
        <v>25.1</v>
      </c>
      <c r="L59" s="168">
        <v>25.6</v>
      </c>
      <c r="M59" s="167">
        <v>30617.3</v>
      </c>
      <c r="N59" s="168">
        <v>30649.1</v>
      </c>
      <c r="O59" s="167">
        <v>46.8</v>
      </c>
      <c r="P59" s="168">
        <v>47.9</v>
      </c>
      <c r="Q59" s="126"/>
    </row>
    <row r="60" spans="1:24" ht="13.5" thickBot="1" x14ac:dyDescent="0.3">
      <c r="A60" s="21"/>
      <c r="B60" s="437" t="s">
        <v>159</v>
      </c>
      <c r="C60" s="437"/>
      <c r="D60" s="437"/>
      <c r="E60" s="437"/>
      <c r="F60" s="437"/>
      <c r="G60" s="437"/>
      <c r="H60" s="438"/>
      <c r="I60" s="60"/>
      <c r="J60" s="447"/>
      <c r="K60" s="416"/>
      <c r="L60" s="61"/>
      <c r="M60" s="60"/>
      <c r="N60" s="61"/>
      <c r="O60" s="60"/>
      <c r="P60" s="61"/>
      <c r="Q60" s="126"/>
    </row>
    <row r="61" spans="1:24" x14ac:dyDescent="0.25">
      <c r="B61" s="434" t="str">
        <f t="shared" si="2"/>
        <v>GE2.2 - 271 - T3 - 74m²</v>
      </c>
      <c r="C61" s="434" t="s">
        <v>1</v>
      </c>
      <c r="D61" s="434">
        <v>271</v>
      </c>
      <c r="E61" s="434" t="s">
        <v>5</v>
      </c>
      <c r="F61" s="434">
        <v>74</v>
      </c>
      <c r="G61" s="434">
        <v>2</v>
      </c>
      <c r="H61" s="436">
        <v>0.9</v>
      </c>
      <c r="I61" s="169">
        <v>280.8</v>
      </c>
      <c r="J61" s="448">
        <v>285.5</v>
      </c>
      <c r="K61" s="417">
        <v>26.7</v>
      </c>
      <c r="L61" s="170">
        <v>27.9</v>
      </c>
      <c r="M61" s="169">
        <v>743.3</v>
      </c>
      <c r="N61" s="170">
        <v>775.1</v>
      </c>
      <c r="O61" s="169">
        <v>38.799999999999997</v>
      </c>
      <c r="P61" s="170">
        <v>40.6</v>
      </c>
      <c r="Q61" s="126"/>
    </row>
    <row r="62" spans="1:24" x14ac:dyDescent="0.25">
      <c r="B62" s="434" t="str">
        <f t="shared" si="2"/>
        <v>GE2.2 - 272 - T3 - 74m²</v>
      </c>
      <c r="C62" s="434" t="s">
        <v>1</v>
      </c>
      <c r="D62" s="434">
        <v>272</v>
      </c>
      <c r="E62" s="434" t="s">
        <v>5</v>
      </c>
      <c r="F62" s="434">
        <v>74</v>
      </c>
      <c r="G62" s="434">
        <v>1</v>
      </c>
      <c r="H62" s="436">
        <v>0.9</v>
      </c>
      <c r="I62" s="167">
        <v>304.5</v>
      </c>
      <c r="J62" s="446">
        <v>305.10000000000002</v>
      </c>
      <c r="K62" s="415">
        <v>3.9</v>
      </c>
      <c r="L62" s="168">
        <v>4</v>
      </c>
      <c r="M62" s="167">
        <v>2893.1</v>
      </c>
      <c r="N62" s="168">
        <v>2965.8</v>
      </c>
      <c r="O62" s="167">
        <v>42</v>
      </c>
      <c r="P62" s="168">
        <v>43.8</v>
      </c>
      <c r="Q62" s="126"/>
    </row>
    <row r="63" spans="1:24" x14ac:dyDescent="0.25">
      <c r="B63" s="434" t="str">
        <f t="shared" si="2"/>
        <v>GE2.2 - 273 - T3 - 74m²</v>
      </c>
      <c r="C63" s="434" t="s">
        <v>1</v>
      </c>
      <c r="D63" s="434">
        <v>273</v>
      </c>
      <c r="E63" s="434" t="s">
        <v>5</v>
      </c>
      <c r="F63" s="434">
        <v>74</v>
      </c>
      <c r="G63" s="434">
        <v>2</v>
      </c>
      <c r="H63" s="436">
        <v>0.9</v>
      </c>
      <c r="I63" s="167">
        <v>697.1</v>
      </c>
      <c r="J63" s="446">
        <v>701.4</v>
      </c>
      <c r="K63" s="415">
        <v>18.8</v>
      </c>
      <c r="L63" s="168">
        <v>19.7</v>
      </c>
      <c r="M63" s="167">
        <v>1471.2</v>
      </c>
      <c r="N63" s="168">
        <v>1526</v>
      </c>
      <c r="O63" s="167">
        <v>38.200000000000003</v>
      </c>
      <c r="P63" s="168">
        <v>40.200000000000003</v>
      </c>
      <c r="Q63" s="126"/>
    </row>
    <row r="64" spans="1:24" x14ac:dyDescent="0.25">
      <c r="B64" s="434" t="str">
        <f t="shared" si="2"/>
        <v>GE2.2 - 276 - T4 - 83m²</v>
      </c>
      <c r="C64" s="434" t="s">
        <v>1</v>
      </c>
      <c r="D64" s="434">
        <v>276</v>
      </c>
      <c r="E64" s="434" t="s">
        <v>6</v>
      </c>
      <c r="F64" s="434">
        <v>83</v>
      </c>
      <c r="G64" s="434">
        <v>2</v>
      </c>
      <c r="H64" s="436">
        <v>0.9</v>
      </c>
      <c r="I64" s="167">
        <v>279.3</v>
      </c>
      <c r="J64" s="446">
        <v>282.60000000000002</v>
      </c>
      <c r="K64" s="415">
        <v>18.7</v>
      </c>
      <c r="L64" s="168">
        <v>19.399999999999999</v>
      </c>
      <c r="M64" s="167">
        <v>2071.5</v>
      </c>
      <c r="N64" s="168">
        <v>2157.1999999999998</v>
      </c>
      <c r="O64" s="167">
        <v>41.9</v>
      </c>
      <c r="P64" s="168">
        <v>44</v>
      </c>
      <c r="Q64" s="126"/>
    </row>
    <row r="65" spans="1:18" x14ac:dyDescent="0.25">
      <c r="B65" s="434" t="str">
        <f t="shared" si="2"/>
        <v>GE2.2 - 279 - T3 - 70m²</v>
      </c>
      <c r="C65" s="434" t="s">
        <v>1</v>
      </c>
      <c r="D65" s="434">
        <v>279</v>
      </c>
      <c r="E65" s="434" t="s">
        <v>5</v>
      </c>
      <c r="F65" s="434">
        <v>70</v>
      </c>
      <c r="G65" s="434">
        <v>2</v>
      </c>
      <c r="H65" s="436">
        <v>0.9</v>
      </c>
      <c r="I65" s="167">
        <v>479.6</v>
      </c>
      <c r="J65" s="446">
        <v>483.4</v>
      </c>
      <c r="K65" s="415">
        <v>15.3</v>
      </c>
      <c r="L65" s="168">
        <v>16.2</v>
      </c>
      <c r="M65" s="167">
        <v>1082.5999999999999</v>
      </c>
      <c r="N65" s="168">
        <v>1124.3</v>
      </c>
      <c r="O65" s="167">
        <v>28</v>
      </c>
      <c r="P65" s="168">
        <v>29.8</v>
      </c>
      <c r="Q65" s="126"/>
    </row>
    <row r="66" spans="1:18" x14ac:dyDescent="0.25">
      <c r="B66" s="434" t="str">
        <f t="shared" si="2"/>
        <v>GE2.2 - 288 - T3 - 68m²</v>
      </c>
      <c r="C66" s="434" t="s">
        <v>1</v>
      </c>
      <c r="D66" s="434">
        <v>288</v>
      </c>
      <c r="E66" s="434" t="s">
        <v>5</v>
      </c>
      <c r="F66" s="434">
        <v>68</v>
      </c>
      <c r="G66" s="434">
        <v>4</v>
      </c>
      <c r="H66" s="436">
        <v>0.9</v>
      </c>
      <c r="I66" s="167">
        <v>79.2</v>
      </c>
      <c r="J66" s="446">
        <v>81</v>
      </c>
      <c r="K66" s="415">
        <v>3.7</v>
      </c>
      <c r="L66" s="168">
        <v>3.8</v>
      </c>
      <c r="M66" s="167">
        <v>743.7</v>
      </c>
      <c r="N66" s="168">
        <v>778.8</v>
      </c>
      <c r="O66" s="167">
        <v>18.899999999999999</v>
      </c>
      <c r="P66" s="168">
        <v>19.8</v>
      </c>
      <c r="Q66" s="126"/>
    </row>
    <row r="67" spans="1:18" x14ac:dyDescent="0.25">
      <c r="B67" s="435" t="str">
        <f t="shared" si="2"/>
        <v>GE2.2 - 291 - T3 - 62m²</v>
      </c>
      <c r="C67" s="434" t="s">
        <v>1</v>
      </c>
      <c r="D67" s="434">
        <v>291</v>
      </c>
      <c r="E67" s="434" t="s">
        <v>5</v>
      </c>
      <c r="F67" s="434">
        <v>62</v>
      </c>
      <c r="G67" s="434">
        <v>2</v>
      </c>
      <c r="H67" s="436">
        <v>0.9</v>
      </c>
      <c r="I67" s="167">
        <v>304.3</v>
      </c>
      <c r="J67" s="446">
        <v>304.60000000000002</v>
      </c>
      <c r="K67" s="415">
        <v>0</v>
      </c>
      <c r="L67" s="168">
        <v>0</v>
      </c>
      <c r="M67" s="167">
        <v>1269.3</v>
      </c>
      <c r="N67" s="168">
        <v>1288.0999999999999</v>
      </c>
      <c r="O67" s="167">
        <v>31.3</v>
      </c>
      <c r="P67" s="168">
        <v>31.7</v>
      </c>
      <c r="Q67" s="501" t="s">
        <v>349</v>
      </c>
    </row>
    <row r="68" spans="1:18" x14ac:dyDescent="0.25">
      <c r="B68" s="434" t="str">
        <f t="shared" si="2"/>
        <v>GE2.2 - 294 - T3 - 63m²</v>
      </c>
      <c r="C68" s="434" t="s">
        <v>1</v>
      </c>
      <c r="D68" s="434">
        <v>294</v>
      </c>
      <c r="E68" s="434" t="s">
        <v>5</v>
      </c>
      <c r="F68" s="434">
        <v>63</v>
      </c>
      <c r="G68" s="434">
        <v>1</v>
      </c>
      <c r="H68" s="436">
        <v>0.9</v>
      </c>
      <c r="I68" s="167">
        <v>699.6</v>
      </c>
      <c r="J68" s="446">
        <v>699.6</v>
      </c>
      <c r="K68" s="415">
        <v>8.1999999999999993</v>
      </c>
      <c r="L68" s="168">
        <v>8.6</v>
      </c>
      <c r="M68" s="167">
        <v>3124.8</v>
      </c>
      <c r="N68" s="168">
        <v>3183.8</v>
      </c>
      <c r="O68" s="167">
        <v>31.9</v>
      </c>
      <c r="P68" s="168">
        <v>33.299999999999997</v>
      </c>
      <c r="Q68" s="126"/>
    </row>
    <row r="69" spans="1:18" x14ac:dyDescent="0.25">
      <c r="B69" s="434" t="str">
        <f t="shared" si="2"/>
        <v>GE2.2 - 298 - T5 - 93m²</v>
      </c>
      <c r="C69" s="434" t="s">
        <v>1</v>
      </c>
      <c r="D69" s="434">
        <v>298</v>
      </c>
      <c r="E69" s="434" t="s">
        <v>7</v>
      </c>
      <c r="F69" s="434">
        <v>93</v>
      </c>
      <c r="G69" s="435">
        <v>1</v>
      </c>
      <c r="H69" s="436">
        <v>0.9</v>
      </c>
      <c r="I69" s="167">
        <v>589.4</v>
      </c>
      <c r="J69" s="446">
        <v>602.29999999999995</v>
      </c>
      <c r="K69" s="415">
        <v>38.200000000000003</v>
      </c>
      <c r="L69" s="168">
        <v>39.5</v>
      </c>
      <c r="M69" s="167">
        <v>1896</v>
      </c>
      <c r="N69" s="168">
        <v>1966.7</v>
      </c>
      <c r="O69" s="167">
        <v>88.7</v>
      </c>
      <c r="P69" s="168">
        <v>93.4</v>
      </c>
      <c r="Q69" s="126"/>
    </row>
    <row r="70" spans="1:18" x14ac:dyDescent="0.25">
      <c r="B70" s="434" t="str">
        <f t="shared" si="2"/>
        <v>GE2.2 - 301 - T4 - 79m²</v>
      </c>
      <c r="C70" s="434" t="s">
        <v>1</v>
      </c>
      <c r="D70" s="434">
        <v>301</v>
      </c>
      <c r="E70" s="434" t="s">
        <v>6</v>
      </c>
      <c r="F70" s="434">
        <v>79</v>
      </c>
      <c r="G70" s="434">
        <v>3</v>
      </c>
      <c r="H70" s="436">
        <v>0.9</v>
      </c>
      <c r="I70" s="167">
        <v>603.4</v>
      </c>
      <c r="J70" s="446">
        <v>605</v>
      </c>
      <c r="K70" s="415">
        <v>16.100000000000001</v>
      </c>
      <c r="L70" s="168">
        <v>16.600000000000001</v>
      </c>
      <c r="M70" s="167">
        <v>1911.4</v>
      </c>
      <c r="N70" s="168">
        <v>1976.4</v>
      </c>
      <c r="O70" s="167">
        <v>43.3</v>
      </c>
      <c r="P70" s="168">
        <v>44.8</v>
      </c>
      <c r="Q70" s="126"/>
    </row>
    <row r="71" spans="1:18" s="21" customFormat="1" x14ac:dyDescent="0.25">
      <c r="A71" s="18"/>
      <c r="B71" s="434" t="str">
        <f t="shared" si="2"/>
        <v>GE2.2 - 311 - T4 - 74m²</v>
      </c>
      <c r="C71" s="434" t="s">
        <v>1</v>
      </c>
      <c r="D71" s="434">
        <v>311</v>
      </c>
      <c r="E71" s="434" t="s">
        <v>6</v>
      </c>
      <c r="F71" s="434">
        <v>74</v>
      </c>
      <c r="G71" s="434">
        <v>2</v>
      </c>
      <c r="H71" s="436">
        <v>0.9</v>
      </c>
      <c r="I71" s="167">
        <v>405.5</v>
      </c>
      <c r="J71" s="446">
        <v>412</v>
      </c>
      <c r="K71" s="415">
        <v>20.5</v>
      </c>
      <c r="L71" s="168">
        <v>21.3</v>
      </c>
      <c r="M71" s="167">
        <v>953.8</v>
      </c>
      <c r="N71" s="168">
        <v>989.8</v>
      </c>
      <c r="O71" s="167">
        <v>49.2</v>
      </c>
      <c r="P71" s="168">
        <v>51.2</v>
      </c>
      <c r="Q71" s="127"/>
    </row>
    <row r="72" spans="1:18" x14ac:dyDescent="0.25">
      <c r="B72" s="434" t="str">
        <f t="shared" si="2"/>
        <v>GE2.2 - 313 - T4 - 75m²</v>
      </c>
      <c r="C72" s="434" t="s">
        <v>1</v>
      </c>
      <c r="D72" s="434">
        <v>313</v>
      </c>
      <c r="E72" s="434" t="s">
        <v>6</v>
      </c>
      <c r="F72" s="434">
        <v>75</v>
      </c>
      <c r="G72" s="434">
        <v>2</v>
      </c>
      <c r="H72" s="436">
        <v>0.9</v>
      </c>
      <c r="I72" s="167">
        <v>296.89999999999998</v>
      </c>
      <c r="J72" s="446">
        <v>298.8</v>
      </c>
      <c r="K72" s="415">
        <v>10.3</v>
      </c>
      <c r="L72" s="168">
        <v>10.7</v>
      </c>
      <c r="M72" s="167">
        <v>788.6</v>
      </c>
      <c r="N72" s="168">
        <v>814.4</v>
      </c>
      <c r="O72" s="167">
        <v>21.6</v>
      </c>
      <c r="P72" s="168">
        <v>22.5</v>
      </c>
      <c r="Q72" s="126"/>
    </row>
    <row r="73" spans="1:18" x14ac:dyDescent="0.25">
      <c r="B73" s="434" t="str">
        <f t="shared" si="2"/>
        <v>GE2.2 - 315 - T4 - 75m²</v>
      </c>
      <c r="C73" s="434" t="s">
        <v>1</v>
      </c>
      <c r="D73" s="434">
        <v>315</v>
      </c>
      <c r="E73" s="434" t="s">
        <v>6</v>
      </c>
      <c r="F73" s="434">
        <v>75</v>
      </c>
      <c r="G73" s="435">
        <v>1</v>
      </c>
      <c r="H73" s="436">
        <v>0.9</v>
      </c>
      <c r="I73" s="167">
        <v>470.2</v>
      </c>
      <c r="J73" s="446">
        <v>476.8</v>
      </c>
      <c r="K73" s="415">
        <v>22.2</v>
      </c>
      <c r="L73" s="168">
        <v>23.2</v>
      </c>
      <c r="M73" s="167">
        <v>1262.2</v>
      </c>
      <c r="N73" s="168">
        <v>1312</v>
      </c>
      <c r="O73" s="167">
        <v>48.4</v>
      </c>
      <c r="P73" s="168">
        <v>51</v>
      </c>
      <c r="Q73" s="126"/>
    </row>
    <row r="74" spans="1:18" ht="13.5" thickBot="1" x14ac:dyDescent="0.3">
      <c r="A74" s="21"/>
      <c r="B74" s="437" t="s">
        <v>160</v>
      </c>
      <c r="C74" s="437"/>
      <c r="D74" s="437"/>
      <c r="E74" s="437"/>
      <c r="F74" s="437"/>
      <c r="G74" s="437"/>
      <c r="H74" s="438"/>
      <c r="I74" s="60"/>
      <c r="J74" s="447"/>
      <c r="K74" s="416"/>
      <c r="L74" s="61"/>
      <c r="M74" s="60"/>
      <c r="N74" s="61"/>
      <c r="O74" s="60"/>
      <c r="P74" s="61"/>
      <c r="Q74" s="126"/>
    </row>
    <row r="75" spans="1:18" x14ac:dyDescent="0.25">
      <c r="B75" s="434" t="str">
        <f t="shared" si="2"/>
        <v>SO - 284 - T - 64m²</v>
      </c>
      <c r="C75" s="434" t="s">
        <v>39</v>
      </c>
      <c r="D75" s="434">
        <v>284</v>
      </c>
      <c r="E75" s="434" t="s">
        <v>59</v>
      </c>
      <c r="F75" s="434">
        <v>64</v>
      </c>
      <c r="G75" s="435">
        <v>1</v>
      </c>
      <c r="H75" s="436">
        <v>0.9</v>
      </c>
      <c r="I75" s="169">
        <v>31.8</v>
      </c>
      <c r="J75" s="448">
        <v>34</v>
      </c>
      <c r="K75" s="417">
        <v>1.2</v>
      </c>
      <c r="L75" s="170">
        <v>1.2</v>
      </c>
      <c r="M75" s="169">
        <v>2250</v>
      </c>
      <c r="N75" s="170">
        <v>2313.4</v>
      </c>
      <c r="O75" s="169">
        <v>6.4</v>
      </c>
      <c r="P75" s="170">
        <v>6.6</v>
      </c>
      <c r="Q75" s="126"/>
    </row>
    <row r="76" spans="1:18" x14ac:dyDescent="0.25">
      <c r="B76" s="434" t="str">
        <f t="shared" si="2"/>
        <v>SO - 287 - T - 81m²</v>
      </c>
      <c r="C76" s="434" t="s">
        <v>39</v>
      </c>
      <c r="D76" s="434">
        <v>287</v>
      </c>
      <c r="E76" s="434" t="s">
        <v>59</v>
      </c>
      <c r="F76" s="434">
        <v>81</v>
      </c>
      <c r="G76" s="435">
        <v>1</v>
      </c>
      <c r="H76" s="436">
        <v>0.9</v>
      </c>
      <c r="I76" s="167">
        <v>404</v>
      </c>
      <c r="J76" s="446">
        <v>405.9</v>
      </c>
      <c r="K76" s="415">
        <v>13.2</v>
      </c>
      <c r="L76" s="168">
        <v>13.5</v>
      </c>
      <c r="M76" s="167">
        <v>1079.5999999999999</v>
      </c>
      <c r="N76" s="168">
        <v>1115.2</v>
      </c>
      <c r="O76" s="167">
        <v>32.1</v>
      </c>
      <c r="P76" s="168">
        <v>33.299999999999997</v>
      </c>
      <c r="Q76" s="126"/>
    </row>
    <row r="77" spans="1:18" x14ac:dyDescent="0.25">
      <c r="B77" s="435" t="str">
        <f t="shared" si="2"/>
        <v>SO - 290 - T - 40m²</v>
      </c>
      <c r="C77" s="434" t="s">
        <v>39</v>
      </c>
      <c r="D77" s="434">
        <v>290</v>
      </c>
      <c r="E77" s="434" t="s">
        <v>59</v>
      </c>
      <c r="F77" s="434">
        <v>40</v>
      </c>
      <c r="G77" s="435">
        <v>1</v>
      </c>
      <c r="H77" s="436">
        <v>0.9</v>
      </c>
      <c r="I77" s="167">
        <v>78.900000000000006</v>
      </c>
      <c r="J77" s="446">
        <v>80.7</v>
      </c>
      <c r="K77" s="415">
        <v>0</v>
      </c>
      <c r="L77" s="168">
        <v>0</v>
      </c>
      <c r="M77" s="167">
        <v>534.5</v>
      </c>
      <c r="N77" s="168">
        <v>561.29999999999995</v>
      </c>
      <c r="O77" s="167">
        <v>19.600000000000001</v>
      </c>
      <c r="P77" s="168">
        <v>20.7</v>
      </c>
      <c r="Q77" s="501" t="s">
        <v>349</v>
      </c>
      <c r="R77" s="502" t="s">
        <v>350</v>
      </c>
    </row>
    <row r="78" spans="1:18" s="21" customFormat="1" x14ac:dyDescent="0.25">
      <c r="A78" s="18"/>
      <c r="B78" s="435" t="str">
        <f t="shared" si="2"/>
        <v>SO - 305 - T - 66m²</v>
      </c>
      <c r="C78" s="434" t="s">
        <v>39</v>
      </c>
      <c r="D78" s="434">
        <v>305</v>
      </c>
      <c r="E78" s="434" t="s">
        <v>59</v>
      </c>
      <c r="F78" s="434">
        <v>66</v>
      </c>
      <c r="G78" s="434">
        <v>3</v>
      </c>
      <c r="H78" s="436">
        <v>0.9</v>
      </c>
      <c r="I78" s="167">
        <v>438.7</v>
      </c>
      <c r="J78" s="446">
        <v>443.4</v>
      </c>
      <c r="K78" s="415">
        <v>0</v>
      </c>
      <c r="L78" s="168">
        <v>0</v>
      </c>
      <c r="M78" s="167">
        <v>1035</v>
      </c>
      <c r="N78" s="168">
        <v>1078.8</v>
      </c>
      <c r="O78" s="167">
        <v>23.6</v>
      </c>
      <c r="P78" s="168">
        <v>25.6</v>
      </c>
      <c r="Q78" s="501" t="s">
        <v>349</v>
      </c>
      <c r="R78" s="502" t="s">
        <v>350</v>
      </c>
    </row>
    <row r="79" spans="1:18" x14ac:dyDescent="0.25">
      <c r="B79" s="434" t="str">
        <f t="shared" si="2"/>
        <v>SO - 309 - T - 66m²</v>
      </c>
      <c r="C79" s="434" t="s">
        <v>39</v>
      </c>
      <c r="D79" s="434">
        <v>309</v>
      </c>
      <c r="E79" s="434" t="s">
        <v>59</v>
      </c>
      <c r="F79" s="434">
        <v>66</v>
      </c>
      <c r="G79" s="435">
        <v>1</v>
      </c>
      <c r="H79" s="436">
        <v>0.9</v>
      </c>
      <c r="I79" s="167">
        <v>848.8</v>
      </c>
      <c r="J79" s="446">
        <v>854</v>
      </c>
      <c r="K79" s="415">
        <v>12.7</v>
      </c>
      <c r="L79" s="168">
        <v>13.2</v>
      </c>
      <c r="M79" s="167">
        <v>605.79999999999995</v>
      </c>
      <c r="N79" s="168">
        <v>622.79999999999995</v>
      </c>
      <c r="O79" s="167">
        <v>23.6</v>
      </c>
      <c r="P79" s="168">
        <v>25.1</v>
      </c>
    </row>
    <row r="80" spans="1:18" x14ac:dyDescent="0.25">
      <c r="B80" s="434" t="str">
        <f t="shared" si="2"/>
        <v>SO - 310 - T - 54m²</v>
      </c>
      <c r="C80" s="434" t="s">
        <v>39</v>
      </c>
      <c r="D80" s="434">
        <v>310</v>
      </c>
      <c r="E80" s="434" t="s">
        <v>59</v>
      </c>
      <c r="F80" s="434">
        <v>54</v>
      </c>
      <c r="G80" s="435">
        <v>1</v>
      </c>
      <c r="H80" s="436">
        <v>0.9</v>
      </c>
      <c r="I80" s="167">
        <v>700.8</v>
      </c>
      <c r="J80" s="446">
        <v>703.5</v>
      </c>
      <c r="K80" s="415">
        <v>6.9</v>
      </c>
      <c r="L80" s="168">
        <v>7.2</v>
      </c>
      <c r="M80" s="167">
        <v>1460.8</v>
      </c>
      <c r="N80" s="168">
        <v>1476.1</v>
      </c>
      <c r="O80" s="167">
        <v>33.200000000000003</v>
      </c>
      <c r="P80" s="168">
        <v>34.799999999999997</v>
      </c>
    </row>
    <row r="81" spans="1:57" x14ac:dyDescent="0.25">
      <c r="A81" s="21"/>
      <c r="B81" s="437" t="s">
        <v>161</v>
      </c>
      <c r="C81" s="437"/>
      <c r="D81" s="437"/>
      <c r="E81" s="437"/>
      <c r="F81" s="437"/>
      <c r="G81" s="437"/>
      <c r="H81" s="438"/>
      <c r="I81" s="108"/>
      <c r="J81" s="109"/>
      <c r="K81" s="500"/>
      <c r="L81" s="110"/>
      <c r="M81" s="108"/>
      <c r="N81" s="110"/>
      <c r="O81" s="108"/>
      <c r="P81" s="110"/>
    </row>
    <row r="82" spans="1:57" x14ac:dyDescent="0.25">
      <c r="I82" s="164" t="s">
        <v>146</v>
      </c>
      <c r="J82" s="164" t="s">
        <v>146</v>
      </c>
      <c r="K82" s="164" t="s">
        <v>147</v>
      </c>
      <c r="L82" s="164" t="s">
        <v>147</v>
      </c>
      <c r="M82" s="177" t="s">
        <v>148</v>
      </c>
      <c r="N82" s="177" t="s">
        <v>148</v>
      </c>
      <c r="O82" s="178" t="s">
        <v>149</v>
      </c>
      <c r="P82" s="178" t="s">
        <v>149</v>
      </c>
    </row>
    <row r="83" spans="1:57" x14ac:dyDescent="0.25">
      <c r="B83" s="128"/>
    </row>
    <row r="85" spans="1:57" x14ac:dyDescent="0.25">
      <c r="C85" s="508" t="s">
        <v>185</v>
      </c>
      <c r="D85" s="508"/>
      <c r="E85" s="508"/>
      <c r="F85" s="508"/>
      <c r="G85" s="508"/>
      <c r="H85" s="508"/>
      <c r="I85" s="508"/>
      <c r="J85" s="508"/>
      <c r="K85" s="26"/>
      <c r="Q85" s="18"/>
    </row>
    <row r="86" spans="1:57" x14ac:dyDescent="0.25">
      <c r="C86" s="174">
        <v>3</v>
      </c>
      <c r="D86" s="174">
        <v>4</v>
      </c>
      <c r="E86" s="174">
        <v>5</v>
      </c>
      <c r="F86" s="174">
        <v>6</v>
      </c>
      <c r="G86" s="174">
        <v>7</v>
      </c>
      <c r="H86" s="174">
        <v>8</v>
      </c>
      <c r="I86" s="174">
        <v>9</v>
      </c>
      <c r="J86" s="174">
        <v>10</v>
      </c>
      <c r="K86" s="174">
        <v>11</v>
      </c>
      <c r="L86" s="174">
        <v>12</v>
      </c>
      <c r="M86" s="174">
        <v>13</v>
      </c>
      <c r="N86" s="174">
        <v>14</v>
      </c>
      <c r="O86" s="174">
        <v>15</v>
      </c>
      <c r="P86" s="174">
        <v>16</v>
      </c>
      <c r="Q86" s="174">
        <v>17</v>
      </c>
      <c r="R86" s="174">
        <v>18</v>
      </c>
      <c r="S86" s="174">
        <v>19</v>
      </c>
      <c r="T86" s="174">
        <v>20</v>
      </c>
      <c r="U86" s="174">
        <v>21</v>
      </c>
      <c r="V86" s="174">
        <v>22</v>
      </c>
      <c r="W86" s="174">
        <v>23</v>
      </c>
      <c r="X86" s="174">
        <v>24</v>
      </c>
      <c r="Y86" s="174"/>
      <c r="Z86" s="174"/>
      <c r="AA86" s="174"/>
      <c r="AB86" s="174">
        <v>25</v>
      </c>
      <c r="AC86" s="174">
        <v>26</v>
      </c>
      <c r="AD86" s="174">
        <v>27</v>
      </c>
      <c r="AE86" s="174">
        <v>28</v>
      </c>
      <c r="AF86" s="174">
        <v>29</v>
      </c>
      <c r="AG86" s="174">
        <v>30</v>
      </c>
      <c r="AH86" s="174">
        <v>31</v>
      </c>
      <c r="AI86" s="174">
        <v>32</v>
      </c>
      <c r="AJ86" s="174">
        <v>33</v>
      </c>
      <c r="AK86" s="174">
        <v>34</v>
      </c>
      <c r="AL86" s="174">
        <v>35</v>
      </c>
      <c r="AM86" s="174">
        <v>36</v>
      </c>
      <c r="AN86" s="174">
        <v>37</v>
      </c>
      <c r="AO86" s="174">
        <v>38</v>
      </c>
      <c r="AP86" s="174">
        <v>39</v>
      </c>
      <c r="AQ86" s="174">
        <v>40</v>
      </c>
      <c r="AR86" s="174">
        <v>41</v>
      </c>
      <c r="AS86" s="174">
        <v>42</v>
      </c>
      <c r="AT86" s="174">
        <v>43</v>
      </c>
      <c r="AU86" s="174">
        <v>44</v>
      </c>
      <c r="AV86" s="174">
        <v>45</v>
      </c>
      <c r="AW86" s="174">
        <v>46</v>
      </c>
      <c r="AX86" s="174">
        <v>47</v>
      </c>
      <c r="AY86" s="174">
        <v>48</v>
      </c>
      <c r="AZ86" s="174">
        <v>49</v>
      </c>
      <c r="BA86" s="174">
        <v>50</v>
      </c>
      <c r="BB86" s="174">
        <v>51</v>
      </c>
      <c r="BC86" s="174">
        <v>52</v>
      </c>
      <c r="BD86" s="174">
        <v>53</v>
      </c>
      <c r="BE86" s="174">
        <v>54</v>
      </c>
    </row>
    <row r="87" spans="1:57" x14ac:dyDescent="0.25">
      <c r="C87" s="18" t="s">
        <v>16</v>
      </c>
      <c r="D87" s="18" t="s">
        <v>81</v>
      </c>
      <c r="E87" s="18" t="s">
        <v>82</v>
      </c>
      <c r="F87" s="18" t="s">
        <v>83</v>
      </c>
      <c r="G87" s="18" t="s">
        <v>84</v>
      </c>
      <c r="H87" s="18" t="s">
        <v>85</v>
      </c>
      <c r="I87" s="18" t="s">
        <v>86</v>
      </c>
      <c r="J87" s="18" t="s">
        <v>87</v>
      </c>
      <c r="K87" s="18" t="s">
        <v>88</v>
      </c>
      <c r="L87" s="18" t="s">
        <v>89</v>
      </c>
      <c r="M87" s="18" t="s">
        <v>90</v>
      </c>
      <c r="N87" s="18" t="s">
        <v>91</v>
      </c>
      <c r="O87" s="18" t="s">
        <v>92</v>
      </c>
      <c r="P87" s="18" t="s">
        <v>93</v>
      </c>
      <c r="Q87" s="18" t="s">
        <v>94</v>
      </c>
      <c r="R87" s="18" t="s">
        <v>37</v>
      </c>
      <c r="S87" s="18" t="s">
        <v>95</v>
      </c>
      <c r="T87" s="18" t="s">
        <v>96</v>
      </c>
      <c r="U87" s="18" t="s">
        <v>97</v>
      </c>
      <c r="V87" s="18" t="s">
        <v>98</v>
      </c>
      <c r="W87" s="18" t="s">
        <v>99</v>
      </c>
      <c r="X87" s="18" t="s">
        <v>100</v>
      </c>
      <c r="Y87" s="18" t="s">
        <v>101</v>
      </c>
      <c r="Z87" s="18" t="s">
        <v>102</v>
      </c>
      <c r="AA87" s="18" t="s">
        <v>103</v>
      </c>
      <c r="AB87" s="18" t="s">
        <v>104</v>
      </c>
      <c r="AC87" s="18" t="s">
        <v>105</v>
      </c>
      <c r="AD87" s="18" t="s">
        <v>106</v>
      </c>
      <c r="AE87" s="18" t="s">
        <v>107</v>
      </c>
      <c r="AF87" s="18" t="s">
        <v>108</v>
      </c>
      <c r="AG87" s="18" t="s">
        <v>109</v>
      </c>
      <c r="AH87" s="18" t="s">
        <v>110</v>
      </c>
      <c r="AI87" s="18" t="s">
        <v>111</v>
      </c>
      <c r="AJ87" s="18" t="s">
        <v>112</v>
      </c>
      <c r="AK87" s="18" t="s">
        <v>113</v>
      </c>
      <c r="AL87" s="18" t="s">
        <v>114</v>
      </c>
      <c r="AM87" s="18" t="s">
        <v>115</v>
      </c>
      <c r="AN87" s="18" t="s">
        <v>116</v>
      </c>
      <c r="AO87" s="18" t="s">
        <v>117</v>
      </c>
      <c r="AP87" s="18" t="s">
        <v>118</v>
      </c>
      <c r="AQ87" s="18" t="s">
        <v>119</v>
      </c>
      <c r="AR87" s="18" t="s">
        <v>120</v>
      </c>
      <c r="AS87" s="18" t="s">
        <v>121</v>
      </c>
      <c r="AT87" s="18" t="s">
        <v>122</v>
      </c>
      <c r="AU87" s="18" t="s">
        <v>123</v>
      </c>
      <c r="AV87" s="18" t="s">
        <v>124</v>
      </c>
      <c r="AW87" s="18" t="s">
        <v>125</v>
      </c>
      <c r="AX87" s="18" t="s">
        <v>126</v>
      </c>
      <c r="AY87" s="18" t="s">
        <v>127</v>
      </c>
      <c r="AZ87" s="18" t="s">
        <v>128</v>
      </c>
      <c r="BA87" s="18" t="s">
        <v>129</v>
      </c>
      <c r="BB87" s="18" t="s">
        <v>130</v>
      </c>
      <c r="BC87" s="18" t="s">
        <v>184</v>
      </c>
    </row>
    <row r="88" spans="1:57" x14ac:dyDescent="0.25">
      <c r="A88" s="174">
        <v>6</v>
      </c>
      <c r="B88" s="18">
        <v>2014</v>
      </c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503">
        <v>7</v>
      </c>
      <c r="W88" s="503">
        <v>7</v>
      </c>
      <c r="X88" s="503">
        <v>7</v>
      </c>
      <c r="Y88" s="328"/>
      <c r="Z88" s="328"/>
      <c r="AA88" s="328"/>
      <c r="AB88" s="328"/>
      <c r="AC88" s="328"/>
      <c r="AD88" s="328"/>
      <c r="AE88" s="328"/>
      <c r="AF88" s="328"/>
      <c r="AG88" s="328"/>
      <c r="AH88" s="328"/>
      <c r="AI88" s="328"/>
      <c r="AJ88" s="328"/>
      <c r="AK88" s="328"/>
      <c r="AL88" s="328"/>
      <c r="AM88" s="328"/>
      <c r="AN88" s="328"/>
      <c r="AO88" s="328"/>
      <c r="AP88" s="328"/>
      <c r="AQ88" s="328"/>
      <c r="AR88" s="328"/>
      <c r="AS88" s="328"/>
      <c r="AT88" s="328"/>
      <c r="AU88" s="328"/>
      <c r="AV88" s="328"/>
      <c r="AW88" s="328"/>
      <c r="AX88" s="328"/>
      <c r="AY88" s="328"/>
      <c r="AZ88" s="328"/>
      <c r="BA88" s="328"/>
      <c r="BB88" s="328"/>
      <c r="BC88" s="328"/>
    </row>
    <row r="89" spans="1:57" x14ac:dyDescent="0.25">
      <c r="A89" s="174">
        <v>7</v>
      </c>
      <c r="B89" s="18">
        <v>2015</v>
      </c>
      <c r="C89" s="328"/>
      <c r="D89" s="328"/>
      <c r="E89" s="328"/>
      <c r="F89" s="328"/>
      <c r="G89" s="328"/>
      <c r="H89" s="328"/>
      <c r="I89" s="328"/>
      <c r="J89" s="328"/>
      <c r="K89" s="328"/>
      <c r="L89" s="328"/>
      <c r="M89" s="328"/>
      <c r="N89" s="328"/>
      <c r="O89" s="328"/>
      <c r="P89" s="328"/>
      <c r="Q89" s="328"/>
      <c r="R89" s="328"/>
      <c r="S89" s="328"/>
      <c r="T89" s="328"/>
      <c r="U89" s="328"/>
      <c r="V89" s="328"/>
      <c r="W89" s="328"/>
      <c r="X89" s="328"/>
      <c r="Y89" s="328"/>
      <c r="Z89" s="328"/>
      <c r="AA89" s="328"/>
      <c r="AB89" s="328"/>
      <c r="AC89" s="328"/>
      <c r="AD89" s="328"/>
      <c r="AE89" s="328"/>
      <c r="AF89" s="328"/>
      <c r="AG89" s="328"/>
      <c r="AH89" s="328"/>
      <c r="AI89" s="328"/>
      <c r="AJ89" s="328"/>
      <c r="AK89" s="328"/>
      <c r="AL89" s="328"/>
      <c r="AM89" s="328"/>
      <c r="AN89" s="328"/>
      <c r="AO89" s="328"/>
      <c r="AP89" s="328"/>
      <c r="AQ89" s="328"/>
      <c r="AR89" s="328"/>
      <c r="AS89" s="328"/>
      <c r="AT89" s="328"/>
      <c r="AU89" s="328"/>
      <c r="AV89" s="328"/>
      <c r="AW89" s="328"/>
      <c r="AX89" s="328"/>
      <c r="AY89" s="328"/>
      <c r="AZ89" s="328"/>
      <c r="BA89" s="328"/>
      <c r="BB89" s="328"/>
      <c r="BC89" s="328"/>
    </row>
    <row r="90" spans="1:57" x14ac:dyDescent="0.25">
      <c r="A90" s="174">
        <v>8</v>
      </c>
      <c r="B90" s="18">
        <v>2016</v>
      </c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8"/>
      <c r="P90" s="328"/>
      <c r="Q90" s="328"/>
      <c r="R90" s="328"/>
      <c r="S90" s="328"/>
      <c r="T90" s="328"/>
      <c r="U90" s="328"/>
      <c r="V90" s="328"/>
      <c r="W90" s="328"/>
      <c r="X90" s="328"/>
      <c r="Y90" s="328"/>
      <c r="Z90" s="328"/>
      <c r="AA90" s="328"/>
      <c r="AB90" s="328"/>
      <c r="AC90" s="328"/>
      <c r="AD90" s="328"/>
      <c r="AE90" s="328"/>
      <c r="AF90" s="328"/>
      <c r="AG90" s="328"/>
      <c r="AH90" s="328"/>
      <c r="AI90" s="328"/>
      <c r="AJ90" s="328"/>
      <c r="AK90" s="328"/>
      <c r="AL90" s="328"/>
      <c r="AM90" s="328"/>
      <c r="AN90" s="328"/>
      <c r="AO90" s="328"/>
      <c r="AP90" s="328"/>
      <c r="AQ90" s="328"/>
      <c r="AR90" s="328"/>
      <c r="AS90" s="328"/>
      <c r="AT90" s="328"/>
      <c r="AU90" s="328"/>
      <c r="AV90" s="328"/>
      <c r="AW90" s="328"/>
      <c r="AX90" s="328"/>
      <c r="AY90" s="328"/>
      <c r="AZ90" s="328"/>
      <c r="BA90" s="328"/>
      <c r="BB90" s="328"/>
      <c r="BC90" s="328"/>
    </row>
    <row r="91" spans="1:57" x14ac:dyDescent="0.25">
      <c r="K91" s="26"/>
      <c r="Q91" s="18"/>
    </row>
    <row r="92" spans="1:57" x14ac:dyDescent="0.25">
      <c r="K92" s="26"/>
      <c r="Q92" s="18"/>
    </row>
    <row r="93" spans="1:57" x14ac:dyDescent="0.25">
      <c r="B93" s="2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</sheetData>
  <sortState ref="D4:F15">
    <sortCondition ref="D74"/>
  </sortState>
  <mergeCells count="24">
    <mergeCell ref="A1:D1"/>
    <mergeCell ref="T1:X1"/>
    <mergeCell ref="I28:P28"/>
    <mergeCell ref="E5:F5"/>
    <mergeCell ref="E6:F6"/>
    <mergeCell ref="E7:F7"/>
    <mergeCell ref="E8:F8"/>
    <mergeCell ref="E4:F4"/>
    <mergeCell ref="E9:F9"/>
    <mergeCell ref="C85:J85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dataValidations count="3">
    <dataValidation type="list" allowBlank="1" showInputMessage="1" showErrorMessage="1" sqref="B6">
      <formula1>Mois</formula1>
    </dataValidation>
    <dataValidation type="list" allowBlank="1" showInputMessage="1" showErrorMessage="1" sqref="B5">
      <formula1>$T$3:$T$17</formula1>
    </dataValidation>
    <dataValidation type="list" allowBlank="1" showInputMessage="1" showErrorMessage="1" sqref="B7">
      <formula1>$V$2:$V$54</formula1>
    </dataValidation>
  </dataValidation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78" orientation="landscape" r:id="rId2"/>
  <headerFooter>
    <oddFooter>&amp;L&amp;F&amp;CSOLAIR&amp;R&amp;A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53"/>
  <sheetViews>
    <sheetView zoomScaleNormal="100" workbookViewId="0">
      <selection sqref="A1:D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55" width="12.7109375" style="18" customWidth="1"/>
    <col min="56" max="16384" width="15.7109375" style="18"/>
  </cols>
  <sheetData>
    <row r="1" spans="1:17" ht="30" customHeight="1" thickBot="1" x14ac:dyDescent="0.3">
      <c r="A1" s="513" t="str">
        <f>CONCATENATE("ENCERTICUS - ",B4," - ",B5," - ",B7)</f>
        <v>ENCERTICUS - Valeur de référence - 2014 - S23</v>
      </c>
      <c r="B1" s="514"/>
      <c r="C1" s="514"/>
      <c r="D1" s="515"/>
      <c r="E1" s="25"/>
      <c r="F1" s="173" t="s">
        <v>72</v>
      </c>
      <c r="G1" s="191" t="s">
        <v>73</v>
      </c>
      <c r="H1" s="25"/>
      <c r="I1" s="25"/>
    </row>
    <row r="2" spans="1:17" ht="13.5" thickBot="1" x14ac:dyDescent="0.3">
      <c r="E2" s="28"/>
      <c r="F2" s="13"/>
      <c r="G2" s="98"/>
      <c r="H2" s="13"/>
      <c r="I2" s="25"/>
    </row>
    <row r="3" spans="1:17" ht="25.5" x14ac:dyDescent="0.25">
      <c r="A3" s="304" t="s">
        <v>9</v>
      </c>
      <c r="B3" s="294" t="s">
        <v>10</v>
      </c>
      <c r="I3" s="348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7" x14ac:dyDescent="0.25">
      <c r="A4" s="95" t="s">
        <v>11</v>
      </c>
      <c r="B4" s="93" t="s">
        <v>77</v>
      </c>
      <c r="C4" s="473" t="s">
        <v>133</v>
      </c>
      <c r="E4" s="518" t="str">
        <f>'0_ENTREE'!E4:F4</f>
        <v>DJU Annuel Moyen</v>
      </c>
      <c r="F4" s="518"/>
      <c r="G4" s="323">
        <f>AVERAGE(K16:M16)</f>
        <v>1519.8666666666668</v>
      </c>
      <c r="I4" s="305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7" x14ac:dyDescent="0.25">
      <c r="A5" s="95" t="s">
        <v>35</v>
      </c>
      <c r="B5" s="99">
        <f>'0_ENTREE'!B5</f>
        <v>2014</v>
      </c>
      <c r="C5" s="130"/>
      <c r="E5" s="518" t="str">
        <f>'0_ENTREE'!E5:F5</f>
        <v>DJU Annuel Réel - 2014</v>
      </c>
      <c r="F5" s="518"/>
      <c r="G5" s="323">
        <f>'0_ENTREE'!G5</f>
        <v>1548.4</v>
      </c>
      <c r="I5" s="305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7" x14ac:dyDescent="0.25">
      <c r="A6" s="95" t="s">
        <v>36</v>
      </c>
      <c r="B6" s="99" t="str">
        <f>'0_ENTREE'!B6</f>
        <v>Juin</v>
      </c>
      <c r="C6" s="150">
        <f>'0_ENTREE'!C6</f>
        <v>8</v>
      </c>
      <c r="E6" s="518" t="str">
        <f>'0_ENTREE'!E6:F6</f>
        <v>DJU Mensuel Moyen - Juin</v>
      </c>
      <c r="F6" s="518"/>
      <c r="G6" s="323">
        <f>HLOOKUP($C$6,$B$31:$N$39,8,FALSE)</f>
        <v>0</v>
      </c>
      <c r="I6" s="305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7" x14ac:dyDescent="0.25">
      <c r="A7" s="95" t="s">
        <v>57</v>
      </c>
      <c r="B7" s="99" t="str">
        <f>'0_ENTREE'!B7</f>
        <v>S23</v>
      </c>
      <c r="C7" s="150">
        <f>'0_ENTREE'!C7</f>
        <v>25</v>
      </c>
      <c r="E7" s="518" t="str">
        <f>'0_ENTREE'!E7:F7</f>
        <v>DJU Mensuel Réel - Juin</v>
      </c>
      <c r="F7" s="518"/>
      <c r="G7" s="323">
        <f>'0_ENTREE'!G7</f>
        <v>0</v>
      </c>
      <c r="I7" s="305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7" ht="13.5" thickBot="1" x14ac:dyDescent="0.3">
      <c r="A8" s="96" t="s">
        <v>31</v>
      </c>
      <c r="B8" s="100" t="str">
        <f>'0_ENTREE'!B8</f>
        <v>Semaine</v>
      </c>
      <c r="E8" s="518" t="str">
        <f>'0_ENTREE'!E8:F8</f>
        <v>DJU Hebdo Moyen - Juin</v>
      </c>
      <c r="F8" s="518"/>
      <c r="G8" s="323">
        <f>HLOOKUP($C$6,$B$31:$N$39,9,FALSE)</f>
        <v>0</v>
      </c>
      <c r="I8" s="305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7" x14ac:dyDescent="0.25">
      <c r="A9" s="4"/>
      <c r="B9" s="24"/>
      <c r="C9" s="26"/>
      <c r="E9" s="518" t="str">
        <f>'0_ENTREE'!E9:F9</f>
        <v>DJU Hebdo Réel - S23</v>
      </c>
      <c r="F9" s="518"/>
      <c r="G9" s="323">
        <f>'0_ENTREE'!G9</f>
        <v>0</v>
      </c>
      <c r="I9" s="305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7" s="20" customFormat="1" x14ac:dyDescent="0.25">
      <c r="D10" s="18"/>
      <c r="E10" s="18"/>
      <c r="F10" s="18"/>
      <c r="G10" s="18"/>
      <c r="H10" s="18"/>
      <c r="I10" s="305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</row>
    <row r="11" spans="1:17" x14ac:dyDescent="0.25">
      <c r="I11" s="305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7" ht="25.5" x14ac:dyDescent="0.25"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G12" s="13"/>
      <c r="H12" s="25"/>
      <c r="I12" s="305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7" x14ac:dyDescent="0.25"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G13" s="13"/>
      <c r="H13" s="25"/>
      <c r="I13" s="305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7" x14ac:dyDescent="0.25"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G14" s="25"/>
      <c r="H14" s="25"/>
      <c r="I14" s="305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7" ht="14.25" x14ac:dyDescent="0.25"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G15" s="25"/>
      <c r="H15" s="25"/>
      <c r="I15" s="305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7" x14ac:dyDescent="0.25"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I16" s="306"/>
      <c r="J16" s="306" t="str">
        <f>'0_ENTREE'!J16</f>
        <v>Année</v>
      </c>
      <c r="K16" s="306">
        <f>'0_ENTREE'!K16</f>
        <v>1353.3</v>
      </c>
      <c r="L16" s="306">
        <f>'0_ENTREE'!L16</f>
        <v>1548.4</v>
      </c>
      <c r="M16" s="306">
        <f>'0_ENTREE'!M16</f>
        <v>1657.9</v>
      </c>
      <c r="N16" s="306">
        <f>'0_ENTREE'!N16</f>
        <v>1548.4</v>
      </c>
      <c r="O16" s="306">
        <f>'0_ENTREE'!O16</f>
        <v>0</v>
      </c>
      <c r="P16" s="306">
        <f>'0_ENTREE'!P16</f>
        <v>0</v>
      </c>
      <c r="Q16" s="299"/>
    </row>
    <row r="17" spans="1:14" x14ac:dyDescent="0.25">
      <c r="A17" s="175"/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</row>
    <row r="18" spans="1:14" x14ac:dyDescent="0.25">
      <c r="A18" s="175"/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</row>
    <row r="19" spans="1:14" x14ac:dyDescent="0.25">
      <c r="A19" s="175"/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</row>
    <row r="20" spans="1:14" ht="25.5" x14ac:dyDescent="0.25">
      <c r="A20" s="175"/>
      <c r="B20" s="298" t="s">
        <v>175</v>
      </c>
      <c r="C20" s="298" t="s">
        <v>53</v>
      </c>
      <c r="D20" s="509" t="s">
        <v>56</v>
      </c>
      <c r="E20" s="509"/>
      <c r="F20" s="298" t="s">
        <v>58</v>
      </c>
    </row>
    <row r="21" spans="1:14" x14ac:dyDescent="0.25">
      <c r="A21" s="175"/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4"/>
    </row>
    <row r="22" spans="1:14" x14ac:dyDescent="0.25">
      <c r="A22" s="175"/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4"/>
    </row>
    <row r="23" spans="1:14" x14ac:dyDescent="0.25">
      <c r="A23" s="175"/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4"/>
    </row>
    <row r="24" spans="1:14" x14ac:dyDescent="0.25">
      <c r="A24" s="175"/>
      <c r="B24" s="27"/>
      <c r="C24" s="295"/>
      <c r="D24" s="512"/>
      <c r="E24" s="512"/>
      <c r="F24" s="4"/>
    </row>
    <row r="25" spans="1:14" x14ac:dyDescent="0.25">
      <c r="A25" s="175"/>
      <c r="B25" s="27" t="str">
        <f>'0_ENTREE'!B25</f>
        <v>Facteur travaux</v>
      </c>
      <c r="C25" s="295">
        <f>'0_ENTREE'!C25</f>
        <v>1</v>
      </c>
      <c r="D25" s="512"/>
      <c r="E25" s="512"/>
      <c r="F25" s="4"/>
    </row>
    <row r="26" spans="1:14" x14ac:dyDescent="0.25">
      <c r="A26" s="175"/>
    </row>
    <row r="27" spans="1:14" x14ac:dyDescent="0.25">
      <c r="A27" s="175"/>
    </row>
    <row r="28" spans="1:14" x14ac:dyDescent="0.25">
      <c r="A28" s="175"/>
      <c r="B28" s="307" t="s">
        <v>180</v>
      </c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</row>
    <row r="29" spans="1:14" s="26" customFormat="1" x14ac:dyDescent="0.25">
      <c r="A29" s="308"/>
      <c r="B29" s="325"/>
    </row>
    <row r="30" spans="1:14" x14ac:dyDescent="0.25">
      <c r="A30" s="175"/>
      <c r="B30" s="332" t="s">
        <v>183</v>
      </c>
    </row>
    <row r="31" spans="1:14" x14ac:dyDescent="0.25">
      <c r="A31" s="175"/>
      <c r="C31" s="130">
        <v>3</v>
      </c>
      <c r="D31" s="130">
        <v>4</v>
      </c>
      <c r="E31" s="130">
        <v>5</v>
      </c>
      <c r="F31" s="130">
        <v>6</v>
      </c>
      <c r="G31" s="130">
        <v>7</v>
      </c>
      <c r="H31" s="130">
        <v>8</v>
      </c>
      <c r="I31" s="130">
        <v>9</v>
      </c>
      <c r="J31" s="130">
        <v>10</v>
      </c>
      <c r="K31" s="130">
        <v>11</v>
      </c>
      <c r="L31" s="130">
        <v>12</v>
      </c>
      <c r="M31" s="130">
        <v>13</v>
      </c>
      <c r="N31" s="130">
        <v>14</v>
      </c>
    </row>
    <row r="32" spans="1:14" x14ac:dyDescent="0.25">
      <c r="A32" s="175"/>
      <c r="B32" s="313" t="s">
        <v>177</v>
      </c>
      <c r="C32" s="333">
        <v>31</v>
      </c>
      <c r="D32" s="333">
        <v>28</v>
      </c>
      <c r="E32" s="333">
        <v>31</v>
      </c>
      <c r="F32" s="333">
        <v>30</v>
      </c>
      <c r="G32" s="333">
        <v>31</v>
      </c>
      <c r="H32" s="333">
        <v>30</v>
      </c>
      <c r="I32" s="333">
        <v>31</v>
      </c>
      <c r="J32" s="333">
        <v>31</v>
      </c>
      <c r="K32" s="333">
        <v>30</v>
      </c>
      <c r="L32" s="333">
        <v>31</v>
      </c>
      <c r="M32" s="333">
        <v>30</v>
      </c>
      <c r="N32" s="333">
        <v>31</v>
      </c>
    </row>
    <row r="33" spans="1:55" s="21" customFormat="1" x14ac:dyDescent="0.25">
      <c r="A33" s="180"/>
      <c r="B33" s="314" t="s">
        <v>178</v>
      </c>
      <c r="C33" s="315">
        <f t="shared" ref="C33:N33" si="0">C32/7</f>
        <v>4.4285714285714288</v>
      </c>
      <c r="D33" s="315">
        <f t="shared" si="0"/>
        <v>4</v>
      </c>
      <c r="E33" s="315">
        <f t="shared" si="0"/>
        <v>4.4285714285714288</v>
      </c>
      <c r="F33" s="315">
        <f t="shared" si="0"/>
        <v>4.2857142857142856</v>
      </c>
      <c r="G33" s="315">
        <f t="shared" si="0"/>
        <v>4.4285714285714288</v>
      </c>
      <c r="H33" s="315">
        <f t="shared" si="0"/>
        <v>4.2857142857142856</v>
      </c>
      <c r="I33" s="315">
        <f t="shared" si="0"/>
        <v>4.4285714285714288</v>
      </c>
      <c r="J33" s="315">
        <f t="shared" si="0"/>
        <v>4.4285714285714288</v>
      </c>
      <c r="K33" s="315">
        <f t="shared" si="0"/>
        <v>4.2857142857142856</v>
      </c>
      <c r="L33" s="315">
        <f t="shared" si="0"/>
        <v>4.4285714285714288</v>
      </c>
      <c r="M33" s="315">
        <f t="shared" si="0"/>
        <v>4.2857142857142856</v>
      </c>
      <c r="N33" s="315">
        <f t="shared" si="0"/>
        <v>4.4285714285714288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1:55" x14ac:dyDescent="0.25">
      <c r="A34" s="175"/>
      <c r="B34" s="309" t="s">
        <v>162</v>
      </c>
      <c r="C34" s="309" t="s">
        <v>41</v>
      </c>
      <c r="D34" s="309" t="s">
        <v>42</v>
      </c>
      <c r="E34" s="309" t="s">
        <v>43</v>
      </c>
      <c r="F34" s="309" t="s">
        <v>38</v>
      </c>
      <c r="G34" s="309" t="s">
        <v>44</v>
      </c>
      <c r="H34" s="309" t="s">
        <v>45</v>
      </c>
      <c r="I34" s="309" t="s">
        <v>46</v>
      </c>
      <c r="J34" s="309" t="s">
        <v>47</v>
      </c>
      <c r="K34" s="309" t="s">
        <v>48</v>
      </c>
      <c r="L34" s="309" t="s">
        <v>49</v>
      </c>
      <c r="M34" s="309" t="s">
        <v>50</v>
      </c>
      <c r="N34" s="309" t="s">
        <v>51</v>
      </c>
    </row>
    <row r="35" spans="1:55" x14ac:dyDescent="0.25">
      <c r="A35" s="175"/>
      <c r="B35" s="311" t="s">
        <v>142</v>
      </c>
      <c r="C35" s="312">
        <f>K4</f>
        <v>339.1</v>
      </c>
      <c r="D35" s="312">
        <f>K5</f>
        <v>266.60000000000002</v>
      </c>
      <c r="E35" s="312">
        <f>K6</f>
        <v>217.4</v>
      </c>
      <c r="F35" s="312">
        <f>K7</f>
        <v>69</v>
      </c>
      <c r="G35" s="312">
        <f>K8</f>
        <v>7.9</v>
      </c>
      <c r="H35" s="312">
        <f>K9</f>
        <v>0</v>
      </c>
      <c r="I35" s="312">
        <f>K10</f>
        <v>0</v>
      </c>
      <c r="J35" s="312">
        <f>K11</f>
        <v>0</v>
      </c>
      <c r="K35" s="312">
        <f>K12</f>
        <v>0</v>
      </c>
      <c r="L35" s="312">
        <f>K13</f>
        <v>9.6</v>
      </c>
      <c r="M35" s="312">
        <f>K14</f>
        <v>172.7</v>
      </c>
      <c r="N35" s="312">
        <f>K15</f>
        <v>271</v>
      </c>
      <c r="O35" s="290">
        <f>SUM(C35:N35)</f>
        <v>1353.3</v>
      </c>
      <c r="BA35" s="29"/>
      <c r="BB35" s="29"/>
      <c r="BC35" s="29"/>
    </row>
    <row r="36" spans="1:55" x14ac:dyDescent="0.25">
      <c r="A36" s="175"/>
      <c r="B36" s="311" t="s">
        <v>143</v>
      </c>
      <c r="C36" s="312">
        <f>L4</f>
        <v>302.7</v>
      </c>
      <c r="D36" s="312">
        <f>L5</f>
        <v>425.6</v>
      </c>
      <c r="E36" s="312">
        <f>L6</f>
        <v>183.6</v>
      </c>
      <c r="F36" s="312">
        <f>L7</f>
        <v>120.9</v>
      </c>
      <c r="G36" s="312">
        <f>L8</f>
        <v>17.2</v>
      </c>
      <c r="H36" s="312">
        <f>L9</f>
        <v>0</v>
      </c>
      <c r="I36" s="312">
        <f>L10</f>
        <v>0</v>
      </c>
      <c r="J36" s="312">
        <f>L11</f>
        <v>0</v>
      </c>
      <c r="K36" s="312">
        <f>L12</f>
        <v>0</v>
      </c>
      <c r="L36" s="312">
        <f>L13</f>
        <v>44.5</v>
      </c>
      <c r="M36" s="312">
        <f>L14</f>
        <v>154</v>
      </c>
      <c r="N36" s="312">
        <f>L15</f>
        <v>299.89999999999998</v>
      </c>
      <c r="O36" s="290">
        <f t="shared" ref="O36:O37" si="1">SUM(C36:N36)</f>
        <v>1548.4</v>
      </c>
    </row>
    <row r="37" spans="1:55" x14ac:dyDescent="0.25">
      <c r="A37" s="175"/>
      <c r="B37" s="311" t="s">
        <v>144</v>
      </c>
      <c r="C37" s="312">
        <f>M4</f>
        <v>364.3</v>
      </c>
      <c r="D37" s="312">
        <f>M5</f>
        <v>351.1</v>
      </c>
      <c r="E37" s="312">
        <f>M6</f>
        <v>229.5</v>
      </c>
      <c r="F37" s="312">
        <f>M7</f>
        <v>131</v>
      </c>
      <c r="G37" s="312">
        <f>M8</f>
        <v>70.8</v>
      </c>
      <c r="H37" s="312">
        <f>M9</f>
        <v>0</v>
      </c>
      <c r="I37" s="312">
        <f>M10</f>
        <v>0</v>
      </c>
      <c r="J37" s="312">
        <f>M11</f>
        <v>0</v>
      </c>
      <c r="K37" s="312">
        <f>M12</f>
        <v>0</v>
      </c>
      <c r="L37" s="312">
        <f>M13</f>
        <v>5.9</v>
      </c>
      <c r="M37" s="312">
        <f>M14</f>
        <v>220.5</v>
      </c>
      <c r="N37" s="312">
        <f>M15</f>
        <v>284.8</v>
      </c>
      <c r="O37" s="290">
        <f t="shared" si="1"/>
        <v>1657.9</v>
      </c>
    </row>
    <row r="38" spans="1:55" x14ac:dyDescent="0.25">
      <c r="A38" s="175"/>
      <c r="B38" s="310" t="s">
        <v>179</v>
      </c>
      <c r="C38" s="316">
        <f>AVERAGE(C35:C37)</f>
        <v>335.36666666666662</v>
      </c>
      <c r="D38" s="316">
        <f t="shared" ref="D38:N38" si="2">AVERAGE(D35:D37)</f>
        <v>347.76666666666671</v>
      </c>
      <c r="E38" s="316">
        <f t="shared" si="2"/>
        <v>210.16666666666666</v>
      </c>
      <c r="F38" s="316">
        <f t="shared" si="2"/>
        <v>106.96666666666665</v>
      </c>
      <c r="G38" s="316">
        <f t="shared" si="2"/>
        <v>31.966666666666669</v>
      </c>
      <c r="H38" s="316">
        <f t="shared" si="2"/>
        <v>0</v>
      </c>
      <c r="I38" s="316">
        <f t="shared" si="2"/>
        <v>0</v>
      </c>
      <c r="J38" s="316">
        <f t="shared" si="2"/>
        <v>0</v>
      </c>
      <c r="K38" s="316">
        <f t="shared" si="2"/>
        <v>0</v>
      </c>
      <c r="L38" s="316">
        <f t="shared" si="2"/>
        <v>20</v>
      </c>
      <c r="M38" s="316">
        <f t="shared" si="2"/>
        <v>182.4</v>
      </c>
      <c r="N38" s="316">
        <f t="shared" si="2"/>
        <v>285.23333333333335</v>
      </c>
      <c r="O38" s="290"/>
    </row>
    <row r="39" spans="1:55" x14ac:dyDescent="0.25">
      <c r="A39" s="175"/>
      <c r="B39" s="310" t="s">
        <v>145</v>
      </c>
      <c r="C39" s="316">
        <f t="shared" ref="C39:N39" si="3">AVERAGE(C35:C37)/C33</f>
        <v>75.727956989247303</v>
      </c>
      <c r="D39" s="316">
        <f t="shared" si="3"/>
        <v>86.941666666666677</v>
      </c>
      <c r="E39" s="316">
        <f t="shared" si="3"/>
        <v>47.456989247311824</v>
      </c>
      <c r="F39" s="316">
        <f t="shared" si="3"/>
        <v>24.958888888888886</v>
      </c>
      <c r="G39" s="316">
        <f t="shared" si="3"/>
        <v>7.2182795698924735</v>
      </c>
      <c r="H39" s="316">
        <f t="shared" si="3"/>
        <v>0</v>
      </c>
      <c r="I39" s="316">
        <f t="shared" si="3"/>
        <v>0</v>
      </c>
      <c r="J39" s="316">
        <f t="shared" si="3"/>
        <v>0</v>
      </c>
      <c r="K39" s="316">
        <f t="shared" si="3"/>
        <v>0</v>
      </c>
      <c r="L39" s="316">
        <f t="shared" si="3"/>
        <v>4.5161290322580641</v>
      </c>
      <c r="M39" s="316">
        <f t="shared" si="3"/>
        <v>42.56</v>
      </c>
      <c r="N39" s="316">
        <f t="shared" si="3"/>
        <v>64.407526881720429</v>
      </c>
    </row>
    <row r="40" spans="1:55" x14ac:dyDescent="0.25">
      <c r="A40" s="175"/>
      <c r="O40" s="290">
        <f>AVERAGE(O35:O37)</f>
        <v>1519.8666666666668</v>
      </c>
    </row>
    <row r="43" spans="1:55" x14ac:dyDescent="0.25">
      <c r="B43" s="128"/>
    </row>
    <row r="45" spans="1:55" x14ac:dyDescent="0.25">
      <c r="A45" s="175"/>
      <c r="B45" s="334" t="s">
        <v>262</v>
      </c>
      <c r="C45" s="148" t="s">
        <v>186</v>
      </c>
      <c r="D45" s="128"/>
      <c r="P45" s="330" t="s">
        <v>157</v>
      </c>
      <c r="Q45" s="190"/>
      <c r="R45" s="190"/>
    </row>
    <row r="46" spans="1:55" x14ac:dyDescent="0.25">
      <c r="A46" s="175"/>
      <c r="B46" s="163" t="s">
        <v>132</v>
      </c>
      <c r="C46" s="174">
        <v>3</v>
      </c>
      <c r="D46" s="174">
        <v>4</v>
      </c>
      <c r="E46" s="174">
        <v>5</v>
      </c>
      <c r="F46" s="174">
        <v>6</v>
      </c>
      <c r="G46" s="174">
        <v>7</v>
      </c>
      <c r="H46" s="174">
        <v>8</v>
      </c>
      <c r="I46" s="174">
        <v>9</v>
      </c>
      <c r="J46" s="174">
        <v>10</v>
      </c>
      <c r="K46" s="174">
        <v>11</v>
      </c>
      <c r="L46" s="174">
        <v>12</v>
      </c>
      <c r="M46" s="174">
        <v>13</v>
      </c>
      <c r="N46" s="174">
        <v>14</v>
      </c>
      <c r="P46" s="159"/>
    </row>
    <row r="47" spans="1:55" s="19" customFormat="1" x14ac:dyDescent="0.25">
      <c r="A47" s="179"/>
      <c r="B47" s="181" t="str">
        <f>B45</f>
        <v>REFERENCE - CHAUFFAGE</v>
      </c>
      <c r="C47" s="65" t="s">
        <v>41</v>
      </c>
      <c r="D47" s="63" t="s">
        <v>42</v>
      </c>
      <c r="E47" s="63" t="s">
        <v>43</v>
      </c>
      <c r="F47" s="63" t="s">
        <v>38</v>
      </c>
      <c r="G47" s="63" t="s">
        <v>44</v>
      </c>
      <c r="H47" s="63" t="s">
        <v>45</v>
      </c>
      <c r="I47" s="63" t="s">
        <v>46</v>
      </c>
      <c r="J47" s="63" t="s">
        <v>47</v>
      </c>
      <c r="K47" s="63" t="s">
        <v>48</v>
      </c>
      <c r="L47" s="63" t="s">
        <v>49</v>
      </c>
      <c r="M47" s="63" t="s">
        <v>50</v>
      </c>
      <c r="N47" s="64" t="s">
        <v>51</v>
      </c>
      <c r="P47" s="156" t="s">
        <v>41</v>
      </c>
      <c r="Q47" s="157" t="s">
        <v>42</v>
      </c>
      <c r="R47" s="157" t="s">
        <v>43</v>
      </c>
      <c r="S47" s="157" t="s">
        <v>38</v>
      </c>
      <c r="T47" s="157" t="s">
        <v>44</v>
      </c>
      <c r="U47" s="157" t="s">
        <v>45</v>
      </c>
      <c r="V47" s="157" t="s">
        <v>46</v>
      </c>
      <c r="W47" s="157" t="s">
        <v>47</v>
      </c>
      <c r="X47" s="157" t="s">
        <v>48</v>
      </c>
      <c r="Y47" s="157" t="s">
        <v>49</v>
      </c>
      <c r="Z47" s="157" t="s">
        <v>50</v>
      </c>
      <c r="AA47" s="158" t="s">
        <v>51</v>
      </c>
      <c r="AB47" s="158" t="s">
        <v>35</v>
      </c>
    </row>
    <row r="48" spans="1:55" x14ac:dyDescent="0.25">
      <c r="A48" s="174">
        <v>1</v>
      </c>
      <c r="B48" s="111" t="str">
        <f>'0_ENTREE'!B33</f>
        <v>GC - 274 - T4 - 83m²</v>
      </c>
      <c r="C48" s="349">
        <f>((P48/$C$21)-$C$14-(7*$C$17*'0_ENTREE'!$G33))*$I$4/$L$4/'0_ENTREE'!$F33</f>
        <v>7.4419325602766202</v>
      </c>
      <c r="D48" s="346">
        <f>((Q48/$C$21)-$C$14-(7*$C$17*'0_ENTREE'!$G33))*$I$5/$L$5/'0_ENTREE'!$F33</f>
        <v>7.1085846472085574</v>
      </c>
      <c r="E48" s="346">
        <f>((R48/$C$21)-$C$14-(7*$C$17*'0_ENTREE'!$G33))*$I$6/$L$6/'0_ENTREE'!$F33</f>
        <v>4.0675201141144326</v>
      </c>
      <c r="F48" s="346">
        <f>((S48/$C$21)-$C$14-(7*$C$17*'0_ENTREE'!$G33))*$I$7/$L$7/'0_ENTREE'!$F33</f>
        <v>1.4928477706458025</v>
      </c>
      <c r="G48" s="346">
        <f>((T48/$C$21)-$C$14-(7*$C$17*'0_ENTREE'!$G33))*$I$8/$L$8/'0_ENTREE'!$F33</f>
        <v>0.73450794505763661</v>
      </c>
      <c r="H48" s="346" t="e">
        <f>((U48/$C$21)-$C$14-(7*$C$17*'0_ENTREE'!$G33))*$I$9/$L$9/'0_ENTREE'!$F33</f>
        <v>#DIV/0!</v>
      </c>
      <c r="I48" s="346" t="e">
        <f>((V48/$C$21)-$C$14-(7*$C$17*'0_ENTREE'!$G33))*$I$10/$L$10/'0_ENTREE'!$F33</f>
        <v>#DIV/0!</v>
      </c>
      <c r="J48" s="346" t="e">
        <f>((W48/$C$21)-$C$14-(7*$C$17*'0_ENTREE'!$G33))*$I$11/$L$11/'0_ENTREE'!$F33</f>
        <v>#DIV/0!</v>
      </c>
      <c r="K48" s="346" t="e">
        <f>((X48/$C$21)-$C$14-(7*$C$17*'0_ENTREE'!$G33))*$I$12/$L$12/'0_ENTREE'!$F33</f>
        <v>#DIV/0!</v>
      </c>
      <c r="L48" s="346">
        <f>((Y48/$C$21)-$C$14-(7*$C$17*'0_ENTREE'!$G33))*$I$13/$L$13/'0_ENTREE'!$F33</f>
        <v>0.57889002008753299</v>
      </c>
      <c r="M48" s="346">
        <f>((Z48/$C$21)-$C$14-(7*$C$17*'0_ENTREE'!$G33))*$I$14/$L$14/'0_ENTREE'!$F33</f>
        <v>3.5715389378185209</v>
      </c>
      <c r="N48" s="350">
        <f>((AA48/$C$21)-$C$14-(7*$C$17*'0_ENTREE'!$G33))*$I$15/$L$15/'0_ENTREE'!$F33</f>
        <v>5.1965622075541553</v>
      </c>
      <c r="P48" s="184">
        <v>2549</v>
      </c>
      <c r="Q48" s="185">
        <v>3264</v>
      </c>
      <c r="R48" s="185">
        <v>1408</v>
      </c>
      <c r="S48" s="185">
        <v>735</v>
      </c>
      <c r="T48" s="185">
        <v>269</v>
      </c>
      <c r="U48" s="185">
        <v>203</v>
      </c>
      <c r="V48" s="185">
        <v>182</v>
      </c>
      <c r="W48" s="185">
        <v>146</v>
      </c>
      <c r="X48" s="185">
        <v>212</v>
      </c>
      <c r="Y48" s="185">
        <v>591</v>
      </c>
      <c r="Z48" s="185">
        <v>1214</v>
      </c>
      <c r="AA48" s="186">
        <v>2097</v>
      </c>
      <c r="AB48" s="186">
        <f>SUM(P48:AA48)</f>
        <v>12870</v>
      </c>
    </row>
    <row r="49" spans="1:28" x14ac:dyDescent="0.25">
      <c r="A49" s="174">
        <v>2</v>
      </c>
      <c r="B49" s="111" t="str">
        <f>'0_ENTREE'!B34</f>
        <v>GC - 277 - T2 - 53m²</v>
      </c>
      <c r="C49" s="349">
        <f>((P49/$C$21)-$C$14-(7*$C$17*'0_ENTREE'!$G34))*$I$4/$L$4/'0_ENTREE'!$F34</f>
        <v>7.2958732036644269</v>
      </c>
      <c r="D49" s="346">
        <f>((Q49/$C$21)-$C$14-(7*$C$17*'0_ENTREE'!$G34))*$I$5/$L$5/'0_ENTREE'!$F34</f>
        <v>6.9669195500534808</v>
      </c>
      <c r="E49" s="346">
        <f>((R49/$C$21)-$C$14-(7*$C$17*'0_ENTREE'!$G34))*$I$6/$L$6/'0_ENTREE'!$F34</f>
        <v>3.9891334983832754</v>
      </c>
      <c r="F49" s="346">
        <f>((S49/$C$21)-$C$14-(7*$C$17*'0_ENTREE'!$G34))*$I$7/$L$7/'0_ENTREE'!$F34</f>
        <v>1.7040561843216799</v>
      </c>
      <c r="G49" s="346">
        <f>((T49/$C$21)-$C$14-(7*$C$17*'0_ENTREE'!$G34))*$I$8/$L$8/'0_ENTREE'!$F34</f>
        <v>0.90836187409406544</v>
      </c>
      <c r="H49" s="346" t="e">
        <f>((U49/$C$21)-$C$14-(7*$C$17*'0_ENTREE'!$G34))*$I$9/$L$9/'0_ENTREE'!$F34</f>
        <v>#DIV/0!</v>
      </c>
      <c r="I49" s="346" t="e">
        <f>((V49/$C$21)-$C$14-(7*$C$17*'0_ENTREE'!$G34))*$I$10/$L$10/'0_ENTREE'!$F34</f>
        <v>#DIV/0!</v>
      </c>
      <c r="J49" s="346" t="e">
        <f>((W49/$C$21)-$C$14-(7*$C$17*'0_ENTREE'!$G34))*$I$11/$L$11/'0_ENTREE'!$F34</f>
        <v>#DIV/0!</v>
      </c>
      <c r="K49" s="346" t="e">
        <f>((X49/$C$21)-$C$14-(7*$C$17*'0_ENTREE'!$G34))*$I$12/$L$12/'0_ENTREE'!$F34</f>
        <v>#DIV/0!</v>
      </c>
      <c r="L49" s="346">
        <f>((Y49/$C$21)-$C$14-(7*$C$17*'0_ENTREE'!$G34))*$I$13/$L$13/'0_ENTREE'!$F34</f>
        <v>0.66657037968499555</v>
      </c>
      <c r="M49" s="346">
        <f>((Z49/$C$21)-$C$14-(7*$C$17*'0_ENTREE'!$G34))*$I$14/$L$14/'0_ENTREE'!$F34</f>
        <v>4.0298256381337278</v>
      </c>
      <c r="N49" s="350">
        <f>((AA49/$C$21)-$C$14-(7*$C$17*'0_ENTREE'!$G34))*$I$15/$L$15/'0_ENTREE'!$F34</f>
        <v>5.8253973924349802</v>
      </c>
      <c r="P49" s="187">
        <v>1595</v>
      </c>
      <c r="Q49" s="188">
        <v>2042</v>
      </c>
      <c r="R49" s="188">
        <v>881</v>
      </c>
      <c r="S49" s="188">
        <v>522</v>
      </c>
      <c r="T49" s="188">
        <v>191</v>
      </c>
      <c r="U49" s="188">
        <v>144</v>
      </c>
      <c r="V49" s="188">
        <v>129</v>
      </c>
      <c r="W49" s="188">
        <v>104</v>
      </c>
      <c r="X49" s="188">
        <v>150</v>
      </c>
      <c r="Y49" s="188">
        <v>420</v>
      </c>
      <c r="Z49" s="188">
        <v>862</v>
      </c>
      <c r="AA49" s="189">
        <v>1489</v>
      </c>
      <c r="AB49" s="189">
        <f t="shared" ref="AB49:AB60" si="4">SUM(P49:AA49)</f>
        <v>8529</v>
      </c>
    </row>
    <row r="50" spans="1:28" x14ac:dyDescent="0.25">
      <c r="A50" s="174">
        <v>3</v>
      </c>
      <c r="B50" s="111" t="str">
        <f>'0_ENTREE'!B35</f>
        <v>GC - 281 - T3 - 71m²</v>
      </c>
      <c r="C50" s="349">
        <f>((P50/$C$21)-$C$14-(7*$C$17*'0_ENTREE'!$G35))*$I$4/$L$4/'0_ENTREE'!$F35</f>
        <v>11.407463551649625</v>
      </c>
      <c r="D50" s="346">
        <f>((Q50/$C$21)-$C$14-(7*$C$17*'0_ENTREE'!$G35))*$I$5/$L$5/'0_ENTREE'!$F35</f>
        <v>10.865922988832887</v>
      </c>
      <c r="E50" s="346">
        <f>((R50/$C$21)-$C$14-(7*$C$17*'0_ENTREE'!$G35))*$I$6/$L$6/'0_ENTREE'!$F35</f>
        <v>6.2985093745311485</v>
      </c>
      <c r="F50" s="346">
        <f>((S50/$C$21)-$C$14-(7*$C$17*'0_ENTREE'!$G35))*$I$7/$L$7/'0_ENTREE'!$F35</f>
        <v>2.4477732927847544</v>
      </c>
      <c r="G50" s="346">
        <f>((T50/$C$21)-$C$14-(7*$C$17*'0_ENTREE'!$G35))*$I$8/$L$8/'0_ENTREE'!$F35</f>
        <v>1.4008251326181813</v>
      </c>
      <c r="H50" s="346" t="e">
        <f>((U50/$C$21)-$C$14-(7*$C$17*'0_ENTREE'!$G35))*$I$9/$L$9/'0_ENTREE'!$F35</f>
        <v>#DIV/0!</v>
      </c>
      <c r="I50" s="346" t="e">
        <f>((V50/$C$21)-$C$14-(7*$C$17*'0_ENTREE'!$G35))*$I$10/$L$10/'0_ENTREE'!$F35</f>
        <v>#DIV/0!</v>
      </c>
      <c r="J50" s="346" t="e">
        <f>((W50/$C$21)-$C$14-(7*$C$17*'0_ENTREE'!$G35))*$I$11/$L$11/'0_ENTREE'!$F35</f>
        <v>#DIV/0!</v>
      </c>
      <c r="K50" s="346" t="e">
        <f>((X50/$C$21)-$C$14-(7*$C$17*'0_ENTREE'!$G35))*$I$12/$L$12/'0_ENTREE'!$F35</f>
        <v>#DIV/0!</v>
      </c>
      <c r="L50" s="346">
        <f>((Y50/$C$21)-$C$14-(7*$C$17*'0_ENTREE'!$G35))*$I$13/$L$13/'0_ENTREE'!$F35</f>
        <v>-0.18423449561287825</v>
      </c>
      <c r="M50" s="346">
        <f>((Z50/$C$21)-$C$14-(7*$C$17*'0_ENTREE'!$G35))*$I$14/$L$14/'0_ENTREE'!$F35</f>
        <v>-0.48551771233461366</v>
      </c>
      <c r="N50" s="350">
        <f>((AA50/$C$21)-$C$14-(7*$C$17*'0_ENTREE'!$G35))*$I$15/$L$15/'0_ENTREE'!$F35</f>
        <v>-0.38987445128205667</v>
      </c>
      <c r="P50" s="187">
        <v>3303</v>
      </c>
      <c r="Q50" s="188">
        <v>4229</v>
      </c>
      <c r="R50" s="188">
        <v>1824</v>
      </c>
      <c r="S50" s="188">
        <v>980</v>
      </c>
      <c r="T50" s="188">
        <v>359</v>
      </c>
      <c r="U50" s="188">
        <v>271</v>
      </c>
      <c r="V50" s="188">
        <v>243</v>
      </c>
      <c r="W50" s="188">
        <v>195</v>
      </c>
      <c r="X50" s="188">
        <v>0</v>
      </c>
      <c r="Y50" s="188">
        <v>0</v>
      </c>
      <c r="Z50" s="188">
        <v>0</v>
      </c>
      <c r="AA50" s="189">
        <v>0</v>
      </c>
      <c r="AB50" s="189">
        <f t="shared" si="4"/>
        <v>11404</v>
      </c>
    </row>
    <row r="51" spans="1:28" x14ac:dyDescent="0.25">
      <c r="A51" s="174">
        <v>4</v>
      </c>
      <c r="B51" s="111" t="str">
        <f>'0_ENTREE'!B36</f>
        <v>GC - 283 - T3 - 70m²</v>
      </c>
      <c r="C51" s="349">
        <f>((P51/$C$21)-$C$14-(7*$C$17*'0_ENTREE'!$G36))*$I$4/$L$4/'0_ENTREE'!$F36</f>
        <v>7.8915337061994215</v>
      </c>
      <c r="D51" s="346">
        <f>((Q51/$C$21)-$C$14-(7*$C$17*'0_ENTREE'!$G36))*$I$5/$L$5/'0_ENTREE'!$F36</f>
        <v>7.547602978383936</v>
      </c>
      <c r="E51" s="346">
        <f>((R51/$C$21)-$C$14-(7*$C$17*'0_ENTREE'!$G36))*$I$6/$L$6/'0_ENTREE'!$F36</f>
        <v>4.2885149399406872</v>
      </c>
      <c r="F51" s="346">
        <f>((S51/$C$21)-$C$14-(7*$C$17*'0_ENTREE'!$G36))*$I$7/$L$7/'0_ENTREE'!$F36</f>
        <v>1.8980771501074925</v>
      </c>
      <c r="G51" s="346">
        <f>((T51/$C$21)-$C$14-(7*$C$17*'0_ENTREE'!$G36))*$I$8/$L$8/'0_ENTREE'!$F36</f>
        <v>0.96868018241242204</v>
      </c>
      <c r="H51" s="346" t="e">
        <f>((U51/$C$21)-$C$14-(7*$C$17*'0_ENTREE'!$G36))*$I$9/$L$9/'0_ENTREE'!$F36</f>
        <v>#DIV/0!</v>
      </c>
      <c r="I51" s="346" t="e">
        <f>((V51/$C$21)-$C$14-(7*$C$17*'0_ENTREE'!$G36))*$I$10/$L$10/'0_ENTREE'!$F36</f>
        <v>#DIV/0!</v>
      </c>
      <c r="J51" s="346" t="e">
        <f>((W51/$C$21)-$C$14-(7*$C$17*'0_ENTREE'!$G36))*$I$11/$L$11/'0_ENTREE'!$F36</f>
        <v>#DIV/0!</v>
      </c>
      <c r="K51" s="346" t="e">
        <f>((X51/$C$21)-$C$14-(7*$C$17*'0_ENTREE'!$G36))*$I$12/$L$12/'0_ENTREE'!$F36</f>
        <v>#DIV/0!</v>
      </c>
      <c r="L51" s="346">
        <f>((Y51/$C$21)-$C$14-(7*$C$17*'0_ENTREE'!$G36))*$I$13/$L$13/'0_ENTREE'!$F36</f>
        <v>0.73959194842063847</v>
      </c>
      <c r="M51" s="346">
        <f>((Z51/$C$21)-$C$14-(7*$C$17*'0_ENTREE'!$G36))*$I$14/$L$14/'0_ENTREE'!$F36</f>
        <v>4.5190844808159873</v>
      </c>
      <c r="N51" s="350">
        <f>((AA51/$C$21)-$C$14-(7*$C$17*'0_ENTREE'!$G36))*$I$15/$L$15/'0_ENTREE'!$F36</f>
        <v>6.555625813711961</v>
      </c>
      <c r="P51" s="187">
        <v>2293</v>
      </c>
      <c r="Q51" s="188">
        <v>2936</v>
      </c>
      <c r="R51" s="188">
        <v>1266</v>
      </c>
      <c r="S51" s="188">
        <v>779</v>
      </c>
      <c r="T51" s="188">
        <v>285</v>
      </c>
      <c r="U51" s="188">
        <v>215</v>
      </c>
      <c r="V51" s="188">
        <v>193</v>
      </c>
      <c r="W51" s="188">
        <v>155</v>
      </c>
      <c r="X51" s="188">
        <v>224</v>
      </c>
      <c r="Y51" s="188">
        <v>627</v>
      </c>
      <c r="Z51" s="188">
        <v>1287</v>
      </c>
      <c r="AA51" s="189">
        <v>2223</v>
      </c>
      <c r="AB51" s="189">
        <f t="shared" si="4"/>
        <v>12483</v>
      </c>
    </row>
    <row r="52" spans="1:28" x14ac:dyDescent="0.25">
      <c r="A52" s="174">
        <v>5</v>
      </c>
      <c r="B52" s="111" t="str">
        <f>'0_ENTREE'!B37</f>
        <v>GC - 285 - T3 - 64m²</v>
      </c>
      <c r="C52" s="349">
        <f>((P52/$C$21)-$C$14-(7*$C$17*'0_ENTREE'!$G37))*$I$4/$L$4/'0_ENTREE'!$F37</f>
        <v>8.1053857863104444</v>
      </c>
      <c r="D52" s="346">
        <f>((Q52/$C$21)-$C$14-(7*$C$17*'0_ENTREE'!$G37))*$I$5/$L$5/'0_ENTREE'!$F37</f>
        <v>7.7967474010748372</v>
      </c>
      <c r="E52" s="346">
        <f>((R52/$C$21)-$C$14-(7*$C$17*'0_ENTREE'!$G37))*$I$6/$L$6/'0_ENTREE'!$F37</f>
        <v>4.30353840151664</v>
      </c>
      <c r="F52" s="346">
        <f>((S52/$C$21)-$C$14-(7*$C$17*'0_ENTREE'!$G37))*$I$7/$L$7/'0_ENTREE'!$F37</f>
        <v>1.3314785074098621</v>
      </c>
      <c r="G52" s="346">
        <f>((T52/$C$21)-$C$14-(7*$C$17*'0_ENTREE'!$G37))*$I$8/$L$8/'0_ENTREE'!$F37</f>
        <v>0.28409501959001443</v>
      </c>
      <c r="H52" s="346" t="e">
        <f>((U52/$C$21)-$C$14-(7*$C$17*'0_ENTREE'!$G37))*$I$9/$L$9/'0_ENTREE'!$F37</f>
        <v>#DIV/0!</v>
      </c>
      <c r="I52" s="346" t="e">
        <f>((V52/$C$21)-$C$14-(7*$C$17*'0_ENTREE'!$G37))*$I$10/$L$10/'0_ENTREE'!$F37</f>
        <v>#DIV/0!</v>
      </c>
      <c r="J52" s="346" t="e">
        <f>((W52/$C$21)-$C$14-(7*$C$17*'0_ENTREE'!$G37))*$I$11/$L$11/'0_ENTREE'!$F37</f>
        <v>#DIV/0!</v>
      </c>
      <c r="K52" s="346" t="e">
        <f>((X52/$C$21)-$C$14-(7*$C$17*'0_ENTREE'!$G37))*$I$12/$L$12/'0_ENTREE'!$F37</f>
        <v>#DIV/0!</v>
      </c>
      <c r="L52" s="346">
        <f>((Y52/$C$21)-$C$14-(7*$C$17*'0_ENTREE'!$G37))*$I$13/$L$13/'0_ENTREE'!$F37</f>
        <v>0.48889519521830582</v>
      </c>
      <c r="M52" s="346">
        <f>((Z52/$C$21)-$C$14-(7*$C$17*'0_ENTREE'!$G37))*$I$14/$L$14/'0_ENTREE'!$F37</f>
        <v>3.4306889788293899</v>
      </c>
      <c r="N52" s="350">
        <f>((AA52/$C$21)-$C$14-(7*$C$17*'0_ENTREE'!$G37))*$I$15/$L$15/'0_ENTREE'!$F37</f>
        <v>5.1933529128082014</v>
      </c>
      <c r="P52" s="187">
        <v>2209</v>
      </c>
      <c r="Q52" s="188">
        <v>2828</v>
      </c>
      <c r="R52" s="188">
        <v>1220</v>
      </c>
      <c r="S52" s="188">
        <v>593</v>
      </c>
      <c r="T52" s="188">
        <v>217</v>
      </c>
      <c r="U52" s="188">
        <v>164</v>
      </c>
      <c r="V52" s="188">
        <v>147</v>
      </c>
      <c r="W52" s="188">
        <v>118</v>
      </c>
      <c r="X52" s="188">
        <v>171</v>
      </c>
      <c r="Y52" s="188">
        <v>477</v>
      </c>
      <c r="Z52" s="188">
        <v>980</v>
      </c>
      <c r="AA52" s="189">
        <v>1693</v>
      </c>
      <c r="AB52" s="189">
        <f t="shared" si="4"/>
        <v>10817</v>
      </c>
    </row>
    <row r="53" spans="1:28" x14ac:dyDescent="0.25">
      <c r="A53" s="174">
        <v>6</v>
      </c>
      <c r="B53" s="111" t="str">
        <f>'0_ENTREE'!B38</f>
        <v>GC - 286 - T3 - 68m²</v>
      </c>
      <c r="C53" s="349">
        <f>((P53/$C$21)-$C$14-(7*$C$17*'0_ENTREE'!$G38))*$I$4/$L$4/'0_ENTREE'!$F38</f>
        <v>6.4062286697160111</v>
      </c>
      <c r="D53" s="346">
        <f>((Q53/$C$21)-$C$14-(7*$C$17*'0_ENTREE'!$G38))*$I$5/$L$5/'0_ENTREE'!$F38</f>
        <v>6.1849277778808576</v>
      </c>
      <c r="E53" s="346">
        <f>((R53/$C$21)-$C$14-(7*$C$17*'0_ENTREE'!$G38))*$I$6/$L$6/'0_ENTREE'!$F38</f>
        <v>3.3530545496443911</v>
      </c>
      <c r="F53" s="346">
        <f>((S53/$C$21)-$C$14-(7*$C$17*'0_ENTREE'!$G38))*$I$7/$L$7/'0_ENTREE'!$F38</f>
        <v>1.6394248201979345</v>
      </c>
      <c r="G53" s="346">
        <f>((T53/$C$21)-$C$14-(7*$C$17*'0_ENTREE'!$G38))*$I$8/$L$8/'0_ENTREE'!$F38</f>
        <v>0.56930060648555891</v>
      </c>
      <c r="H53" s="346" t="e">
        <f>((U53/$C$21)-$C$14-(7*$C$17*'0_ENTREE'!$G38))*$I$9/$L$9/'0_ENTREE'!$F38</f>
        <v>#DIV/0!</v>
      </c>
      <c r="I53" s="346" t="e">
        <f>((V53/$C$21)-$C$14-(7*$C$17*'0_ENTREE'!$G38))*$I$10/$L$10/'0_ENTREE'!$F38</f>
        <v>#DIV/0!</v>
      </c>
      <c r="J53" s="346" t="e">
        <f>((W53/$C$21)-$C$14-(7*$C$17*'0_ENTREE'!$G38))*$I$11/$L$11/'0_ENTREE'!$F38</f>
        <v>#DIV/0!</v>
      </c>
      <c r="K53" s="346" t="e">
        <f>((X53/$C$21)-$C$14-(7*$C$17*'0_ENTREE'!$G38))*$I$12/$L$12/'0_ENTREE'!$F38</f>
        <v>#DIV/0!</v>
      </c>
      <c r="L53" s="346">
        <f>((Y53/$C$21)-$C$14-(7*$C$17*'0_ENTREE'!$G38))*$I$13/$L$13/'0_ENTREE'!$F38</f>
        <v>0.61832731245491879</v>
      </c>
      <c r="M53" s="346">
        <f>((Z53/$C$21)-$C$14-(7*$C$17*'0_ENTREE'!$G38))*$I$14/$L$14/'0_ENTREE'!$F38</f>
        <v>4.0826937220716433</v>
      </c>
      <c r="N53" s="350">
        <f>((AA53/$C$21)-$C$14-(7*$C$17*'0_ENTREE'!$G38))*$I$15/$L$15/'0_ENTREE'!$F38</f>
        <v>6.072399951280504</v>
      </c>
      <c r="P53" s="187">
        <v>1883</v>
      </c>
      <c r="Q53" s="188">
        <v>2411</v>
      </c>
      <c r="R53" s="188">
        <v>1040</v>
      </c>
      <c r="S53" s="188">
        <v>722</v>
      </c>
      <c r="T53" s="188">
        <v>265</v>
      </c>
      <c r="U53" s="188">
        <v>200</v>
      </c>
      <c r="V53" s="188">
        <v>179</v>
      </c>
      <c r="W53" s="188">
        <v>143</v>
      </c>
      <c r="X53" s="188">
        <v>208</v>
      </c>
      <c r="Y53" s="188">
        <v>581</v>
      </c>
      <c r="Z53" s="188">
        <v>1193</v>
      </c>
      <c r="AA53" s="189">
        <v>2061</v>
      </c>
      <c r="AB53" s="189">
        <f t="shared" si="4"/>
        <v>10886</v>
      </c>
    </row>
    <row r="54" spans="1:28" x14ac:dyDescent="0.25">
      <c r="A54" s="174">
        <v>7</v>
      </c>
      <c r="B54" s="111" t="str">
        <f>'0_ENTREE'!B39</f>
        <v>GC - 289 - T3 - 76m²</v>
      </c>
      <c r="C54" s="349">
        <f>((P54/$C$21)-$C$14-(7*$C$17*'0_ENTREE'!$G39))*$I$4/$L$4/'0_ENTREE'!$F39</f>
        <v>4.2156361240429137</v>
      </c>
      <c r="D54" s="346">
        <f>((Q54/$C$21)-$C$14-(7*$C$17*'0_ENTREE'!$G39))*$I$5/$L$5/'0_ENTREE'!$F39</f>
        <v>4.034554870830469</v>
      </c>
      <c r="E54" s="346">
        <f>((R54/$C$21)-$C$14-(7*$C$17*'0_ENTREE'!$G39))*$I$6/$L$6/'0_ENTREE'!$F39</f>
        <v>2.2827510099646919</v>
      </c>
      <c r="F54" s="346">
        <f>((S54/$C$21)-$C$14-(7*$C$17*'0_ENTREE'!$G39))*$I$7/$L$7/'0_ENTREE'!$F39</f>
        <v>1.0061736258526921</v>
      </c>
      <c r="G54" s="346">
        <f>((T54/$C$21)-$C$14-(7*$C$17*'0_ENTREE'!$G39))*$I$8/$L$8/'0_ENTREE'!$F39</f>
        <v>0.49276688816169845</v>
      </c>
      <c r="H54" s="346" t="e">
        <f>((U54/$C$21)-$C$14-(7*$C$17*'0_ENTREE'!$G39))*$I$9/$L$9/'0_ENTREE'!$F39</f>
        <v>#DIV/0!</v>
      </c>
      <c r="I54" s="346" t="e">
        <f>((V54/$C$21)-$C$14-(7*$C$17*'0_ENTREE'!$G39))*$I$10/$L$10/'0_ENTREE'!$F39</f>
        <v>#DIV/0!</v>
      </c>
      <c r="J54" s="346" t="e">
        <f>((W54/$C$21)-$C$14-(7*$C$17*'0_ENTREE'!$G39))*$I$11/$L$11/'0_ENTREE'!$F39</f>
        <v>#DIV/0!</v>
      </c>
      <c r="K54" s="346" t="e">
        <f>((X54/$C$21)-$C$14-(7*$C$17*'0_ENTREE'!$G39))*$I$12/$L$12/'0_ENTREE'!$F39</f>
        <v>#DIV/0!</v>
      </c>
      <c r="L54" s="346">
        <f>((Y54/$C$21)-$C$14-(7*$C$17*'0_ENTREE'!$G39))*$I$13/$L$13/'0_ENTREE'!$F39</f>
        <v>0.39135372421099424</v>
      </c>
      <c r="M54" s="346">
        <f>((Z54/$C$21)-$C$14-(7*$C$17*'0_ENTREE'!$G39))*$I$14/$L$14/'0_ENTREE'!$F39</f>
        <v>2.4085794935657945</v>
      </c>
      <c r="N54" s="350">
        <f>((AA54/$C$21)-$C$14-(7*$C$17*'0_ENTREE'!$G39))*$I$15/$L$15/'0_ENTREE'!$F39</f>
        <v>3.5066028661489352</v>
      </c>
      <c r="P54" s="187">
        <v>1335</v>
      </c>
      <c r="Q54" s="188">
        <v>1709</v>
      </c>
      <c r="R54" s="188">
        <v>737</v>
      </c>
      <c r="S54" s="188">
        <v>454</v>
      </c>
      <c r="T54" s="188">
        <v>166</v>
      </c>
      <c r="U54" s="188">
        <v>126</v>
      </c>
      <c r="V54" s="188">
        <v>113</v>
      </c>
      <c r="W54" s="188">
        <v>90</v>
      </c>
      <c r="X54" s="188">
        <v>131</v>
      </c>
      <c r="Y54" s="188">
        <v>366</v>
      </c>
      <c r="Z54" s="188">
        <v>750</v>
      </c>
      <c r="AA54" s="189">
        <v>1296</v>
      </c>
      <c r="AB54" s="189">
        <f t="shared" si="4"/>
        <v>7273</v>
      </c>
    </row>
    <row r="55" spans="1:28" x14ac:dyDescent="0.25">
      <c r="A55" s="174">
        <v>8</v>
      </c>
      <c r="B55" s="111" t="str">
        <f>'0_ENTREE'!B40</f>
        <v>GC - 303 - T4 - 81m²</v>
      </c>
      <c r="C55" s="349">
        <f>((P55/$C$21)-$C$14-(7*$C$17*'0_ENTREE'!$G40))*$I$4/$L$4/'0_ENTREE'!$F40</f>
        <v>-0.24691821314313531</v>
      </c>
      <c r="D55" s="346">
        <f>((Q55/$C$21)-$C$14-(7*$C$17*'0_ENTREE'!$G40))*$I$5/$L$5/'0_ENTREE'!$F40</f>
        <v>-0.18210924151084157</v>
      </c>
      <c r="E55" s="346">
        <f>((R55/$C$21)-$C$14-(7*$C$17*'0_ENTREE'!$G40))*$I$6/$L$6/'0_ENTREE'!$F40</f>
        <v>2.3532409092728392</v>
      </c>
      <c r="F55" s="346">
        <f>((S55/$C$21)-$C$14-(7*$C$17*'0_ENTREE'!$G40))*$I$7/$L$7/'0_ENTREE'!$F40</f>
        <v>1.1275685183944364</v>
      </c>
      <c r="G55" s="346">
        <f>((T55/$C$21)-$C$14-(7*$C$17*'0_ENTREE'!$G40))*$I$8/$L$8/'0_ENTREE'!$F40</f>
        <v>0.60492112337186643</v>
      </c>
      <c r="H55" s="346" t="e">
        <f>((U55/$C$21)-$C$14-(7*$C$17*'0_ENTREE'!$G40))*$I$9/$L$9/'0_ENTREE'!$F40</f>
        <v>#DIV/0!</v>
      </c>
      <c r="I55" s="346" t="e">
        <f>((V55/$C$21)-$C$14-(7*$C$17*'0_ENTREE'!$G40))*$I$10/$L$10/'0_ENTREE'!$F40</f>
        <v>#DIV/0!</v>
      </c>
      <c r="J55" s="346" t="e">
        <f>((W55/$C$21)-$C$14-(7*$C$17*'0_ENTREE'!$G40))*$I$11/$L$11/'0_ENTREE'!$F40</f>
        <v>#DIV/0!</v>
      </c>
      <c r="K55" s="346" t="e">
        <f>((X55/$C$21)-$C$14-(7*$C$17*'0_ENTREE'!$G40))*$I$12/$L$12/'0_ENTREE'!$F40</f>
        <v>#DIV/0!</v>
      </c>
      <c r="L55" s="346">
        <f>((Y55/$C$21)-$C$14-(7*$C$17*'0_ENTREE'!$G40))*$I$13/$L$13/'0_ENTREE'!$F40</f>
        <v>0.44125875971457118</v>
      </c>
      <c r="M55" s="346">
        <f>((Z55/$C$21)-$C$14-(7*$C$17*'0_ENTREE'!$G40))*$I$14/$L$14/'0_ENTREE'!$F40</f>
        <v>2.6637207590875778</v>
      </c>
      <c r="N55" s="350">
        <f>((AA55/$C$21)-$C$14-(7*$C$17*'0_ENTREE'!$G40))*$I$15/$L$15/'0_ENTREE'!$F40</f>
        <v>3.8522134962447021</v>
      </c>
      <c r="P55" s="187">
        <v>0</v>
      </c>
      <c r="Q55" s="188">
        <v>0</v>
      </c>
      <c r="R55" s="188">
        <v>802</v>
      </c>
      <c r="S55" s="188">
        <v>527</v>
      </c>
      <c r="T55" s="188">
        <v>193</v>
      </c>
      <c r="U55" s="188">
        <v>146</v>
      </c>
      <c r="V55" s="188">
        <v>131</v>
      </c>
      <c r="W55" s="188">
        <v>105</v>
      </c>
      <c r="X55" s="188">
        <v>152</v>
      </c>
      <c r="Y55" s="188">
        <v>424</v>
      </c>
      <c r="Z55" s="188">
        <v>870</v>
      </c>
      <c r="AA55" s="189">
        <v>1504</v>
      </c>
      <c r="AB55" s="189">
        <f t="shared" si="4"/>
        <v>4854</v>
      </c>
    </row>
    <row r="56" spans="1:28" x14ac:dyDescent="0.25">
      <c r="A56" s="174">
        <v>9</v>
      </c>
      <c r="B56" s="111" t="str">
        <f>'0_ENTREE'!B41</f>
        <v>GC - 304 - T3 - 66m²</v>
      </c>
      <c r="C56" s="349">
        <f>((P56/$C$21)-$C$14-(7*$C$17*'0_ENTREE'!$G41))*$I$4/$L$4/'0_ENTREE'!$F41</f>
        <v>11.132108866980584</v>
      </c>
      <c r="D56" s="346">
        <f>((Q56/$C$21)-$C$14-(7*$C$17*'0_ENTREE'!$G41))*$I$5/$L$5/'0_ENTREE'!$F41</f>
        <v>10.57226735317102</v>
      </c>
      <c r="E56" s="346">
        <f>((R56/$C$21)-$C$14-(7*$C$17*'0_ENTREE'!$G41))*$I$6/$L$6/'0_ENTREE'!$F41</f>
        <v>6.2089773619928375</v>
      </c>
      <c r="F56" s="346">
        <f>((S56/$C$21)-$C$14-(7*$C$17*'0_ENTREE'!$G41))*$I$7/$L$7/'0_ENTREE'!$F41</f>
        <v>2.9479632301400351</v>
      </c>
      <c r="G56" s="346">
        <f>((T56/$C$21)-$C$14-(7*$C$17*'0_ENTREE'!$G41))*$I$8/$L$8/'0_ENTREE'!$F41</f>
        <v>1.9477841809657936</v>
      </c>
      <c r="H56" s="346" t="e">
        <f>((U56/$C$21)-$C$14-(7*$C$17*'0_ENTREE'!$G41))*$I$9/$L$9/'0_ENTREE'!$F41</f>
        <v>#DIV/0!</v>
      </c>
      <c r="I56" s="346" t="e">
        <f>((V56/$C$21)-$C$14-(7*$C$17*'0_ENTREE'!$G41))*$I$10/$L$10/'0_ENTREE'!$F41</f>
        <v>#DIV/0!</v>
      </c>
      <c r="J56" s="346" t="e">
        <f>((W56/$C$21)-$C$14-(7*$C$17*'0_ENTREE'!$G41))*$I$11/$L$11/'0_ENTREE'!$F41</f>
        <v>#DIV/0!</v>
      </c>
      <c r="K56" s="346" t="e">
        <f>((X56/$C$21)-$C$14-(7*$C$17*'0_ENTREE'!$G41))*$I$12/$L$12/'0_ENTREE'!$F41</f>
        <v>#DIV/0!</v>
      </c>
      <c r="L56" s="346">
        <f>((Y56/$C$21)-$C$14-(7*$C$17*'0_ENTREE'!$G41))*$I$13/$L$13/'0_ENTREE'!$F41</f>
        <v>1.1809448442663772</v>
      </c>
      <c r="M56" s="346">
        <f>((Z56/$C$21)-$C$14-(7*$C$17*'0_ENTREE'!$G41))*$I$14/$L$14/'0_ENTREE'!$F41</f>
        <v>6.7341542951306339</v>
      </c>
      <c r="N56" s="350">
        <f>((AA56/$C$21)-$C$14-(7*$C$17*'0_ENTREE'!$G41))*$I$15/$L$15/'0_ENTREE'!$F41</f>
        <v>9.5265406354132338</v>
      </c>
      <c r="P56" s="187">
        <v>2960</v>
      </c>
      <c r="Q56" s="188">
        <v>3789</v>
      </c>
      <c r="R56" s="188">
        <v>1634</v>
      </c>
      <c r="S56" s="188">
        <v>1034</v>
      </c>
      <c r="T56" s="188">
        <v>379</v>
      </c>
      <c r="U56" s="188">
        <v>286</v>
      </c>
      <c r="V56" s="188">
        <v>256</v>
      </c>
      <c r="W56" s="188">
        <v>205</v>
      </c>
      <c r="X56" s="188">
        <v>298</v>
      </c>
      <c r="Y56" s="188">
        <v>832</v>
      </c>
      <c r="Z56" s="188">
        <v>1709</v>
      </c>
      <c r="AA56" s="189">
        <v>2951</v>
      </c>
      <c r="AB56" s="189">
        <f t="shared" si="4"/>
        <v>16333</v>
      </c>
    </row>
    <row r="57" spans="1:28" x14ac:dyDescent="0.25">
      <c r="A57" s="174">
        <v>10</v>
      </c>
      <c r="B57" s="111" t="str">
        <f>'0_ENTREE'!B42</f>
        <v>GC - 306 - T3 - 66m²</v>
      </c>
      <c r="C57" s="349">
        <f>((P57/$C$21)-$C$14-(7*$C$17*'0_ENTREE'!$G42))*$I$4/$L$4/'0_ENTREE'!$F42</f>
        <v>7.6010267781938099</v>
      </c>
      <c r="D57" s="346">
        <f>((Q57/$C$21)-$C$14-(7*$C$17*'0_ENTREE'!$G42))*$I$5/$L$5/'0_ENTREE'!$F42</f>
        <v>7.2784776187028495</v>
      </c>
      <c r="E57" s="346">
        <f>((R57/$C$21)-$C$14-(7*$C$17*'0_ENTREE'!$G42))*$I$6/$L$6/'0_ENTREE'!$F42</f>
        <v>4.1093624518447438</v>
      </c>
      <c r="F57" s="346">
        <f>((S57/$C$21)-$C$14-(7*$C$17*'0_ENTREE'!$G42))*$I$7/$L$7/'0_ENTREE'!$F42</f>
        <v>2.0686433409509948</v>
      </c>
      <c r="G57" s="346">
        <f>((T57/$C$21)-$C$14-(7*$C$17*'0_ENTREE'!$G42))*$I$8/$L$8/'0_ENTREE'!$F42</f>
        <v>1.0727518727324927</v>
      </c>
      <c r="H57" s="346" t="e">
        <f>((U57/$C$21)-$C$14-(7*$C$17*'0_ENTREE'!$G42))*$I$9/$L$9/'0_ENTREE'!$F42</f>
        <v>#DIV/0!</v>
      </c>
      <c r="I57" s="346" t="e">
        <f>((V57/$C$21)-$C$14-(7*$C$17*'0_ENTREE'!$G42))*$I$10/$L$10/'0_ENTREE'!$F42</f>
        <v>#DIV/0!</v>
      </c>
      <c r="J57" s="346" t="e">
        <f>((W57/$C$21)-$C$14-(7*$C$17*'0_ENTREE'!$G42))*$I$11/$L$11/'0_ENTREE'!$F42</f>
        <v>#DIV/0!</v>
      </c>
      <c r="K57" s="346" t="e">
        <f>((X57/$C$21)-$C$14-(7*$C$17*'0_ENTREE'!$G42))*$I$12/$L$12/'0_ENTREE'!$F42</f>
        <v>#DIV/0!</v>
      </c>
      <c r="L57" s="346">
        <f>((Y57/$C$21)-$C$14-(7*$C$17*'0_ENTREE'!$G42))*$I$13/$L$13/'0_ENTREE'!$F42</f>
        <v>0.80635589904483218</v>
      </c>
      <c r="M57" s="346">
        <f>((Z57/$C$21)-$C$14-(7*$C$17*'0_ENTREE'!$G42))*$I$14/$L$14/'0_ENTREE'!$F42</f>
        <v>4.9127374366328294</v>
      </c>
      <c r="N57" s="350">
        <f>((AA57/$C$21)-$C$14-(7*$C$17*'0_ENTREE'!$G42))*$I$15/$L$15/'0_ENTREE'!$F42</f>
        <v>7.1220726319521956</v>
      </c>
      <c r="P57" s="187">
        <v>2094</v>
      </c>
      <c r="Q57" s="188">
        <v>2681</v>
      </c>
      <c r="R57" s="188">
        <v>1156</v>
      </c>
      <c r="S57" s="188">
        <v>797</v>
      </c>
      <c r="T57" s="188">
        <v>292</v>
      </c>
      <c r="U57" s="188">
        <v>220</v>
      </c>
      <c r="V57" s="188">
        <v>197</v>
      </c>
      <c r="W57" s="188">
        <v>158</v>
      </c>
      <c r="X57" s="188">
        <v>229</v>
      </c>
      <c r="Y57" s="188">
        <v>641</v>
      </c>
      <c r="Z57" s="188">
        <v>1316</v>
      </c>
      <c r="AA57" s="189">
        <v>2274</v>
      </c>
      <c r="AB57" s="189">
        <f t="shared" si="4"/>
        <v>12055</v>
      </c>
    </row>
    <row r="58" spans="1:28" x14ac:dyDescent="0.25">
      <c r="A58" s="174">
        <v>11</v>
      </c>
      <c r="B58" s="111" t="str">
        <f>'0_ENTREE'!B43</f>
        <v>GC - 307 - T3 - 66m²</v>
      </c>
      <c r="C58" s="349">
        <f>((P58/$C$21)-$C$14-(7*$C$17*'0_ENTREE'!$G43))*$I$4/$L$4/'0_ENTREE'!$F43</f>
        <v>6.7587490203743679</v>
      </c>
      <c r="D58" s="346">
        <f>((Q58/$C$21)-$C$14-(7*$C$17*'0_ENTREE'!$G43))*$I$5/$L$5/'0_ENTREE'!$F43</f>
        <v>6.5233594776016597</v>
      </c>
      <c r="E58" s="346">
        <f>((R58/$C$21)-$C$14-(7*$C$17*'0_ENTREE'!$G43))*$I$6/$L$6/'0_ENTREE'!$F43</f>
        <v>3.5464662372925937</v>
      </c>
      <c r="F58" s="346">
        <f>((S58/$C$21)-$C$14-(7*$C$17*'0_ENTREE'!$G43))*$I$7/$L$7/'0_ENTREE'!$F43</f>
        <v>1.4361288386468822</v>
      </c>
      <c r="G58" s="346">
        <f>((T58/$C$21)-$C$14-(7*$C$17*'0_ENTREE'!$G43))*$I$8/$L$8/'0_ENTREE'!$F43</f>
        <v>0.3921358522573079</v>
      </c>
      <c r="H58" s="346" t="e">
        <f>((U58/$C$21)-$C$14-(7*$C$17*'0_ENTREE'!$G43))*$I$9/$L$9/'0_ENTREE'!$F43</f>
        <v>#DIV/0!</v>
      </c>
      <c r="I58" s="346" t="e">
        <f>((V58/$C$21)-$C$14-(7*$C$17*'0_ENTREE'!$G43))*$I$10/$L$10/'0_ENTREE'!$F43</f>
        <v>#DIV/0!</v>
      </c>
      <c r="J58" s="346" t="e">
        <f>((W58/$C$21)-$C$14-(7*$C$17*'0_ENTREE'!$G43))*$I$11/$L$11/'0_ENTREE'!$F43</f>
        <v>#DIV/0!</v>
      </c>
      <c r="K58" s="346" t="e">
        <f>((X58/$C$21)-$C$14-(7*$C$17*'0_ENTREE'!$G43))*$I$12/$L$12/'0_ENTREE'!$F43</f>
        <v>#DIV/0!</v>
      </c>
      <c r="L58" s="346">
        <f>((Y58/$C$21)-$C$14-(7*$C$17*'0_ENTREE'!$G43))*$I$13/$L$13/'0_ENTREE'!$F43</f>
        <v>0.53363215034755729</v>
      </c>
      <c r="M58" s="346">
        <f>((Z58/$C$21)-$C$14-(7*$C$17*'0_ENTREE'!$G43))*$I$14/$L$14/'0_ENTREE'!$F43</f>
        <v>3.6488661458922973</v>
      </c>
      <c r="N58" s="350">
        <f>((AA58/$C$21)-$C$14-(7*$C$17*'0_ENTREE'!$G43))*$I$15/$L$15/'0_ENTREE'!$F43</f>
        <v>5.4803755590531775</v>
      </c>
      <c r="P58" s="187">
        <v>1924</v>
      </c>
      <c r="Q58" s="188">
        <v>2464</v>
      </c>
      <c r="R58" s="188">
        <v>1063</v>
      </c>
      <c r="S58" s="188">
        <v>640</v>
      </c>
      <c r="T58" s="188">
        <v>235</v>
      </c>
      <c r="U58" s="188">
        <v>177</v>
      </c>
      <c r="V58" s="188">
        <v>159</v>
      </c>
      <c r="W58" s="188">
        <v>127</v>
      </c>
      <c r="X58" s="188">
        <v>184</v>
      </c>
      <c r="Y58" s="188">
        <v>515</v>
      </c>
      <c r="Z58" s="188">
        <v>1058</v>
      </c>
      <c r="AA58" s="189">
        <v>1827</v>
      </c>
      <c r="AB58" s="189">
        <f t="shared" si="4"/>
        <v>10373</v>
      </c>
    </row>
    <row r="59" spans="1:28" x14ac:dyDescent="0.25">
      <c r="A59" s="174">
        <v>12</v>
      </c>
      <c r="B59" s="111" t="str">
        <f>'0_ENTREE'!B44</f>
        <v>GC - 308 - T3 - 66m²</v>
      </c>
      <c r="C59" s="349">
        <f>((P59/$C$21)-$C$14-(7*$C$17*'0_ENTREE'!$G44))*$I$4/$L$4/'0_ENTREE'!$F44</f>
        <v>3.8343827800714734</v>
      </c>
      <c r="D59" s="346">
        <f>((Q59/$C$21)-$C$14-(7*$C$17*'0_ENTREE'!$G44))*$I$5/$L$5/'0_ENTREE'!$F44</f>
        <v>3.7226278448285628</v>
      </c>
      <c r="E59" s="346">
        <f>((R59/$C$21)-$C$14-(7*$C$17*'0_ENTREE'!$G44))*$I$6/$L$6/'0_ENTREE'!$F44</f>
        <v>1.9619477551418387</v>
      </c>
      <c r="F59" s="346">
        <f>((S59/$C$21)-$C$14-(7*$C$17*'0_ENTREE'!$G44))*$I$7/$L$7/'0_ENTREE'!$F44</f>
        <v>0.86238201255091296</v>
      </c>
      <c r="G59" s="346">
        <f>((T59/$C$21)-$C$14-(7*$C$17*'0_ENTREE'!$G44))*$I$8/$L$8/'0_ENTREE'!$F44</f>
        <v>0.14603423441880478</v>
      </c>
      <c r="H59" s="346" t="e">
        <f>((U59/$C$21)-$C$14-(7*$C$17*'0_ENTREE'!$G44))*$I$9/$L$9/'0_ENTREE'!$F44</f>
        <v>#DIV/0!</v>
      </c>
      <c r="I59" s="346" t="e">
        <f>((V59/$C$21)-$C$14-(7*$C$17*'0_ENTREE'!$G44))*$I$10/$L$10/'0_ENTREE'!$F44</f>
        <v>#DIV/0!</v>
      </c>
      <c r="J59" s="346" t="e">
        <f>((W59/$C$21)-$C$14-(7*$C$17*'0_ENTREE'!$G44))*$I$11/$L$11/'0_ENTREE'!$F44</f>
        <v>#DIV/0!</v>
      </c>
      <c r="K59" s="346" t="e">
        <f>((X59/$C$21)-$C$14-(7*$C$17*'0_ENTREE'!$G44))*$I$12/$L$12/'0_ENTREE'!$F44</f>
        <v>#DIV/0!</v>
      </c>
      <c r="L59" s="346">
        <f>((Y59/$C$21)-$C$14-(7*$C$17*'0_ENTREE'!$G44))*$I$13/$L$13/'0_ENTREE'!$F44</f>
        <v>0.31426864198912829</v>
      </c>
      <c r="M59" s="346">
        <f>((Z59/$C$21)-$C$14-(7*$C$17*'0_ENTREE'!$G44))*$I$14/$L$14/'0_ENTREE'!$F44</f>
        <v>2.2489086129036311</v>
      </c>
      <c r="N59" s="350">
        <f>((AA59/$C$21)-$C$14-(7*$C$17*'0_ENTREE'!$G44))*$I$15/$L$15/'0_ENTREE'!$F44</f>
        <v>3.4242918164015301</v>
      </c>
      <c r="P59" s="187">
        <v>1119</v>
      </c>
      <c r="Q59" s="188">
        <v>1433</v>
      </c>
      <c r="R59" s="188">
        <v>618</v>
      </c>
      <c r="S59" s="188">
        <v>406</v>
      </c>
      <c r="T59" s="188">
        <v>149</v>
      </c>
      <c r="U59" s="188">
        <v>112</v>
      </c>
      <c r="V59" s="188">
        <v>101</v>
      </c>
      <c r="W59" s="188">
        <v>81</v>
      </c>
      <c r="X59" s="188">
        <v>117</v>
      </c>
      <c r="Y59" s="188">
        <v>327</v>
      </c>
      <c r="Z59" s="188">
        <v>671</v>
      </c>
      <c r="AA59" s="189">
        <v>1159</v>
      </c>
      <c r="AB59" s="189">
        <f t="shared" si="4"/>
        <v>6293</v>
      </c>
    </row>
    <row r="60" spans="1:28" x14ac:dyDescent="0.25">
      <c r="A60" s="174">
        <v>13</v>
      </c>
      <c r="B60" s="111" t="str">
        <f>'0_ENTREE'!B45</f>
        <v>GC - 314 - T4 - 75m²</v>
      </c>
      <c r="C60" s="349">
        <f>((P60/$C$21)-$C$14-(7*$C$17*'0_ENTREE'!$G45))*$I$4/$L$4/'0_ENTREE'!$F45</f>
        <v>19.597077508131751</v>
      </c>
      <c r="D60" s="346">
        <f>((Q60/$C$21)-$C$14-(7*$C$17*'0_ENTREE'!$G45))*$I$5/$L$5/'0_ENTREE'!$F45</f>
        <v>18.695807243962896</v>
      </c>
      <c r="E60" s="346">
        <f>((R60/$C$21)-$C$14-(7*$C$17*'0_ENTREE'!$G45))*$I$6/$L$6/'0_ENTREE'!$F45</f>
        <v>10.756892645796878</v>
      </c>
      <c r="F60" s="346">
        <f>((S60/$C$21)-$C$14-(7*$C$17*'0_ENTREE'!$G45))*$I$7/$L$7/'0_ENTREE'!$F45</f>
        <v>3.8889290491000104</v>
      </c>
      <c r="G60" s="346">
        <f>((T60/$C$21)-$C$14-(7*$C$17*'0_ENTREE'!$G45))*$I$8/$L$8/'0_ENTREE'!$F45</f>
        <v>2.0157428743918602</v>
      </c>
      <c r="H60" s="346" t="e">
        <f>((U60/$C$21)-$C$14-(7*$C$17*'0_ENTREE'!$G45))*$I$9/$L$9/'0_ENTREE'!$F45</f>
        <v>#DIV/0!</v>
      </c>
      <c r="I60" s="346" t="e">
        <f>((V60/$C$21)-$C$14-(7*$C$17*'0_ENTREE'!$G45))*$I$10/$L$10/'0_ENTREE'!$F45</f>
        <v>#DIV/0!</v>
      </c>
      <c r="J60" s="346" t="e">
        <f>((W60/$C$21)-$C$14-(7*$C$17*'0_ENTREE'!$G45))*$I$11/$L$11/'0_ENTREE'!$F45</f>
        <v>#DIV/0!</v>
      </c>
      <c r="K60" s="346" t="e">
        <f>((X60/$C$21)-$C$14-(7*$C$17*'0_ENTREE'!$G45))*$I$12/$L$12/'0_ENTREE'!$F45</f>
        <v>#DIV/0!</v>
      </c>
      <c r="L60" s="346">
        <f>((Y60/$C$21)-$C$14-(7*$C$17*'0_ENTREE'!$G45))*$I$13/$L$13/'0_ENTREE'!$F45</f>
        <v>1.5176431287374796</v>
      </c>
      <c r="M60" s="346">
        <f>((Z60/$C$21)-$C$14-(7*$C$17*'0_ENTREE'!$G45))*$I$14/$L$14/'0_ENTREE'!$F45</f>
        <v>9.2438798948388001</v>
      </c>
      <c r="N60" s="350">
        <f>((AA60/$C$21)-$C$14-(7*$C$17*'0_ENTREE'!$G45))*$I$15/$L$15/'0_ENTREE'!$F45</f>
        <v>13.394010039312388</v>
      </c>
      <c r="P60" s="187">
        <v>6035</v>
      </c>
      <c r="Q60" s="188">
        <v>7727</v>
      </c>
      <c r="R60" s="188">
        <v>3333</v>
      </c>
      <c r="S60" s="188">
        <v>1703</v>
      </c>
      <c r="T60" s="188">
        <v>624</v>
      </c>
      <c r="U60" s="188">
        <v>471</v>
      </c>
      <c r="V60" s="188">
        <v>422</v>
      </c>
      <c r="W60" s="188">
        <v>338</v>
      </c>
      <c r="X60" s="188">
        <v>490</v>
      </c>
      <c r="Y60" s="188">
        <v>1371</v>
      </c>
      <c r="Z60" s="188">
        <v>2814</v>
      </c>
      <c r="AA60" s="189">
        <v>4860</v>
      </c>
      <c r="AB60" s="189">
        <f t="shared" si="4"/>
        <v>30188</v>
      </c>
    </row>
    <row r="61" spans="1:28" x14ac:dyDescent="0.25">
      <c r="A61" s="174">
        <v>14</v>
      </c>
      <c r="B61" s="335"/>
      <c r="C61" s="394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P61" s="112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</row>
    <row r="62" spans="1:28" x14ac:dyDescent="0.25">
      <c r="A62" s="174">
        <v>15</v>
      </c>
      <c r="B62" s="111" t="str">
        <f>'0_ENTREE'!B47</f>
        <v>GE2.1 - 275 - T3 - 74m²</v>
      </c>
      <c r="C62" s="349">
        <f>((P62/$C$21)-$C$14-(7*$C$17*'0_ENTREE'!$G47))*$I$4/$L$4/'0_ENTREE'!$F47</f>
        <v>2.7238480126768172</v>
      </c>
      <c r="D62" s="346">
        <f>((Q62/$C$21)-$C$14-(7*$C$17*'0_ENTREE'!$G47))*$I$5/$L$5/'0_ENTREE'!$F47</f>
        <v>2.6620074745347364</v>
      </c>
      <c r="E62" s="346">
        <f>((R62/$C$21)-$C$14-(7*$C$17*'0_ENTREE'!$G47))*$I$6/$L$6/'0_ENTREE'!$F47</f>
        <v>1.3511290930259354</v>
      </c>
      <c r="F62" s="346">
        <f>((S62/$C$21)-$C$14-(7*$C$17*'0_ENTREE'!$G47))*$I$7/$L$7/'0_ENTREE'!$F47</f>
        <v>0.50500305658208133</v>
      </c>
      <c r="G62" s="346">
        <f>((T62/$C$21)-$C$14-(7*$C$17*'0_ENTREE'!$G47))*$I$8/$L$8/'0_ENTREE'!$F47</f>
        <v>-7.2051279536943832E-2</v>
      </c>
      <c r="H62" s="346" t="e">
        <f>((U62/$C$21)-$C$14-(7*$C$17*'0_ENTREE'!$G47))*$I$9/$L$9/'0_ENTREE'!$F47</f>
        <v>#DIV/0!</v>
      </c>
      <c r="I62" s="346" t="e">
        <f>((V62/$C$21)-$C$14-(7*$C$17*'0_ENTREE'!$G47))*$I$10/$L$10/'0_ENTREE'!$F47</f>
        <v>#DIV/0!</v>
      </c>
      <c r="J62" s="346" t="e">
        <f>((W62/$C$21)-$C$14-(7*$C$17*'0_ENTREE'!$G47))*$I$11/$L$11/'0_ENTREE'!$F47</f>
        <v>#DIV/0!</v>
      </c>
      <c r="K62" s="346" t="e">
        <f>((X62/$C$21)-$C$14-(7*$C$17*'0_ENTREE'!$G47))*$I$12/$L$12/'0_ENTREE'!$F47</f>
        <v>#DIV/0!</v>
      </c>
      <c r="L62" s="346">
        <f>((Y62/$C$21)-$C$14-(7*$C$17*'0_ENTREE'!$G47))*$I$13/$L$13/'0_ENTREE'!$F47</f>
        <v>0.17266809675613734</v>
      </c>
      <c r="M62" s="346">
        <f>((Z62/$C$21)-$C$14-(7*$C$17*'0_ENTREE'!$G47))*$I$14/$L$14/'0_ENTREE'!$F47</f>
        <v>1.4237928488887392</v>
      </c>
      <c r="N62" s="350">
        <f>((AA62/$C$21)-$C$14-(7*$C$17*'0_ENTREE'!$G47))*$I$15/$L$15/'0_ENTREE'!$F47</f>
        <v>2.2466006548830046</v>
      </c>
      <c r="P62" s="184">
        <v>917</v>
      </c>
      <c r="Q62" s="185">
        <v>1174</v>
      </c>
      <c r="R62" s="185">
        <v>506</v>
      </c>
      <c r="S62" s="185">
        <v>310</v>
      </c>
      <c r="T62" s="185">
        <v>114</v>
      </c>
      <c r="U62" s="185">
        <v>86</v>
      </c>
      <c r="V62" s="185">
        <v>77</v>
      </c>
      <c r="W62" s="185">
        <v>62</v>
      </c>
      <c r="X62" s="185">
        <v>89</v>
      </c>
      <c r="Y62" s="185">
        <v>250</v>
      </c>
      <c r="Z62" s="185">
        <v>513</v>
      </c>
      <c r="AA62" s="186">
        <v>886</v>
      </c>
      <c r="AB62" s="186">
        <f t="shared" ref="AB62:AB74" si="5">SUM(P62:AA62)</f>
        <v>4984</v>
      </c>
    </row>
    <row r="63" spans="1:28" x14ac:dyDescent="0.25">
      <c r="A63" s="174">
        <v>16</v>
      </c>
      <c r="B63" s="111" t="str">
        <f>'0_ENTREE'!B48</f>
        <v>GE2.1 - 278 - T2 - 57m²</v>
      </c>
      <c r="C63" s="349">
        <f>((P63/$C$21)-$C$14-(7*$C$17*'0_ENTREE'!$G48))*$I$4/$L$4/'0_ENTREE'!$F48</f>
        <v>10.33113560725301</v>
      </c>
      <c r="D63" s="346">
        <f>((Q63/$C$21)-$C$14-(7*$C$17*'0_ENTREE'!$G48))*$I$5/$L$5/'0_ENTREE'!$F48</f>
        <v>9.8266180706052619</v>
      </c>
      <c r="E63" s="346">
        <f>((R63/$C$21)-$C$14-(7*$C$17*'0_ENTREE'!$G48))*$I$6/$L$6/'0_ENTREE'!$F48</f>
        <v>5.7335034443744952</v>
      </c>
      <c r="F63" s="346">
        <f>((S63/$C$21)-$C$14-(7*$C$17*'0_ENTREE'!$G48))*$I$7/$L$7/'0_ENTREE'!$F48</f>
        <v>2.59182896540048</v>
      </c>
      <c r="G63" s="346">
        <f>((T63/$C$21)-$C$14-(7*$C$17*'0_ENTREE'!$G48))*$I$8/$L$8/'0_ENTREE'!$F48</f>
        <v>1.6175071953153448</v>
      </c>
      <c r="H63" s="346" t="e">
        <f>((U63/$C$21)-$C$14-(7*$C$17*'0_ENTREE'!$G48))*$I$9/$L$9/'0_ENTREE'!$F48</f>
        <v>#DIV/0!</v>
      </c>
      <c r="I63" s="346" t="e">
        <f>((V63/$C$21)-$C$14-(7*$C$17*'0_ENTREE'!$G48))*$I$10/$L$10/'0_ENTREE'!$F48</f>
        <v>#DIV/0!</v>
      </c>
      <c r="J63" s="346" t="e">
        <f>((W63/$C$21)-$C$14-(7*$C$17*'0_ENTREE'!$G48))*$I$11/$L$11/'0_ENTREE'!$F48</f>
        <v>#DIV/0!</v>
      </c>
      <c r="K63" s="346" t="e">
        <f>((X63/$C$21)-$C$14-(7*$C$17*'0_ENTREE'!$G48))*$I$12/$L$12/'0_ENTREE'!$F48</f>
        <v>#DIV/0!</v>
      </c>
      <c r="L63" s="346">
        <f>((Y63/$C$21)-$C$14-(7*$C$17*'0_ENTREE'!$G48))*$I$13/$L$13/'0_ENTREE'!$F48</f>
        <v>-0.14233961933547973</v>
      </c>
      <c r="M63" s="346">
        <f>((Z63/$C$21)-$C$14-(7*$C$17*'0_ENTREE'!$G48))*$I$14/$L$14/'0_ENTREE'!$F48</f>
        <v>-0.37511111111111106</v>
      </c>
      <c r="N63" s="350">
        <f>((AA63/$C$21)-$C$14-(7*$C$17*'0_ENTREE'!$G48))*$I$15/$L$15/'0_ENTREE'!$F48</f>
        <v>3.5964201694950542</v>
      </c>
      <c r="P63" s="187">
        <v>2388</v>
      </c>
      <c r="Q63" s="188">
        <v>3057</v>
      </c>
      <c r="R63" s="188">
        <v>1319</v>
      </c>
      <c r="S63" s="188">
        <v>804</v>
      </c>
      <c r="T63" s="188">
        <v>294</v>
      </c>
      <c r="U63" s="188">
        <v>222</v>
      </c>
      <c r="V63" s="188">
        <v>199</v>
      </c>
      <c r="W63" s="188">
        <v>160</v>
      </c>
      <c r="X63" s="188">
        <v>0</v>
      </c>
      <c r="Y63" s="188">
        <v>0</v>
      </c>
      <c r="Z63" s="188">
        <v>0</v>
      </c>
      <c r="AA63" s="189">
        <v>1015</v>
      </c>
      <c r="AB63" s="189">
        <f t="shared" si="5"/>
        <v>9458</v>
      </c>
    </row>
    <row r="64" spans="1:28" x14ac:dyDescent="0.25">
      <c r="A64" s="174">
        <v>17</v>
      </c>
      <c r="B64" s="111" t="str">
        <f>'0_ENTREE'!B49</f>
        <v>GE2.1 - 280 - T3 - 66m²</v>
      </c>
      <c r="C64" s="349">
        <f>((P64/$C$21)-$C$14-(7*$C$17*'0_ENTREE'!$G49))*$I$4/$L$4/'0_ENTREE'!$F49</f>
        <v>7.6550171306968116</v>
      </c>
      <c r="D64" s="346">
        <f>((Q64/$C$21)-$C$14-(7*$C$17*'0_ENTREE'!$G49))*$I$5/$L$5/'0_ENTREE'!$F49</f>
        <v>7.3667341034564586</v>
      </c>
      <c r="E64" s="346">
        <f>((R64/$C$21)-$C$14-(7*$C$17*'0_ENTREE'!$G49))*$I$6/$L$6/'0_ENTREE'!$F49</f>
        <v>4.0573753101141028</v>
      </c>
      <c r="F64" s="346">
        <f>((S64/$C$21)-$C$14-(7*$C$17*'0_ENTREE'!$G49))*$I$7/$L$7/'0_ENTREE'!$F49</f>
        <v>2.6331349650387792</v>
      </c>
      <c r="G64" s="346">
        <f>((T64/$C$21)-$C$14-(7*$C$17*'0_ENTREE'!$G49))*$I$8/$L$8/'0_ENTREE'!$F49</f>
        <v>1.3123729476457253</v>
      </c>
      <c r="H64" s="346" t="e">
        <f>((U64/$C$21)-$C$14-(7*$C$17*'0_ENTREE'!$G49))*$I$9/$L$9/'0_ENTREE'!$F49</f>
        <v>#DIV/0!</v>
      </c>
      <c r="I64" s="346" t="e">
        <f>((V64/$C$21)-$C$14-(7*$C$17*'0_ENTREE'!$G49))*$I$10/$L$10/'0_ENTREE'!$F49</f>
        <v>#DIV/0!</v>
      </c>
      <c r="J64" s="346" t="e">
        <f>((W64/$C$21)-$C$14-(7*$C$17*'0_ENTREE'!$G49))*$I$11/$L$11/'0_ENTREE'!$F49</f>
        <v>#DIV/0!</v>
      </c>
      <c r="K64" s="346" t="e">
        <f>((X64/$C$21)-$C$14-(7*$C$17*'0_ENTREE'!$G49))*$I$12/$L$12/'0_ENTREE'!$F49</f>
        <v>#DIV/0!</v>
      </c>
      <c r="L64" s="346">
        <f>((Y64/$C$21)-$C$14-(7*$C$17*'0_ENTREE'!$G49))*$I$13/$L$13/'0_ENTREE'!$F49</f>
        <v>1.0241522505336573</v>
      </c>
      <c r="M64" s="346">
        <f>((Z64/$C$21)-$C$14-(7*$C$17*'0_ENTREE'!$G49))*$I$14/$L$14/'0_ENTREE'!$F49</f>
        <v>6.2961751009472051</v>
      </c>
      <c r="N64" s="350">
        <f>((AA64/$C$21)-$C$14-(7*$C$17*'0_ENTREE'!$G49))*$I$15/$L$15/'0_ENTREE'!$F49</f>
        <v>9.1549416071519563</v>
      </c>
      <c r="P64" s="187">
        <v>2156</v>
      </c>
      <c r="Q64" s="188">
        <v>2760</v>
      </c>
      <c r="R64" s="188">
        <v>1191</v>
      </c>
      <c r="S64" s="188">
        <v>1028</v>
      </c>
      <c r="T64" s="188">
        <v>377</v>
      </c>
      <c r="U64" s="188">
        <v>284</v>
      </c>
      <c r="V64" s="188">
        <v>255</v>
      </c>
      <c r="W64" s="188">
        <v>204</v>
      </c>
      <c r="X64" s="188">
        <v>296</v>
      </c>
      <c r="Y64" s="188">
        <v>828</v>
      </c>
      <c r="Z64" s="188">
        <v>1699</v>
      </c>
      <c r="AA64" s="189">
        <v>2935</v>
      </c>
      <c r="AB64" s="189">
        <f t="shared" si="5"/>
        <v>14013</v>
      </c>
    </row>
    <row r="65" spans="1:28" x14ac:dyDescent="0.25">
      <c r="A65" s="174">
        <v>18</v>
      </c>
      <c r="B65" s="111" t="str">
        <f>'0_ENTREE'!B50</f>
        <v>GE2.1 - 282 - T4 - 78m²</v>
      </c>
      <c r="C65" s="349">
        <f>((P65/$C$21)-$C$14-(7*$C$17*'0_ENTREE'!$G50))*$I$4/$L$4/'0_ENTREE'!$F50</f>
        <v>-0.57038819193262535</v>
      </c>
      <c r="D65" s="346">
        <f>((Q65/$C$21)-$C$14-(7*$C$17*'0_ENTREE'!$G50))*$I$5/$L$5/'0_ENTREE'!$F50</f>
        <v>-0.42067759877792771</v>
      </c>
      <c r="E65" s="346">
        <f>((R65/$C$21)-$C$14-(7*$C$17*'0_ENTREE'!$G50))*$I$6/$L$6/'0_ENTREE'!$F50</f>
        <v>-0.58932411441943033</v>
      </c>
      <c r="F65" s="346">
        <f>((S65/$C$21)-$C$14-(7*$C$17*'0_ENTREE'!$G50))*$I$7/$L$7/'0_ENTREE'!$F50</f>
        <v>0.39289683889709931</v>
      </c>
      <c r="G65" s="346">
        <f>((T65/$C$21)-$C$14-(7*$C$17*'0_ENTREE'!$G50))*$I$8/$L$8/'0_ENTREE'!$F50</f>
        <v>1.9000986475178097</v>
      </c>
      <c r="H65" s="346" t="e">
        <f>((U65/$C$21)-$C$14-(7*$C$17*'0_ENTREE'!$G50))*$I$9/$L$9/'0_ENTREE'!$F50</f>
        <v>#DIV/0!</v>
      </c>
      <c r="I65" s="346" t="e">
        <f>((V65/$C$21)-$C$14-(7*$C$17*'0_ENTREE'!$G50))*$I$10/$L$10/'0_ENTREE'!$F50</f>
        <v>#DIV/0!</v>
      </c>
      <c r="J65" s="346" t="e">
        <f>((W65/$C$21)-$C$14-(7*$C$17*'0_ENTREE'!$G50))*$I$11/$L$11/'0_ENTREE'!$F50</f>
        <v>#DIV/0!</v>
      </c>
      <c r="K65" s="346" t="e">
        <f>((X65/$C$21)-$C$14-(7*$C$17*'0_ENTREE'!$G50))*$I$12/$L$12/'0_ENTREE'!$F50</f>
        <v>#DIV/0!</v>
      </c>
      <c r="L65" s="346">
        <f>((Y65/$C$21)-$C$14-(7*$C$17*'0_ENTREE'!$G50))*$I$13/$L$13/'0_ENTREE'!$F50</f>
        <v>0.19428006877598991</v>
      </c>
      <c r="M65" s="346">
        <f>((Z65/$C$21)-$C$14-(7*$C$17*'0_ENTREE'!$G50))*$I$14/$L$14/'0_ENTREE'!$F50</f>
        <v>0.67623667656544351</v>
      </c>
      <c r="N65" s="350">
        <f>((AA65/$C$21)-$C$14-(7*$C$17*'0_ENTREE'!$G50))*$I$15/$L$15/'0_ENTREE'!$F50</f>
        <v>0.86292784171887693</v>
      </c>
      <c r="P65" s="187">
        <v>0</v>
      </c>
      <c r="Q65" s="188">
        <v>0</v>
      </c>
      <c r="R65" s="188">
        <v>0</v>
      </c>
      <c r="S65" s="188">
        <v>325</v>
      </c>
      <c r="T65" s="188">
        <v>521</v>
      </c>
      <c r="U65" s="188">
        <v>179</v>
      </c>
      <c r="V65" s="188">
        <v>177</v>
      </c>
      <c r="W65" s="188">
        <v>140</v>
      </c>
      <c r="X65" s="188">
        <v>246</v>
      </c>
      <c r="Y65" s="188">
        <v>321</v>
      </c>
      <c r="Z65" s="188">
        <v>368</v>
      </c>
      <c r="AA65" s="189">
        <v>482</v>
      </c>
      <c r="AB65" s="189">
        <f t="shared" si="5"/>
        <v>2759</v>
      </c>
    </row>
    <row r="66" spans="1:28" x14ac:dyDescent="0.25">
      <c r="A66" s="174">
        <v>19</v>
      </c>
      <c r="B66" s="111" t="str">
        <f>'0_ENTREE'!B51</f>
        <v>GE2.1 - 292 - T3 - 63m²</v>
      </c>
      <c r="C66" s="349">
        <f>((P66/$C$21)-$C$14-(7*$C$17*'0_ENTREE'!$G51))*$I$4/$L$4/'0_ENTREE'!$F51</f>
        <v>8.8575082198466593</v>
      </c>
      <c r="D66" s="346">
        <f>((Q66/$C$21)-$C$14-(7*$C$17*'0_ENTREE'!$G51))*$I$5/$L$5/'0_ENTREE'!$F51</f>
        <v>8.4280876053602221</v>
      </c>
      <c r="E66" s="346">
        <f>((R66/$C$21)-$C$14-(7*$C$17*'0_ENTREE'!$G51))*$I$6/$L$6/'0_ENTREE'!$F51</f>
        <v>4.9072918167335828</v>
      </c>
      <c r="F66" s="346">
        <f>((S66/$C$21)-$C$14-(7*$C$17*'0_ENTREE'!$G51))*$I$7/$L$7/'0_ENTREE'!$F51</f>
        <v>2.1607655191994231</v>
      </c>
      <c r="G66" s="346">
        <f>((T66/$C$21)-$C$14-(7*$C$17*'0_ENTREE'!$G51))*$I$8/$L$8/'0_ENTREE'!$F51</f>
        <v>1.327676086851072</v>
      </c>
      <c r="H66" s="346" t="e">
        <f>((U66/$C$21)-$C$14-(7*$C$17*'0_ENTREE'!$G51))*$I$9/$L$9/'0_ENTREE'!$F51</f>
        <v>#DIV/0!</v>
      </c>
      <c r="I66" s="346" t="e">
        <f>((V66/$C$21)-$C$14-(7*$C$17*'0_ENTREE'!$G51))*$I$10/$L$10/'0_ENTREE'!$F51</f>
        <v>#DIV/0!</v>
      </c>
      <c r="J66" s="346" t="e">
        <f>((W66/$C$21)-$C$14-(7*$C$17*'0_ENTREE'!$G51))*$I$11/$L$11/'0_ENTREE'!$F51</f>
        <v>#DIV/0!</v>
      </c>
      <c r="K66" s="346" t="e">
        <f>((X66/$C$21)-$C$14-(7*$C$17*'0_ENTREE'!$G51))*$I$12/$L$12/'0_ENTREE'!$F51</f>
        <v>#DIV/0!</v>
      </c>
      <c r="L66" s="346">
        <f>((Y66/$C$21)-$C$14-(7*$C$17*'0_ENTREE'!$G51))*$I$13/$L$13/'0_ENTREE'!$F51</f>
        <v>0.85957013398396587</v>
      </c>
      <c r="M66" s="346">
        <f>((Z66/$C$21)-$C$14-(7*$C$17*'0_ENTREE'!$G51))*$I$14/$L$14/'0_ENTREE'!$F51</f>
        <v>5.0040046123333788</v>
      </c>
      <c r="N66" s="350">
        <f>((AA66/$C$21)-$C$14-(7*$C$17*'0_ENTREE'!$G51))*$I$15/$L$15/'0_ENTREE'!$F51</f>
        <v>7.1381925359827845</v>
      </c>
      <c r="P66" s="187">
        <v>2267</v>
      </c>
      <c r="Q66" s="188">
        <v>2902</v>
      </c>
      <c r="R66" s="188">
        <v>1252</v>
      </c>
      <c r="S66" s="188">
        <v>747</v>
      </c>
      <c r="T66" s="188">
        <v>274</v>
      </c>
      <c r="U66" s="188">
        <v>207</v>
      </c>
      <c r="V66" s="188">
        <v>185</v>
      </c>
      <c r="W66" s="188">
        <v>148</v>
      </c>
      <c r="X66" s="188">
        <v>215</v>
      </c>
      <c r="Y66" s="188">
        <v>602</v>
      </c>
      <c r="Z66" s="188">
        <v>1235</v>
      </c>
      <c r="AA66" s="189">
        <v>2133</v>
      </c>
      <c r="AB66" s="189">
        <f t="shared" si="5"/>
        <v>12167</v>
      </c>
    </row>
    <row r="67" spans="1:28" x14ac:dyDescent="0.25">
      <c r="A67" s="174">
        <v>20</v>
      </c>
      <c r="B67" s="506" t="str">
        <f>'0_ENTREE'!B52</f>
        <v>GE2.1 - 293 - T3 - 63m²</v>
      </c>
      <c r="C67" s="349">
        <f>((P67/$C$21)-$C$14-(7*$C$17*'0_ENTREE'!$G52))*$I$4/$L$4/'0_ENTREE'!$F52</f>
        <v>3.5515458518819836</v>
      </c>
      <c r="D67" s="346">
        <f>((Q67/$C$21)-$C$14-(7*$C$17*'0_ENTREE'!$G52))*$I$5/$L$5/'0_ENTREE'!$F52</f>
        <v>3.458128176277409</v>
      </c>
      <c r="E67" s="346">
        <f>((R67/$C$21)-$C$14-(7*$C$17*'0_ENTREE'!$G52))*$I$6/$L$6/'0_ENTREE'!$F52</f>
        <v>1.7877548005754216</v>
      </c>
      <c r="F67" s="346">
        <f>((S67/$C$21)-$C$14-(7*$C$17*'0_ENTREE'!$G52))*$I$7/$L$7/'0_ENTREE'!$F52</f>
        <v>0.97455127937018549</v>
      </c>
      <c r="G67" s="346">
        <f>((T67/$C$21)-$C$14-(7*$C$17*'0_ENTREE'!$G52))*$I$8/$L$8/'0_ENTREE'!$F52</f>
        <v>0.20730136724101539</v>
      </c>
      <c r="H67" s="346" t="e">
        <f>((U67/$C$21)-$C$14-(7*$C$17*'0_ENTREE'!$G52))*$I$9/$L$9/'0_ENTREE'!$F52</f>
        <v>#DIV/0!</v>
      </c>
      <c r="I67" s="346" t="e">
        <f>((V67/$C$21)-$C$14-(7*$C$17*'0_ENTREE'!$G52))*$I$10/$L$10/'0_ENTREE'!$F52</f>
        <v>#DIV/0!</v>
      </c>
      <c r="J67" s="346" t="e">
        <f>((W67/$C$21)-$C$14-(7*$C$17*'0_ENTREE'!$G52))*$I$11/$L$11/'0_ENTREE'!$F52</f>
        <v>#DIV/0!</v>
      </c>
      <c r="K67" s="346" t="e">
        <f>((X67/$C$21)-$C$14-(7*$C$17*'0_ENTREE'!$G52))*$I$12/$L$12/'0_ENTREE'!$F52</f>
        <v>#DIV/0!</v>
      </c>
      <c r="L67" s="346">
        <f>((Y67/$C$21)-$C$14-(7*$C$17*'0_ENTREE'!$G52))*$I$13/$L$13/'0_ENTREE'!$F52</f>
        <v>0.35714413299965597</v>
      </c>
      <c r="M67" s="346">
        <f>((Z67/$C$21)-$C$14-(7*$C$17*'0_ENTREE'!$G52))*$I$14/$L$14/'0_ENTREE'!$F52</f>
        <v>2.5117582610185347</v>
      </c>
      <c r="N67" s="350">
        <f>((AA67/$C$21)-$C$14-(7*$C$17*'0_ENTREE'!$G52))*$I$15/$L$15/'0_ENTREE'!$F52</f>
        <v>3.8027611056476895</v>
      </c>
      <c r="P67" s="187">
        <v>1004</v>
      </c>
      <c r="Q67" s="188">
        <v>1285</v>
      </c>
      <c r="R67" s="188">
        <v>554</v>
      </c>
      <c r="S67" s="188">
        <v>428</v>
      </c>
      <c r="T67" s="188">
        <v>157</v>
      </c>
      <c r="U67" s="188">
        <v>118</v>
      </c>
      <c r="V67" s="188">
        <v>106</v>
      </c>
      <c r="W67" s="188">
        <v>85</v>
      </c>
      <c r="X67" s="188">
        <v>123</v>
      </c>
      <c r="Y67" s="188">
        <v>344</v>
      </c>
      <c r="Z67" s="188">
        <v>707</v>
      </c>
      <c r="AA67" s="189">
        <v>1221</v>
      </c>
      <c r="AB67" s="189">
        <f t="shared" si="5"/>
        <v>6132</v>
      </c>
    </row>
    <row r="68" spans="1:28" x14ac:dyDescent="0.25">
      <c r="A68" s="174">
        <v>21</v>
      </c>
      <c r="B68" s="111" t="str">
        <f>'0_ENTREE'!B53</f>
        <v>GE2.1 - 295 - T3 - 63m²</v>
      </c>
      <c r="C68" s="349">
        <f>((P68/$C$21)-$C$14-(7*$C$17*'0_ENTREE'!$G53))*$I$4/$L$4/'0_ENTREE'!$F53</f>
        <v>10.112037097842361</v>
      </c>
      <c r="D68" s="346">
        <f>((Q68/$C$21)-$C$14-(7*$C$17*'0_ENTREE'!$G53))*$I$5/$L$5/'0_ENTREE'!$F53</f>
        <v>9.6548150990638284</v>
      </c>
      <c r="E68" s="346">
        <f>((R68/$C$21)-$C$14-(7*$C$17*'0_ENTREE'!$G53))*$I$6/$L$6/'0_ENTREE'!$F53</f>
        <v>5.5302397871288118</v>
      </c>
      <c r="F68" s="346">
        <f>((S68/$C$21)-$C$14-(7*$C$17*'0_ENTREE'!$G53))*$I$7/$L$7/'0_ENTREE'!$F53</f>
        <v>2.7618336227285334</v>
      </c>
      <c r="G68" s="346">
        <f>((T68/$C$21)-$C$14-(7*$C$17*'0_ENTREE'!$G53))*$I$8/$L$8/'0_ENTREE'!$F53</f>
        <v>1.5787076891411249</v>
      </c>
      <c r="H68" s="346" t="e">
        <f>((U68/$C$21)-$C$14-(7*$C$17*'0_ENTREE'!$G53))*$I$9/$L$9/'0_ENTREE'!$F53</f>
        <v>#DIV/0!</v>
      </c>
      <c r="I68" s="346" t="e">
        <f>((V68/$C$21)-$C$14-(7*$C$17*'0_ENTREE'!$G53))*$I$10/$L$10/'0_ENTREE'!$F53</f>
        <v>#DIV/0!</v>
      </c>
      <c r="J68" s="346" t="e">
        <f>((W68/$C$21)-$C$14-(7*$C$17*'0_ENTREE'!$G53))*$I$11/$L$11/'0_ENTREE'!$F53</f>
        <v>#DIV/0!</v>
      </c>
      <c r="K68" s="346" t="e">
        <f>((X68/$C$21)-$C$14-(7*$C$17*'0_ENTREE'!$G53))*$I$12/$L$12/'0_ENTREE'!$F53</f>
        <v>#DIV/0!</v>
      </c>
      <c r="L68" s="346">
        <f>((Y68/$C$21)-$C$14-(7*$C$17*'0_ENTREE'!$G53))*$I$13/$L$13/'0_ENTREE'!$F53</f>
        <v>1.0877377403055921</v>
      </c>
      <c r="M68" s="346">
        <f>((Z68/$C$21)-$C$14-(7*$C$17*'0_ENTREE'!$G53))*$I$14/$L$14/'0_ENTREE'!$F53</f>
        <v>6.4619735252064023</v>
      </c>
      <c r="N68" s="350">
        <f>((AA68/$C$21)-$C$14-(7*$C$17*'0_ENTREE'!$G53))*$I$15/$L$15/'0_ENTREE'!$F53</f>
        <v>9.2852363904077535</v>
      </c>
      <c r="P68" s="187">
        <v>2625</v>
      </c>
      <c r="Q68" s="188">
        <v>3361</v>
      </c>
      <c r="R68" s="188">
        <v>1449</v>
      </c>
      <c r="S68" s="188">
        <v>981</v>
      </c>
      <c r="T68" s="188">
        <v>359</v>
      </c>
      <c r="U68" s="188">
        <v>271</v>
      </c>
      <c r="V68" s="188">
        <v>243</v>
      </c>
      <c r="W68" s="188">
        <v>195</v>
      </c>
      <c r="X68" s="188">
        <v>282</v>
      </c>
      <c r="Y68" s="188">
        <v>789</v>
      </c>
      <c r="Z68" s="188">
        <v>1620</v>
      </c>
      <c r="AA68" s="189">
        <v>2799</v>
      </c>
      <c r="AB68" s="189">
        <f t="shared" si="5"/>
        <v>14974</v>
      </c>
    </row>
    <row r="69" spans="1:28" x14ac:dyDescent="0.25">
      <c r="A69" s="174">
        <v>22</v>
      </c>
      <c r="B69" s="111" t="str">
        <f>'0_ENTREE'!B54</f>
        <v>GE2.1 - 296 - T4 - 78m²</v>
      </c>
      <c r="C69" s="349">
        <f>((P69/$C$21)-$C$14-(7*$C$17*'0_ENTREE'!$G54))*$I$4/$L$4/'0_ENTREE'!$F54</f>
        <v>2.852051435780099</v>
      </c>
      <c r="D69" s="346">
        <f>((Q69/$C$21)-$C$14-(7*$C$17*'0_ENTREE'!$G54))*$I$5/$L$5/'0_ENTREE'!$F54</f>
        <v>2.8436139928079958</v>
      </c>
      <c r="E69" s="346">
        <f>((R69/$C$21)-$C$14-(7*$C$17*'0_ENTREE'!$G54))*$I$6/$L$6/'0_ENTREE'!$F54</f>
        <v>1.291806889807805</v>
      </c>
      <c r="F69" s="346">
        <f>((S69/$C$21)-$C$14-(7*$C$17*'0_ENTREE'!$G54))*$I$7/$L$7/'0_ENTREE'!$F54</f>
        <v>2.7761659599386528</v>
      </c>
      <c r="G69" s="346">
        <f>((T69/$C$21)-$C$14-(7*$C$17*'0_ENTREE'!$G54))*$I$8/$L$8/'0_ENTREE'!$F54</f>
        <v>1.3625775382884864</v>
      </c>
      <c r="H69" s="346" t="e">
        <f>((U69/$C$21)-$C$14-(7*$C$17*'0_ENTREE'!$G54))*$I$9/$L$9/'0_ENTREE'!$F54</f>
        <v>#DIV/0!</v>
      </c>
      <c r="I69" s="346" t="e">
        <f>((V69/$C$21)-$C$14-(7*$C$17*'0_ENTREE'!$G54))*$I$10/$L$10/'0_ENTREE'!$F54</f>
        <v>#DIV/0!</v>
      </c>
      <c r="J69" s="346" t="e">
        <f>((W69/$C$21)-$C$14-(7*$C$17*'0_ENTREE'!$G54))*$I$11/$L$11/'0_ENTREE'!$F54</f>
        <v>#DIV/0!</v>
      </c>
      <c r="K69" s="346" t="e">
        <f>((X69/$C$21)-$C$14-(7*$C$17*'0_ENTREE'!$G54))*$I$12/$L$12/'0_ENTREE'!$F54</f>
        <v>#DIV/0!</v>
      </c>
      <c r="L69" s="346">
        <f>((Y69/$C$21)-$C$14-(7*$C$17*'0_ENTREE'!$G54))*$I$13/$L$13/'0_ENTREE'!$F54</f>
        <v>1.0774007025815551</v>
      </c>
      <c r="M69" s="346">
        <f>((Z69/$C$21)-$C$14-(7*$C$17*'0_ENTREE'!$G54))*$I$14/$L$14/'0_ENTREE'!$F54</f>
        <v>6.6449065576736803</v>
      </c>
      <c r="N69" s="350">
        <f>((AA69/$C$21)-$C$14-(7*$C$17*'0_ENTREE'!$G54))*$I$15/$L$15/'0_ENTREE'!$F54</f>
        <v>9.6742663246914127</v>
      </c>
      <c r="P69" s="187">
        <v>1095</v>
      </c>
      <c r="Q69" s="188">
        <v>1402</v>
      </c>
      <c r="R69" s="188">
        <v>605</v>
      </c>
      <c r="S69" s="188">
        <v>1286</v>
      </c>
      <c r="T69" s="188">
        <v>471</v>
      </c>
      <c r="U69" s="188">
        <v>356</v>
      </c>
      <c r="V69" s="188">
        <v>319</v>
      </c>
      <c r="W69" s="188">
        <v>255</v>
      </c>
      <c r="X69" s="188">
        <v>370</v>
      </c>
      <c r="Y69" s="188">
        <v>1035</v>
      </c>
      <c r="Z69" s="188">
        <v>2124</v>
      </c>
      <c r="AA69" s="189">
        <v>3670</v>
      </c>
      <c r="AB69" s="189">
        <f t="shared" si="5"/>
        <v>12988</v>
      </c>
    </row>
    <row r="70" spans="1:28" x14ac:dyDescent="0.25">
      <c r="A70" s="174">
        <v>23</v>
      </c>
      <c r="B70" s="111" t="str">
        <f>'0_ENTREE'!B55</f>
        <v>GE2.1 - 297 - T4 - 79m²</v>
      </c>
      <c r="C70" s="349">
        <f>((P70/$C$21)-$C$14-(7*$C$17*'0_ENTREE'!$G55))*$I$4/$L$4/'0_ENTREE'!$F55</f>
        <v>11.924203690249254</v>
      </c>
      <c r="D70" s="346">
        <f>((Q70/$C$21)-$C$14-(7*$C$17*'0_ENTREE'!$G55))*$I$5/$L$5/'0_ENTREE'!$F55</f>
        <v>11.310499147088983</v>
      </c>
      <c r="E70" s="346">
        <f>((R70/$C$21)-$C$14-(7*$C$17*'0_ENTREE'!$G55))*$I$6/$L$6/'0_ENTREE'!$F55</f>
        <v>6.6845055595439176</v>
      </c>
      <c r="F70" s="346">
        <f>((S70/$C$21)-$C$14-(7*$C$17*'0_ENTREE'!$G55))*$I$7/$L$7/'0_ENTREE'!$F55</f>
        <v>3.7799057489272849</v>
      </c>
      <c r="G70" s="346">
        <f>((T70/$C$21)-$C$14-(7*$C$17*'0_ENTREE'!$G55))*$I$8/$L$8/'0_ENTREE'!$F55</f>
        <v>2.6397040092079931</v>
      </c>
      <c r="H70" s="346" t="e">
        <f>((U70/$C$21)-$C$14-(7*$C$17*'0_ENTREE'!$G55))*$I$9/$L$9/'0_ENTREE'!$F55</f>
        <v>#DIV/0!</v>
      </c>
      <c r="I70" s="346" t="e">
        <f>((V70/$C$21)-$C$14-(7*$C$17*'0_ENTREE'!$G55))*$I$10/$L$10/'0_ENTREE'!$F55</f>
        <v>#DIV/0!</v>
      </c>
      <c r="J70" s="346" t="e">
        <f>((W70/$C$21)-$C$14-(7*$C$17*'0_ENTREE'!$G55))*$I$11/$L$11/'0_ENTREE'!$F55</f>
        <v>#DIV/0!</v>
      </c>
      <c r="K70" s="346" t="e">
        <f>((X70/$C$21)-$C$14-(7*$C$17*'0_ENTREE'!$G55))*$I$12/$L$12/'0_ENTREE'!$F55</f>
        <v>#DIV/0!</v>
      </c>
      <c r="L70" s="346">
        <f>((Y70/$C$21)-$C$14-(7*$C$17*'0_ENTREE'!$G55))*$I$13/$L$13/'0_ENTREE'!$F55</f>
        <v>1.5260315103779369</v>
      </c>
      <c r="M70" s="346">
        <f>((Z70/$C$21)-$C$14-(7*$C$17*'0_ENTREE'!$G55))*$I$14/$L$14/'0_ENTREE'!$F55</f>
        <v>8.5380996789465637</v>
      </c>
      <c r="N70" s="350">
        <f>((AA70/$C$21)-$C$14-(7*$C$17*'0_ENTREE'!$G55))*$I$15/$L$15/'0_ENTREE'!$F55</f>
        <v>12.001274124001769</v>
      </c>
      <c r="P70" s="187">
        <v>3773</v>
      </c>
      <c r="Q70" s="188">
        <v>4830</v>
      </c>
      <c r="R70" s="188">
        <v>2083</v>
      </c>
      <c r="S70" s="188">
        <v>1545</v>
      </c>
      <c r="T70" s="188">
        <v>566</v>
      </c>
      <c r="U70" s="188">
        <v>427</v>
      </c>
      <c r="V70" s="188">
        <v>383</v>
      </c>
      <c r="W70" s="188">
        <v>307</v>
      </c>
      <c r="X70" s="188">
        <v>445</v>
      </c>
      <c r="Y70" s="188">
        <v>1244</v>
      </c>
      <c r="Z70" s="188">
        <v>2553</v>
      </c>
      <c r="AA70" s="189">
        <v>4410</v>
      </c>
      <c r="AB70" s="189">
        <f t="shared" si="5"/>
        <v>22566</v>
      </c>
    </row>
    <row r="71" spans="1:28" x14ac:dyDescent="0.25">
      <c r="A71" s="174">
        <v>24</v>
      </c>
      <c r="B71" s="111" t="str">
        <f>'0_ENTREE'!B56</f>
        <v>GE2.1 - 299 - T4 - 79m²</v>
      </c>
      <c r="C71" s="349">
        <f>((P71/$C$21)-$C$14-(7*$C$17*'0_ENTREE'!$G56))*$I$4/$L$4/'0_ENTREE'!$F56</f>
        <v>0.86984373546901361</v>
      </c>
      <c r="D71" s="346">
        <f>((Q71/$C$21)-$C$14-(7*$C$17*'0_ENTREE'!$G56))*$I$5/$L$5/'0_ENTREE'!$F56</f>
        <v>1.2294876319769568</v>
      </c>
      <c r="E71" s="346">
        <f>((R71/$C$21)-$C$14-(7*$C$17*'0_ENTREE'!$G56))*$I$6/$L$6/'0_ENTREE'!$F56</f>
        <v>0.58526380773469777</v>
      </c>
      <c r="F71" s="346">
        <f>((S71/$C$21)-$C$14-(7*$C$17*'0_ENTREE'!$G56))*$I$7/$L$7/'0_ENTREE'!$F56</f>
        <v>0.2255473854510083</v>
      </c>
      <c r="G71" s="346">
        <f>((T71/$C$21)-$C$14-(7*$C$17*'0_ENTREE'!$G56))*$I$8/$L$8/'0_ENTREE'!$F56</f>
        <v>1.3292201945131097</v>
      </c>
      <c r="H71" s="346" t="e">
        <f>((U71/$C$21)-$C$14-(7*$C$17*'0_ENTREE'!$G56))*$I$9/$L$9/'0_ENTREE'!$F56</f>
        <v>#DIV/0!</v>
      </c>
      <c r="I71" s="346" t="e">
        <f>((V71/$C$21)-$C$14-(7*$C$17*'0_ENTREE'!$G56))*$I$10/$L$10/'0_ENTREE'!$F56</f>
        <v>#DIV/0!</v>
      </c>
      <c r="J71" s="346" t="e">
        <f>((W71/$C$21)-$C$14-(7*$C$17*'0_ENTREE'!$G56))*$I$11/$L$11/'0_ENTREE'!$F56</f>
        <v>#DIV/0!</v>
      </c>
      <c r="K71" s="346" t="e">
        <f>((X71/$C$21)-$C$14-(7*$C$17*'0_ENTREE'!$G56))*$I$12/$L$12/'0_ENTREE'!$F56</f>
        <v>#DIV/0!</v>
      </c>
      <c r="L71" s="346">
        <f>((Y71/$C$21)-$C$14-(7*$C$17*'0_ENTREE'!$G56))*$I$13/$L$13/'0_ENTREE'!$F56</f>
        <v>0.11064606903932939</v>
      </c>
      <c r="M71" s="346">
        <f>((Z71/$C$21)-$C$14-(7*$C$17*'0_ENTREE'!$G56))*$I$14/$L$14/'0_ENTREE'!$F56</f>
        <v>0.42270170405283963</v>
      </c>
      <c r="N71" s="350">
        <f>((AA71/$C$21)-$C$14-(7*$C$17*'0_ENTREE'!$G56))*$I$15/$L$15/'0_ENTREE'!$F56</f>
        <v>0.59433337967237043</v>
      </c>
      <c r="P71" s="187">
        <v>444</v>
      </c>
      <c r="Q71" s="188">
        <v>691</v>
      </c>
      <c r="R71" s="188">
        <v>350</v>
      </c>
      <c r="S71" s="188">
        <v>262</v>
      </c>
      <c r="T71" s="188">
        <v>420</v>
      </c>
      <c r="U71" s="188">
        <v>144</v>
      </c>
      <c r="V71" s="188">
        <v>143</v>
      </c>
      <c r="W71" s="188">
        <v>113</v>
      </c>
      <c r="X71" s="188">
        <v>199</v>
      </c>
      <c r="Y71" s="188">
        <v>259</v>
      </c>
      <c r="Z71" s="188">
        <v>297</v>
      </c>
      <c r="AA71" s="189">
        <v>389</v>
      </c>
      <c r="AB71" s="189">
        <f t="shared" si="5"/>
        <v>3711</v>
      </c>
    </row>
    <row r="72" spans="1:28" x14ac:dyDescent="0.25">
      <c r="A72" s="174">
        <v>25</v>
      </c>
      <c r="B72" s="111" t="str">
        <f>'0_ENTREE'!B57</f>
        <v>GE2.1 - 300 - T5 - 93m²</v>
      </c>
      <c r="C72" s="349">
        <f>((P72/$C$21)-$C$14-(7*$C$17*'0_ENTREE'!$G57))*$I$4/$L$4/'0_ENTREE'!$F57</f>
        <v>-0.61005624541742121</v>
      </c>
      <c r="D72" s="346">
        <f>((Q72/$C$21)-$C$14-(7*$C$17*'0_ENTREE'!$G57))*$I$5/$L$5/'0_ENTREE'!$F57</f>
        <v>-0.44993392232073615</v>
      </c>
      <c r="E72" s="346">
        <f>((R72/$C$21)-$C$14-(7*$C$17*'0_ENTREE'!$G57))*$I$6/$L$6/'0_ENTREE'!$F57</f>
        <v>-0.63030908013455389</v>
      </c>
      <c r="F72" s="346">
        <f>((S72/$C$21)-$C$14-(7*$C$17*'0_ENTREE'!$G57))*$I$7/$L$7/'0_ENTREE'!$F57</f>
        <v>0.77392139255235304</v>
      </c>
      <c r="G72" s="346">
        <f>((T72/$C$21)-$C$14-(7*$C$17*'0_ENTREE'!$G57))*$I$8/$L$8/'0_ENTREE'!$F57</f>
        <v>-5.295772700151196E-2</v>
      </c>
      <c r="H72" s="346" t="e">
        <f>((U72/$C$21)-$C$14-(7*$C$17*'0_ENTREE'!$G57))*$I$9/$L$9/'0_ENTREE'!$F57</f>
        <v>#DIV/0!</v>
      </c>
      <c r="I72" s="346" t="e">
        <f>((V72/$C$21)-$C$14-(7*$C$17*'0_ENTREE'!$G57))*$I$10/$L$10/'0_ENTREE'!$F57</f>
        <v>#DIV/0!</v>
      </c>
      <c r="J72" s="346" t="e">
        <f>((W72/$C$21)-$C$14-(7*$C$17*'0_ENTREE'!$G57))*$I$11/$L$11/'0_ENTREE'!$F57</f>
        <v>#DIV/0!</v>
      </c>
      <c r="K72" s="346" t="e">
        <f>((X72/$C$21)-$C$14-(7*$C$17*'0_ENTREE'!$G57))*$I$12/$L$12/'0_ENTREE'!$F57</f>
        <v>#DIV/0!</v>
      </c>
      <c r="L72" s="346">
        <f>((Y72/$C$21)-$C$14-(7*$C$17*'0_ENTREE'!$G57))*$I$13/$L$13/'0_ENTREE'!$F57</f>
        <v>0.26746181354908949</v>
      </c>
      <c r="M72" s="346">
        <f>((Z72/$C$21)-$C$14-(7*$C$17*'0_ENTREE'!$G57))*$I$14/$L$14/'0_ENTREE'!$F57</f>
        <v>2.1351496047527863</v>
      </c>
      <c r="N72" s="350">
        <f>((AA72/$C$21)-$C$14-(7*$C$17*'0_ENTREE'!$G57))*$I$15/$L$15/'0_ENTREE'!$F57</f>
        <v>3.3432125868403784</v>
      </c>
      <c r="P72" s="187">
        <v>0</v>
      </c>
      <c r="Q72" s="188">
        <v>0</v>
      </c>
      <c r="R72" s="188">
        <v>0</v>
      </c>
      <c r="S72" s="188">
        <v>576</v>
      </c>
      <c r="T72" s="188">
        <v>211</v>
      </c>
      <c r="U72" s="188">
        <v>159</v>
      </c>
      <c r="V72" s="188">
        <v>143</v>
      </c>
      <c r="W72" s="188">
        <v>114</v>
      </c>
      <c r="X72" s="188">
        <v>166</v>
      </c>
      <c r="Y72" s="188">
        <v>463</v>
      </c>
      <c r="Z72" s="188">
        <v>951</v>
      </c>
      <c r="AA72" s="189">
        <v>1643</v>
      </c>
      <c r="AB72" s="189">
        <f t="shared" si="5"/>
        <v>4426</v>
      </c>
    </row>
    <row r="73" spans="1:28" x14ac:dyDescent="0.25">
      <c r="A73" s="174">
        <v>26</v>
      </c>
      <c r="B73" s="111" t="str">
        <f>'0_ENTREE'!B58</f>
        <v>GE2.1 - 302 - T5 - 93m²</v>
      </c>
      <c r="C73" s="349">
        <f>((P73/$C$21)-$C$14-(7*$C$17*'0_ENTREE'!$G58))*$I$4/$L$4/'0_ENTREE'!$F58</f>
        <v>6.932271673344939</v>
      </c>
      <c r="D73" s="346">
        <f>((Q73/$C$21)-$C$14-(7*$C$17*'0_ENTREE'!$G58))*$I$5/$L$5/'0_ENTREE'!$F58</f>
        <v>6.6454550960812089</v>
      </c>
      <c r="E73" s="346">
        <f>((R73/$C$21)-$C$14-(7*$C$17*'0_ENTREE'!$G58))*$I$6/$L$6/'0_ENTREE'!$F58</f>
        <v>3.7348913188274744</v>
      </c>
      <c r="F73" s="346">
        <f>((S73/$C$21)-$C$14-(7*$C$17*'0_ENTREE'!$G58))*$I$7/$L$7/'0_ENTREE'!$F58</f>
        <v>1.6541149694936887</v>
      </c>
      <c r="G73" s="346">
        <f>((T73/$C$21)-$C$14-(7*$C$17*'0_ENTREE'!$G58))*$I$8/$L$8/'0_ENTREE'!$F58</f>
        <v>0.76579402746424785</v>
      </c>
      <c r="H73" s="346" t="e">
        <f>((U73/$C$21)-$C$14-(7*$C$17*'0_ENTREE'!$G58))*$I$9/$L$9/'0_ENTREE'!$F58</f>
        <v>#DIV/0!</v>
      </c>
      <c r="I73" s="346" t="e">
        <f>((V73/$C$21)-$C$14-(7*$C$17*'0_ENTREE'!$G58))*$I$10/$L$10/'0_ENTREE'!$F58</f>
        <v>#DIV/0!</v>
      </c>
      <c r="J73" s="346" t="e">
        <f>((W73/$C$21)-$C$14-(7*$C$17*'0_ENTREE'!$G58))*$I$11/$L$11/'0_ENTREE'!$F58</f>
        <v>#DIV/0!</v>
      </c>
      <c r="K73" s="346" t="e">
        <f>((X73/$C$21)-$C$14-(7*$C$17*'0_ENTREE'!$G58))*$I$12/$L$12/'0_ENTREE'!$F58</f>
        <v>#DIV/0!</v>
      </c>
      <c r="L73" s="346">
        <f>((Y73/$C$21)-$C$14-(7*$C$17*'0_ENTREE'!$G58))*$I$13/$L$13/'0_ENTREE'!$F58</f>
        <v>0.63895583459253036</v>
      </c>
      <c r="M73" s="346">
        <f>((Z73/$C$21)-$C$14-(7*$C$17*'0_ENTREE'!$G58))*$I$14/$L$14/'0_ENTREE'!$F58</f>
        <v>3.9934402978079513</v>
      </c>
      <c r="N73" s="350">
        <f>((AA73/$C$21)-$C$14-(7*$C$17*'0_ENTREE'!$G58))*$I$15/$L$15/'0_ENTREE'!$F58</f>
        <v>5.8380554838607077</v>
      </c>
      <c r="P73" s="187">
        <v>2703</v>
      </c>
      <c r="Q73" s="188">
        <v>3461</v>
      </c>
      <c r="R73" s="188">
        <v>1493</v>
      </c>
      <c r="S73" s="188">
        <v>930</v>
      </c>
      <c r="T73" s="188">
        <v>341</v>
      </c>
      <c r="U73" s="188">
        <v>257</v>
      </c>
      <c r="V73" s="188">
        <v>231</v>
      </c>
      <c r="W73" s="188">
        <v>185</v>
      </c>
      <c r="X73" s="188">
        <v>268</v>
      </c>
      <c r="Y73" s="188">
        <v>749</v>
      </c>
      <c r="Z73" s="188">
        <v>1537</v>
      </c>
      <c r="AA73" s="189">
        <v>2655</v>
      </c>
      <c r="AB73" s="189">
        <f t="shared" si="5"/>
        <v>14810</v>
      </c>
    </row>
    <row r="74" spans="1:28" x14ac:dyDescent="0.25">
      <c r="A74" s="174">
        <v>27</v>
      </c>
      <c r="B74" s="111" t="str">
        <f>'0_ENTREE'!B59</f>
        <v>GE2.1 - 312 - T4 - 75m²</v>
      </c>
      <c r="C74" s="349">
        <f>((P74/$C$21)-$C$14-(7*$C$17*'0_ENTREE'!$G59))*$I$4/$L$4/'0_ENTREE'!$F59</f>
        <v>3.5204412658361783</v>
      </c>
      <c r="D74" s="346">
        <f>((Q74/$C$21)-$C$14-(7*$C$17*'0_ENTREE'!$G59))*$I$5/$L$5/'0_ENTREE'!$F59</f>
        <v>3.4138156517307987</v>
      </c>
      <c r="E74" s="346">
        <f>((R74/$C$21)-$C$14-(7*$C$17*'0_ENTREE'!$G59))*$I$6/$L$6/'0_ENTREE'!$F59</f>
        <v>1.8108140215403672</v>
      </c>
      <c r="F74" s="346">
        <f>((S74/$C$21)-$C$14-(7*$C$17*'0_ENTREE'!$G59))*$I$7/$L$7/'0_ENTREE'!$F59</f>
        <v>-0.34333668678328166</v>
      </c>
      <c r="G74" s="346">
        <f>((T74/$C$21)-$C$14-(7*$C$17*'0_ENTREE'!$G59))*$I$8/$L$8/'0_ENTREE'!$F59</f>
        <v>-0.72121866207292573</v>
      </c>
      <c r="H74" s="346" t="e">
        <f>((U74/$C$21)-$C$14-(7*$C$17*'0_ENTREE'!$G59))*$I$9/$L$9/'0_ENTREE'!$F59</f>
        <v>#DIV/0!</v>
      </c>
      <c r="I74" s="346" t="e">
        <f>((V74/$C$21)-$C$14-(7*$C$17*'0_ENTREE'!$G59))*$I$10/$L$10/'0_ENTREE'!$F59</f>
        <v>#DIV/0!</v>
      </c>
      <c r="J74" s="346" t="e">
        <f>((W74/$C$21)-$C$14-(7*$C$17*'0_ENTREE'!$G59))*$I$11/$L$11/'0_ENTREE'!$F59</f>
        <v>#DIV/0!</v>
      </c>
      <c r="K74" s="346" t="e">
        <f>((X74/$C$21)-$C$14-(7*$C$17*'0_ENTREE'!$G59))*$I$12/$L$12/'0_ENTREE'!$F59</f>
        <v>#DIV/0!</v>
      </c>
      <c r="L74" s="346">
        <f>((Y74/$C$21)-$C$14-(7*$C$17*'0_ENTREE'!$G59))*$I$13/$L$13/'0_ENTREE'!$F59</f>
        <v>-0.17440865584685808</v>
      </c>
      <c r="M74" s="346">
        <f>((Z74/$C$21)-$C$14-(7*$C$17*'0_ENTREE'!$G59))*$I$14/$L$14/'0_ENTREE'!$F59</f>
        <v>-0.45962343434343428</v>
      </c>
      <c r="N74" s="350">
        <f>((AA74/$C$21)-$C$14-(7*$C$17*'0_ENTREE'!$G59))*$I$15/$L$15/'0_ENTREE'!$F59</f>
        <v>-0.36908114721368029</v>
      </c>
      <c r="P74" s="187">
        <v>1162</v>
      </c>
      <c r="Q74" s="188">
        <v>1488</v>
      </c>
      <c r="R74" s="188">
        <v>642</v>
      </c>
      <c r="S74" s="188">
        <v>0</v>
      </c>
      <c r="T74" s="188">
        <v>0</v>
      </c>
      <c r="U74" s="188">
        <v>0</v>
      </c>
      <c r="V74" s="188">
        <v>0</v>
      </c>
      <c r="W74" s="188">
        <v>0</v>
      </c>
      <c r="X74" s="188">
        <v>0</v>
      </c>
      <c r="Y74" s="188">
        <v>0</v>
      </c>
      <c r="Z74" s="188">
        <v>0</v>
      </c>
      <c r="AA74" s="189">
        <v>0</v>
      </c>
      <c r="AB74" s="189">
        <f t="shared" si="5"/>
        <v>3292</v>
      </c>
    </row>
    <row r="75" spans="1:28" x14ac:dyDescent="0.25">
      <c r="A75" s="174">
        <v>28</v>
      </c>
      <c r="B75" s="335"/>
      <c r="C75" s="394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6"/>
      <c r="P75" s="112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</row>
    <row r="76" spans="1:28" x14ac:dyDescent="0.25">
      <c r="A76" s="174">
        <v>29</v>
      </c>
      <c r="B76" s="111" t="str">
        <f>'0_ENTREE'!B61</f>
        <v>GE2.2 - 271 - T3 - 74m²</v>
      </c>
      <c r="C76" s="349">
        <f>((P76/$C$21)-$C$14-(7*$C$17*'0_ENTREE'!$G61))*$I$4/$L$4/'0_ENTREE'!$F61</f>
        <v>3.971147505443815</v>
      </c>
      <c r="D76" s="346">
        <f>((Q76/$C$21)-$C$14-(7*$C$17*'0_ENTREE'!$G61))*$I$5/$L$5/'0_ENTREE'!$F61</f>
        <v>3.8385890037929062</v>
      </c>
      <c r="E76" s="346">
        <f>((R76/$C$21)-$C$14-(7*$C$17*'0_ENTREE'!$G61))*$I$6/$L$6/'0_ENTREE'!$F61</f>
        <v>2.0631223110626662</v>
      </c>
      <c r="F76" s="346">
        <f>((S76/$C$21)-$C$14-(7*$C$17*'0_ENTREE'!$G61))*$I$7/$L$7/'0_ENTREE'!$F61</f>
        <v>0.94249895691492369</v>
      </c>
      <c r="G76" s="346">
        <f>((T76/$C$21)-$C$14-(7*$C$17*'0_ENTREE'!$G61))*$I$8/$L$8/'0_ENTREE'!$F61</f>
        <v>0.26318545448921349</v>
      </c>
      <c r="H76" s="346" t="e">
        <f>((U76/$C$21)-$C$14-(7*$C$17*'0_ENTREE'!$G61))*$I$9/$L$9/'0_ENTREE'!$F61</f>
        <v>#DIV/0!</v>
      </c>
      <c r="I76" s="346" t="e">
        <f>((V76/$C$21)-$C$14-(7*$C$17*'0_ENTREE'!$G61))*$I$10/$L$10/'0_ENTREE'!$F61</f>
        <v>#DIV/0!</v>
      </c>
      <c r="J76" s="346" t="e">
        <f>((W76/$C$21)-$C$14-(7*$C$17*'0_ENTREE'!$G61))*$I$11/$L$11/'0_ENTREE'!$F61</f>
        <v>#DIV/0!</v>
      </c>
      <c r="K76" s="346" t="e">
        <f>((X76/$C$21)-$C$14-(7*$C$17*'0_ENTREE'!$G61))*$I$12/$L$12/'0_ENTREE'!$F61</f>
        <v>#DIV/0!</v>
      </c>
      <c r="L76" s="346">
        <f>((Y76/$C$21)-$C$14-(7*$C$17*'0_ENTREE'!$G61))*$I$13/$L$13/'0_ENTREE'!$F61</f>
        <v>0.35157811343743312</v>
      </c>
      <c r="M76" s="346">
        <f>((Z76/$C$21)-$C$14-(7*$C$17*'0_ENTREE'!$G61))*$I$14/$L$14/'0_ENTREE'!$F61</f>
        <v>2.3925492017546808</v>
      </c>
      <c r="N76" s="350">
        <f>((AA76/$C$21)-$C$14-(7*$C$17*'0_ENTREE'!$G61))*$I$15/$L$15/'0_ENTREE'!$F61</f>
        <v>3.5894718748219234</v>
      </c>
      <c r="P76" s="184">
        <v>1279</v>
      </c>
      <c r="Q76" s="185">
        <v>1637</v>
      </c>
      <c r="R76" s="185">
        <v>706</v>
      </c>
      <c r="S76" s="185">
        <v>469</v>
      </c>
      <c r="T76" s="185">
        <v>172</v>
      </c>
      <c r="U76" s="185">
        <v>130</v>
      </c>
      <c r="V76" s="185">
        <v>116</v>
      </c>
      <c r="W76" s="185">
        <v>93</v>
      </c>
      <c r="X76" s="185">
        <v>135</v>
      </c>
      <c r="Y76" s="185">
        <v>378</v>
      </c>
      <c r="Z76" s="185">
        <v>776</v>
      </c>
      <c r="AA76" s="186">
        <v>1340</v>
      </c>
      <c r="AB76" s="186">
        <f>SUM(P76:AA76)</f>
        <v>7231</v>
      </c>
    </row>
    <row r="77" spans="1:28" x14ac:dyDescent="0.25">
      <c r="A77" s="174">
        <v>30</v>
      </c>
      <c r="B77" s="506" t="str">
        <f>'0_ENTREE'!B62</f>
        <v>GE2.2 - 272 - T3 - 74m²</v>
      </c>
      <c r="C77" s="349">
        <f>((P77/$C$21)-$C$14-(7*$C$17*'0_ENTREE'!$G62))*$I$4/$L$4/'0_ENTREE'!$F62</f>
        <v>4.233096031643103</v>
      </c>
      <c r="D77" s="346">
        <f>((Q77/$C$21)-$C$14-(7*$C$17*'0_ENTREE'!$G62))*$I$5/$L$5/'0_ENTREE'!$F62</f>
        <v>4.0546544461503675</v>
      </c>
      <c r="E77" s="346">
        <f>((R77/$C$21)-$C$14-(7*$C$17*'0_ENTREE'!$G62))*$I$6/$L$6/'0_ENTREE'!$F62</f>
        <v>2.2910474918542261</v>
      </c>
      <c r="F77" s="346">
        <f>((S77/$C$21)-$C$14-(7*$C$17*'0_ENTREE'!$G62))*$I$7/$L$7/'0_ENTREE'!$F62</f>
        <v>1.1131623573787366</v>
      </c>
      <c r="G77" s="346">
        <f>((T77/$C$21)-$C$14-(7*$C$17*'0_ENTREE'!$G62))*$I$8/$L$8/'0_ENTREE'!$F62</f>
        <v>0.56966429275723629</v>
      </c>
      <c r="H77" s="346" t="e">
        <f>((U77/$C$21)-$C$14-(7*$C$17*'0_ENTREE'!$G62))*$I$9/$L$9/'0_ENTREE'!$F62</f>
        <v>#DIV/0!</v>
      </c>
      <c r="I77" s="346" t="e">
        <f>((V77/$C$21)-$C$14-(7*$C$17*'0_ENTREE'!$G62))*$I$10/$L$10/'0_ENTREE'!$F62</f>
        <v>#DIV/0!</v>
      </c>
      <c r="J77" s="346" t="e">
        <f>((W77/$C$21)-$C$14-(7*$C$17*'0_ENTREE'!$G62))*$I$11/$L$11/'0_ENTREE'!$F62</f>
        <v>#DIV/0!</v>
      </c>
      <c r="K77" s="346" t="e">
        <f>((X77/$C$21)-$C$14-(7*$C$17*'0_ENTREE'!$G62))*$I$12/$L$12/'0_ENTREE'!$F62</f>
        <v>#DIV/0!</v>
      </c>
      <c r="L77" s="346">
        <f>((Y77/$C$21)-$C$14-(7*$C$17*'0_ENTREE'!$G62))*$I$13/$L$13/'0_ENTREE'!$F62</f>
        <v>0.43407874551479281</v>
      </c>
      <c r="M77" s="346">
        <f>((Z77/$C$21)-$C$14-(7*$C$17*'0_ENTREE'!$G62))*$I$14/$L$14/'0_ENTREE'!$F62</f>
        <v>2.6541669639751828</v>
      </c>
      <c r="N77" s="350">
        <f>((AA77/$C$21)-$C$14-(7*$C$17*'0_ENTREE'!$G62))*$I$15/$L$15/'0_ENTREE'!$F62</f>
        <v>3.8468788048121114</v>
      </c>
      <c r="P77" s="187">
        <v>1307</v>
      </c>
      <c r="Q77" s="188">
        <v>1674</v>
      </c>
      <c r="R77" s="188">
        <v>722</v>
      </c>
      <c r="S77" s="188">
        <v>483</v>
      </c>
      <c r="T77" s="188">
        <v>177</v>
      </c>
      <c r="U77" s="188">
        <v>134</v>
      </c>
      <c r="V77" s="188">
        <v>120</v>
      </c>
      <c r="W77" s="188">
        <v>96</v>
      </c>
      <c r="X77" s="188">
        <v>139</v>
      </c>
      <c r="Y77" s="188">
        <v>389</v>
      </c>
      <c r="Z77" s="188">
        <v>799</v>
      </c>
      <c r="AA77" s="189">
        <v>1379</v>
      </c>
      <c r="AB77" s="189">
        <f t="shared" ref="AB77:AB88" si="6">SUM(P77:AA77)</f>
        <v>7419</v>
      </c>
    </row>
    <row r="78" spans="1:28" x14ac:dyDescent="0.25">
      <c r="A78" s="174">
        <v>31</v>
      </c>
      <c r="B78" s="506" t="str">
        <f>'0_ENTREE'!B63</f>
        <v>GE2.2 - 273 - T3 - 74m²</v>
      </c>
      <c r="C78" s="349">
        <f>((P78/$C$21)-$C$14-(7*$C$17*'0_ENTREE'!$G63))*$I$4/$L$4/'0_ENTREE'!$F63</f>
        <v>13.484390321824145</v>
      </c>
      <c r="D78" s="346">
        <f>((Q78/$C$21)-$C$14-(7*$C$17*'0_ENTREE'!$G63))*$I$5/$L$5/'0_ENTREE'!$F63</f>
        <v>12.824317486421172</v>
      </c>
      <c r="E78" s="346">
        <f>((R78/$C$21)-$C$14-(7*$C$17*'0_ENTREE'!$G63))*$I$6/$L$6/'0_ENTREE'!$F63</f>
        <v>7.4920705985927416</v>
      </c>
      <c r="F78" s="346">
        <f>((S78/$C$21)-$C$14-(7*$C$17*'0_ENTREE'!$G63))*$I$7/$L$7/'0_ENTREE'!$F63</f>
        <v>3.4409032179351806</v>
      </c>
      <c r="G78" s="346">
        <f>((T78/$C$21)-$C$14-(7*$C$17*'0_ENTREE'!$G63))*$I$8/$L$8/'0_ENTREE'!$F63</f>
        <v>2.1821267596044596</v>
      </c>
      <c r="H78" s="346" t="e">
        <f>((U78/$C$21)-$C$14-(7*$C$17*'0_ENTREE'!$G63))*$I$9/$L$9/'0_ENTREE'!$F63</f>
        <v>#DIV/0!</v>
      </c>
      <c r="I78" s="346" t="e">
        <f>((V78/$C$21)-$C$14-(7*$C$17*'0_ENTREE'!$G63))*$I$10/$L$10/'0_ENTREE'!$F63</f>
        <v>#DIV/0!</v>
      </c>
      <c r="J78" s="346" t="e">
        <f>((W78/$C$21)-$C$14-(7*$C$17*'0_ENTREE'!$G63))*$I$11/$L$11/'0_ENTREE'!$F63</f>
        <v>#DIV/0!</v>
      </c>
      <c r="K78" s="346" t="e">
        <f>((X78/$C$21)-$C$14-(7*$C$17*'0_ENTREE'!$G63))*$I$12/$L$12/'0_ENTREE'!$F63</f>
        <v>#DIV/0!</v>
      </c>
      <c r="L78" s="346">
        <f>((Y78/$C$21)-$C$14-(7*$C$17*'0_ENTREE'!$G63))*$I$13/$L$13/'0_ENTREE'!$F63</f>
        <v>1.3719243023229475</v>
      </c>
      <c r="M78" s="346">
        <f>((Z78/$C$21)-$C$14-(7*$C$17*'0_ENTREE'!$G63))*$I$14/$L$14/'0_ENTREE'!$F63</f>
        <v>7.9140920646674058</v>
      </c>
      <c r="N78" s="350">
        <f>((AA78/$C$21)-$C$14-(7*$C$17*'0_ENTREE'!$G63))*$I$15/$L$15/'0_ENTREE'!$F63</f>
        <v>11.247387267821615</v>
      </c>
      <c r="P78" s="187">
        <v>4040</v>
      </c>
      <c r="Q78" s="188">
        <v>5173</v>
      </c>
      <c r="R78" s="188">
        <v>2231</v>
      </c>
      <c r="S78" s="188">
        <v>1377</v>
      </c>
      <c r="T78" s="188">
        <v>504</v>
      </c>
      <c r="U78" s="188">
        <v>381</v>
      </c>
      <c r="V78" s="188">
        <v>341</v>
      </c>
      <c r="W78" s="188">
        <v>274</v>
      </c>
      <c r="X78" s="188">
        <v>397</v>
      </c>
      <c r="Y78" s="188">
        <v>1108</v>
      </c>
      <c r="Z78" s="188">
        <v>2275</v>
      </c>
      <c r="AA78" s="189">
        <v>3929</v>
      </c>
      <c r="AB78" s="189">
        <f t="shared" si="6"/>
        <v>22030</v>
      </c>
    </row>
    <row r="79" spans="1:28" x14ac:dyDescent="0.25">
      <c r="A79" s="174">
        <v>32</v>
      </c>
      <c r="B79" s="111" t="str">
        <f>'0_ENTREE'!B64</f>
        <v>GE2.2 - 276 - T4 - 83m²</v>
      </c>
      <c r="C79" s="349">
        <f>((P79/$C$21)-$C$14-(7*$C$17*'0_ENTREE'!$G64))*$I$4/$L$4/'0_ENTREE'!$F64</f>
        <v>4.7293903431302073</v>
      </c>
      <c r="D79" s="346">
        <f>((Q79/$C$21)-$C$14-(7*$C$17*'0_ENTREE'!$G64))*$I$5/$L$5/'0_ENTREE'!$F64</f>
        <v>4.546123627933186</v>
      </c>
      <c r="E79" s="346">
        <f>((R79/$C$21)-$C$14-(7*$C$17*'0_ENTREE'!$G64))*$I$6/$L$6/'0_ENTREE'!$F64</f>
        <v>2.5186346267805502</v>
      </c>
      <c r="F79" s="346">
        <f>((S79/$C$21)-$C$14-(7*$C$17*'0_ENTREE'!$G64))*$I$7/$L$7/'0_ENTREE'!$F64</f>
        <v>1.3947203276674582</v>
      </c>
      <c r="G79" s="346">
        <f>((T79/$C$21)-$C$14-(7*$C$17*'0_ENTREE'!$G64))*$I$8/$L$8/'0_ENTREE'!$F64</f>
        <v>0.66236310574498625</v>
      </c>
      <c r="H79" s="346" t="e">
        <f>((U79/$C$21)-$C$14-(7*$C$17*'0_ENTREE'!$G64))*$I$9/$L$9/'0_ENTREE'!$F64</f>
        <v>#DIV/0!</v>
      </c>
      <c r="I79" s="346" t="e">
        <f>((V79/$C$21)-$C$14-(7*$C$17*'0_ENTREE'!$G64))*$I$10/$L$10/'0_ENTREE'!$F64</f>
        <v>#DIV/0!</v>
      </c>
      <c r="J79" s="346" t="e">
        <f>((W79/$C$21)-$C$14-(7*$C$17*'0_ENTREE'!$G64))*$I$11/$L$11/'0_ENTREE'!$F64</f>
        <v>#DIV/0!</v>
      </c>
      <c r="K79" s="346" t="e">
        <f>((X79/$C$21)-$C$14-(7*$C$17*'0_ENTREE'!$G64))*$I$12/$L$12/'0_ENTREE'!$F64</f>
        <v>#DIV/0!</v>
      </c>
      <c r="L79" s="346">
        <f>((Y79/$C$21)-$C$14-(7*$C$17*'0_ENTREE'!$G64))*$I$13/$L$13/'0_ENTREE'!$F64</f>
        <v>0.54025865918138716</v>
      </c>
      <c r="M79" s="346">
        <f>((Z79/$C$21)-$C$14-(7*$C$17*'0_ENTREE'!$G64))*$I$14/$L$14/'0_ENTREE'!$F64</f>
        <v>3.3580743697079725</v>
      </c>
      <c r="N79" s="350">
        <f>((AA79/$C$21)-$C$14-(7*$C$17*'0_ENTREE'!$G64))*$I$15/$L$15/'0_ENTREE'!$F64</f>
        <v>4.9012032385277298</v>
      </c>
      <c r="P79" s="187">
        <v>1666</v>
      </c>
      <c r="Q79" s="188">
        <v>2133</v>
      </c>
      <c r="R79" s="188">
        <v>920</v>
      </c>
      <c r="S79" s="188">
        <v>695</v>
      </c>
      <c r="T79" s="188">
        <v>255</v>
      </c>
      <c r="U79" s="188">
        <v>192</v>
      </c>
      <c r="V79" s="188">
        <v>172</v>
      </c>
      <c r="W79" s="188">
        <v>138</v>
      </c>
      <c r="X79" s="188">
        <v>200</v>
      </c>
      <c r="Y79" s="188">
        <v>560</v>
      </c>
      <c r="Z79" s="188">
        <v>1149</v>
      </c>
      <c r="AA79" s="189">
        <v>1985</v>
      </c>
      <c r="AB79" s="189">
        <f t="shared" si="6"/>
        <v>10065</v>
      </c>
    </row>
    <row r="80" spans="1:28" x14ac:dyDescent="0.25">
      <c r="A80" s="174">
        <v>33</v>
      </c>
      <c r="B80" s="111" t="str">
        <f>'0_ENTREE'!B65</f>
        <v>GE2.2 - 279 - T3 - 70m²</v>
      </c>
      <c r="C80" s="349">
        <f>((P80/$C$21)-$C$14-(7*$C$17*'0_ENTREE'!$G65))*$I$4/$L$4/'0_ENTREE'!$F65</f>
        <v>5.134184732804723</v>
      </c>
      <c r="D80" s="346">
        <f>((Q80/$C$21)-$C$14-(7*$C$17*'0_ENTREE'!$G65))*$I$5/$L$5/'0_ENTREE'!$F65</f>
        <v>4.9417707608538093</v>
      </c>
      <c r="E80" s="346">
        <f>((R80/$C$21)-$C$14-(7*$C$17*'0_ENTREE'!$G65))*$I$6/$L$6/'0_ENTREE'!$F65</f>
        <v>2.7154167813469594</v>
      </c>
      <c r="F80" s="346">
        <f>((S80/$C$21)-$C$14-(7*$C$17*'0_ENTREE'!$G65))*$I$7/$L$7/'0_ENTREE'!$F65</f>
        <v>1.0487140400992216</v>
      </c>
      <c r="G80" s="346">
        <f>((T80/$C$21)-$C$14-(7*$C$17*'0_ENTREE'!$G65))*$I$8/$L$8/'0_ENTREE'!$F65</f>
        <v>0.31488598043727051</v>
      </c>
      <c r="H80" s="346" t="e">
        <f>((U80/$C$21)-$C$14-(7*$C$17*'0_ENTREE'!$G65))*$I$9/$L$9/'0_ENTREE'!$F65</f>
        <v>#DIV/0!</v>
      </c>
      <c r="I80" s="346" t="e">
        <f>((V80/$C$21)-$C$14-(7*$C$17*'0_ENTREE'!$G65))*$I$10/$L$10/'0_ENTREE'!$F65</f>
        <v>#DIV/0!</v>
      </c>
      <c r="J80" s="346" t="e">
        <f>((W80/$C$21)-$C$14-(7*$C$17*'0_ENTREE'!$G65))*$I$11/$L$11/'0_ENTREE'!$F65</f>
        <v>#DIV/0!</v>
      </c>
      <c r="K80" s="346" t="e">
        <f>((X80/$C$21)-$C$14-(7*$C$17*'0_ENTREE'!$G65))*$I$12/$L$12/'0_ENTREE'!$F65</f>
        <v>#DIV/0!</v>
      </c>
      <c r="L80" s="346">
        <f>((Y80/$C$21)-$C$14-(7*$C$17*'0_ENTREE'!$G65))*$I$13/$L$13/'0_ENTREE'!$F65</f>
        <v>0.39235476202691832</v>
      </c>
      <c r="M80" s="346">
        <f>((Z80/$C$21)-$C$14-(7*$C$17*'0_ENTREE'!$G65))*$I$14/$L$14/'0_ENTREE'!$F65</f>
        <v>2.6421914012927701</v>
      </c>
      <c r="N80" s="350">
        <f>((AA80/$C$21)-$C$14-(7*$C$17*'0_ENTREE'!$G65))*$I$15/$L$15/'0_ENTREE'!$F65</f>
        <v>3.9509289056101742</v>
      </c>
      <c r="P80" s="187">
        <v>1536</v>
      </c>
      <c r="Q80" s="188">
        <v>1966</v>
      </c>
      <c r="R80" s="188">
        <v>848</v>
      </c>
      <c r="S80" s="188">
        <v>487</v>
      </c>
      <c r="T80" s="188">
        <v>178</v>
      </c>
      <c r="U80" s="188">
        <v>135</v>
      </c>
      <c r="V80" s="188">
        <v>121</v>
      </c>
      <c r="W80" s="188">
        <v>97</v>
      </c>
      <c r="X80" s="188">
        <v>140</v>
      </c>
      <c r="Y80" s="188">
        <v>392</v>
      </c>
      <c r="Z80" s="188">
        <v>805</v>
      </c>
      <c r="AA80" s="189">
        <v>1390</v>
      </c>
      <c r="AB80" s="189">
        <f t="shared" si="6"/>
        <v>8095</v>
      </c>
    </row>
    <row r="81" spans="1:28" x14ac:dyDescent="0.25">
      <c r="A81" s="174">
        <v>34</v>
      </c>
      <c r="B81" s="111" t="str">
        <f>'0_ENTREE'!B66</f>
        <v>GE2.2 - 288 - T3 - 68m²</v>
      </c>
      <c r="C81" s="349">
        <f>((P81/$C$21)-$C$14-(7*$C$17*'0_ENTREE'!$G66))*$I$4/$L$4/'0_ENTREE'!$F66</f>
        <v>3.3014675674522653</v>
      </c>
      <c r="D81" s="346">
        <f>((Q81/$C$21)-$C$14-(7*$C$17*'0_ENTREE'!$G66))*$I$5/$L$5/'0_ENTREE'!$F66</f>
        <v>3.2922123332830679</v>
      </c>
      <c r="E81" s="346">
        <f>((R81/$C$21)-$C$14-(7*$C$17*'0_ENTREE'!$G66))*$I$6/$L$6/'0_ENTREE'!$F66</f>
        <v>1.4972748142309287</v>
      </c>
      <c r="F81" s="346">
        <f>((S81/$C$21)-$C$14-(7*$C$17*'0_ENTREE'!$G66))*$I$7/$L$7/'0_ENTREE'!$F66</f>
        <v>0.235010549380161</v>
      </c>
      <c r="G81" s="346">
        <f>((T81/$C$21)-$C$14-(7*$C$17*'0_ENTREE'!$G66))*$I$8/$L$8/'0_ENTREE'!$F66</f>
        <v>-0.70771129045579517</v>
      </c>
      <c r="H81" s="346" t="e">
        <f>((U81/$C$21)-$C$14-(7*$C$17*'0_ENTREE'!$G66))*$I$9/$L$9/'0_ENTREE'!$F66</f>
        <v>#DIV/0!</v>
      </c>
      <c r="I81" s="346" t="e">
        <f>((V81/$C$21)-$C$14-(7*$C$17*'0_ENTREE'!$G66))*$I$10/$L$10/'0_ENTREE'!$F66</f>
        <v>#DIV/0!</v>
      </c>
      <c r="J81" s="346" t="e">
        <f>((W81/$C$21)-$C$14-(7*$C$17*'0_ENTREE'!$G66))*$I$11/$L$11/'0_ENTREE'!$F66</f>
        <v>#DIV/0!</v>
      </c>
      <c r="K81" s="346" t="e">
        <f>((X81/$C$21)-$C$14-(7*$C$17*'0_ENTREE'!$G66))*$I$12/$L$12/'0_ENTREE'!$F66</f>
        <v>#DIV/0!</v>
      </c>
      <c r="L81" s="346">
        <f>((Y81/$C$21)-$C$14-(7*$C$17*'0_ENTREE'!$G66))*$I$13/$L$13/'0_ENTREE'!$F66</f>
        <v>2.9638214117928729E-2</v>
      </c>
      <c r="M81" s="346">
        <f>((Z81/$C$21)-$C$14-(7*$C$17*'0_ENTREE'!$G66))*$I$14/$L$14/'0_ENTREE'!$F66</f>
        <v>1.1002731912192023</v>
      </c>
      <c r="N81" s="350">
        <f>((AA81/$C$21)-$C$14-(7*$C$17*'0_ENTREE'!$G66))*$I$15/$L$15/'0_ENTREE'!$F66</f>
        <v>2.0487530819382664</v>
      </c>
      <c r="P81" s="187">
        <v>1103</v>
      </c>
      <c r="Q81" s="188">
        <v>1413</v>
      </c>
      <c r="R81" s="188">
        <v>609</v>
      </c>
      <c r="S81" s="188">
        <v>301</v>
      </c>
      <c r="T81" s="188">
        <v>110</v>
      </c>
      <c r="U81" s="188">
        <v>83</v>
      </c>
      <c r="V81" s="188">
        <v>75</v>
      </c>
      <c r="W81" s="188">
        <v>60</v>
      </c>
      <c r="X81" s="188">
        <v>87</v>
      </c>
      <c r="Y81" s="188">
        <v>242</v>
      </c>
      <c r="Z81" s="188">
        <v>497</v>
      </c>
      <c r="AA81" s="189">
        <v>859</v>
      </c>
      <c r="AB81" s="189">
        <f t="shared" si="6"/>
        <v>5439</v>
      </c>
    </row>
    <row r="82" spans="1:28" x14ac:dyDescent="0.25">
      <c r="A82" s="174">
        <v>35</v>
      </c>
      <c r="B82" s="111" t="str">
        <f>'0_ENTREE'!B67</f>
        <v>GE2.2 - 291 - T3 - 62m²</v>
      </c>
      <c r="C82" s="349">
        <f>((P82/$C$21)-$C$14-(7*$C$17*'0_ENTREE'!$G67))*$I$4/$L$4/'0_ENTREE'!$F67</f>
        <v>8.9385833742802809</v>
      </c>
      <c r="D82" s="346">
        <f>((Q82/$C$21)-$C$14-(7*$C$17*'0_ENTREE'!$G67))*$I$5/$L$5/'0_ENTREE'!$F67</f>
        <v>8.5457517172279029</v>
      </c>
      <c r="E82" s="346">
        <f>((R82/$C$21)-$C$14-(7*$C$17*'0_ENTREE'!$G67))*$I$6/$L$6/'0_ENTREE'!$F67</f>
        <v>4.8588676735248777</v>
      </c>
      <c r="F82" s="346">
        <f>((S82/$C$21)-$C$14-(7*$C$17*'0_ENTREE'!$G67))*$I$7/$L$7/'0_ENTREE'!$F67</f>
        <v>1.7653183778518877</v>
      </c>
      <c r="G82" s="346">
        <f>((T82/$C$21)-$C$14-(7*$C$17*'0_ENTREE'!$G67))*$I$8/$L$8/'0_ENTREE'!$F67</f>
        <v>0.8039281900003159</v>
      </c>
      <c r="H82" s="346" t="e">
        <f>((U82/$C$21)-$C$14-(7*$C$17*'0_ENTREE'!$G67))*$I$9/$L$9/'0_ENTREE'!$F67</f>
        <v>#DIV/0!</v>
      </c>
      <c r="I82" s="346" t="e">
        <f>((V82/$C$21)-$C$14-(7*$C$17*'0_ENTREE'!$G67))*$I$10/$L$10/'0_ENTREE'!$F67</f>
        <v>#DIV/0!</v>
      </c>
      <c r="J82" s="346" t="e">
        <f>((W82/$C$21)-$C$14-(7*$C$17*'0_ENTREE'!$G67))*$I$11/$L$11/'0_ENTREE'!$F67</f>
        <v>#DIV/0!</v>
      </c>
      <c r="K82" s="346" t="e">
        <f>((X82/$C$21)-$C$14-(7*$C$17*'0_ENTREE'!$G67))*$I$12/$L$12/'0_ENTREE'!$F67</f>
        <v>#DIV/0!</v>
      </c>
      <c r="L82" s="346">
        <f>((Y82/$C$21)-$C$14-(7*$C$17*'0_ENTREE'!$G67))*$I$13/$L$13/'0_ENTREE'!$F67</f>
        <v>0.68154290124529482</v>
      </c>
      <c r="M82" s="346">
        <f>((Z82/$C$21)-$C$14-(7*$C$17*'0_ENTREE'!$G67))*$I$14/$L$14/'0_ENTREE'!$F67</f>
        <v>4.271269406392693</v>
      </c>
      <c r="N82" s="350">
        <f>((AA82/$C$21)-$C$14-(7*$C$17*'0_ENTREE'!$G67))*$I$15/$L$15/'0_ENTREE'!$F67</f>
        <v>6.2470864921018965</v>
      </c>
      <c r="P82" s="187">
        <v>2300</v>
      </c>
      <c r="Q82" s="188">
        <v>2944</v>
      </c>
      <c r="R82" s="188">
        <v>1270</v>
      </c>
      <c r="S82" s="188">
        <v>664</v>
      </c>
      <c r="T82" s="188">
        <v>243</v>
      </c>
      <c r="U82" s="188">
        <v>184</v>
      </c>
      <c r="V82" s="188">
        <v>165</v>
      </c>
      <c r="W82" s="188">
        <v>132</v>
      </c>
      <c r="X82" s="188">
        <v>191</v>
      </c>
      <c r="Y82" s="188">
        <v>535</v>
      </c>
      <c r="Z82" s="188">
        <v>1098</v>
      </c>
      <c r="AA82" s="189">
        <v>1896</v>
      </c>
      <c r="AB82" s="189">
        <f t="shared" si="6"/>
        <v>11622</v>
      </c>
    </row>
    <row r="83" spans="1:28" x14ac:dyDescent="0.25">
      <c r="A83" s="174">
        <v>36</v>
      </c>
      <c r="B83" s="111" t="str">
        <f>'0_ENTREE'!B68</f>
        <v>GE2.2 - 294 - T3 - 63m²</v>
      </c>
      <c r="C83" s="349">
        <f>((P83/$C$21)-$C$14-(7*$C$17*'0_ENTREE'!$G68))*$I$4/$L$4/'0_ENTREE'!$F68</f>
        <v>4.1627704991100538</v>
      </c>
      <c r="D83" s="346">
        <f>((Q83/$C$21)-$C$14-(7*$C$17*'0_ENTREE'!$G68))*$I$5/$L$5/'0_ENTREE'!$F68</f>
        <v>3.9954864105924801</v>
      </c>
      <c r="E83" s="346">
        <f>((R83/$C$21)-$C$14-(7*$C$17*'0_ENTREE'!$G68))*$I$6/$L$6/'0_ENTREE'!$F68</f>
        <v>2.2269198878165741</v>
      </c>
      <c r="F83" s="346">
        <f>((S83/$C$21)-$C$14-(7*$C$17*'0_ENTREE'!$G68))*$I$7/$L$7/'0_ENTREE'!$F68</f>
        <v>1.0457340391657339</v>
      </c>
      <c r="G83" s="346">
        <f>((T83/$C$21)-$C$14-(7*$C$17*'0_ENTREE'!$G68))*$I$8/$L$8/'0_ENTREE'!$F68</f>
        <v>0.4654552805079335</v>
      </c>
      <c r="H83" s="346" t="e">
        <f>((U83/$C$21)-$C$14-(7*$C$17*'0_ENTREE'!$G68))*$I$9/$L$9/'0_ENTREE'!$F68</f>
        <v>#DIV/0!</v>
      </c>
      <c r="I83" s="346" t="e">
        <f>((V83/$C$21)-$C$14-(7*$C$17*'0_ENTREE'!$G68))*$I$10/$L$10/'0_ENTREE'!$F68</f>
        <v>#DIV/0!</v>
      </c>
      <c r="J83" s="346" t="e">
        <f>((W83/$C$21)-$C$14-(7*$C$17*'0_ENTREE'!$G68))*$I$11/$L$11/'0_ENTREE'!$F68</f>
        <v>#DIV/0!</v>
      </c>
      <c r="K83" s="346" t="e">
        <f>((X83/$C$21)-$C$14-(7*$C$17*'0_ENTREE'!$G68))*$I$12/$L$12/'0_ENTREE'!$F68</f>
        <v>#DIV/0!</v>
      </c>
      <c r="L83" s="346">
        <f>((Y83/$C$21)-$C$14-(7*$C$17*'0_ENTREE'!$G68))*$I$13/$L$13/'0_ENTREE'!$F68</f>
        <v>0.40151256895395215</v>
      </c>
      <c r="M83" s="346">
        <f>((Z83/$C$21)-$C$14-(7*$C$17*'0_ENTREE'!$G68))*$I$14/$L$14/'0_ENTREE'!$F68</f>
        <v>7.9677477185422392</v>
      </c>
      <c r="N83" s="350">
        <f>((AA83/$C$21)-$C$14-(7*$C$17*'0_ENTREE'!$G68))*$I$15/$L$15/'0_ENTREE'!$F68</f>
        <v>11.248311840083641</v>
      </c>
      <c r="P83" s="187">
        <v>1107</v>
      </c>
      <c r="Q83" s="188">
        <v>1417</v>
      </c>
      <c r="R83" s="188">
        <v>611</v>
      </c>
      <c r="S83" s="188">
        <v>402</v>
      </c>
      <c r="T83" s="188">
        <v>147</v>
      </c>
      <c r="U83" s="188">
        <v>111</v>
      </c>
      <c r="V83" s="188">
        <v>100</v>
      </c>
      <c r="W83" s="188">
        <v>80</v>
      </c>
      <c r="X83" s="188">
        <v>116</v>
      </c>
      <c r="Y83" s="188">
        <v>323</v>
      </c>
      <c r="Z83" s="188">
        <v>1920</v>
      </c>
      <c r="AA83" s="189">
        <v>3316</v>
      </c>
      <c r="AB83" s="189">
        <f t="shared" si="6"/>
        <v>9650</v>
      </c>
    </row>
    <row r="84" spans="1:28" x14ac:dyDescent="0.25">
      <c r="A84" s="174">
        <v>37</v>
      </c>
      <c r="B84" s="111" t="str">
        <f>'0_ENTREE'!B69</f>
        <v>GE2.2 - 298 - T5 - 93m²</v>
      </c>
      <c r="C84" s="349">
        <f>((P84/$C$21)-$C$14-(7*$C$17*'0_ENTREE'!$G69))*$I$4/$L$4/'0_ENTREE'!$F69</f>
        <v>4.9556814163473586</v>
      </c>
      <c r="D84" s="346">
        <f>((Q84/$C$21)-$C$14-(7*$C$17*'0_ENTREE'!$G69))*$I$5/$L$5/'0_ENTREE'!$F69</f>
        <v>4.7246160433207081</v>
      </c>
      <c r="E84" s="346">
        <f>((R84/$C$21)-$C$14-(7*$C$17*'0_ENTREE'!$G69))*$I$6/$L$6/'0_ENTREE'!$F69</f>
        <v>2.7294356065888357</v>
      </c>
      <c r="F84" s="346">
        <f>((S84/$C$21)-$C$14-(7*$C$17*'0_ENTREE'!$G69))*$I$7/$L$7/'0_ENTREE'!$F69</f>
        <v>0.99959102734827832</v>
      </c>
      <c r="G84" s="346">
        <f>((T84/$C$21)-$C$14-(7*$C$17*'0_ENTREE'!$G69))*$I$8/$L$8/'0_ENTREE'!$F69</f>
        <v>0.54066406980994364</v>
      </c>
      <c r="H84" s="346" t="e">
        <f>((U84/$C$21)-$C$14-(7*$C$17*'0_ENTREE'!$G69))*$I$9/$L$9/'0_ENTREE'!$F69</f>
        <v>#DIV/0!</v>
      </c>
      <c r="I84" s="346" t="e">
        <f>((V84/$C$21)-$C$14-(7*$C$17*'0_ENTREE'!$G69))*$I$10/$L$10/'0_ENTREE'!$F69</f>
        <v>#DIV/0!</v>
      </c>
      <c r="J84" s="346" t="e">
        <f>((W84/$C$21)-$C$14-(7*$C$17*'0_ENTREE'!$G69))*$I$11/$L$11/'0_ENTREE'!$F69</f>
        <v>#DIV/0!</v>
      </c>
      <c r="K84" s="346" t="e">
        <f>((X84/$C$21)-$C$14-(7*$C$17*'0_ENTREE'!$G69))*$I$12/$L$12/'0_ENTREE'!$F69</f>
        <v>#DIV/0!</v>
      </c>
      <c r="L84" s="346">
        <f>((Y84/$C$21)-$C$14-(7*$C$17*'0_ENTREE'!$G69))*$I$13/$L$13/'0_ENTREE'!$F69</f>
        <v>0.39210737645846644</v>
      </c>
      <c r="M84" s="346">
        <f>((Z84/$C$21)-$C$14-(7*$C$17*'0_ENTREE'!$G69))*$I$14/$L$14/'0_ENTREE'!$F69</f>
        <v>2.3610480768801581</v>
      </c>
      <c r="N84" s="350">
        <f>((AA84/$C$21)-$C$14-(7*$C$17*'0_ENTREE'!$G69))*$I$15/$L$15/'0_ENTREE'!$F69</f>
        <v>3.4092858208336585</v>
      </c>
      <c r="P84" s="187">
        <v>1886</v>
      </c>
      <c r="Q84" s="188">
        <v>2415</v>
      </c>
      <c r="R84" s="188">
        <v>1042</v>
      </c>
      <c r="S84" s="188">
        <v>535</v>
      </c>
      <c r="T84" s="188">
        <v>196</v>
      </c>
      <c r="U84" s="188">
        <v>148</v>
      </c>
      <c r="V84" s="188">
        <v>133</v>
      </c>
      <c r="W84" s="188">
        <v>106</v>
      </c>
      <c r="X84" s="188">
        <v>154</v>
      </c>
      <c r="Y84" s="188">
        <v>431</v>
      </c>
      <c r="Z84" s="188">
        <v>884</v>
      </c>
      <c r="AA84" s="189">
        <v>1527</v>
      </c>
      <c r="AB84" s="189">
        <f t="shared" si="6"/>
        <v>9457</v>
      </c>
    </row>
    <row r="85" spans="1:28" x14ac:dyDescent="0.25">
      <c r="A85" s="174">
        <v>38</v>
      </c>
      <c r="B85" s="111" t="str">
        <f>'0_ENTREE'!B70</f>
        <v>GE2.2 - 301 - T4 - 79m²</v>
      </c>
      <c r="C85" s="349">
        <f>((P85/$C$21)-$C$14-(7*$C$17*'0_ENTREE'!$G70))*$I$4/$L$4/'0_ENTREE'!$F70</f>
        <v>-0.5631680882372756</v>
      </c>
      <c r="D85" s="346">
        <f>((Q85/$C$21)-$C$14-(7*$C$17*'0_ENTREE'!$G70))*$I$5/$L$5/'0_ENTREE'!$F70</f>
        <v>-0.41535256588200459</v>
      </c>
      <c r="E85" s="346">
        <f>((R85/$C$21)-$C$14-(7*$C$17*'0_ENTREE'!$G70))*$I$6/$L$6/'0_ENTREE'!$F70</f>
        <v>-0.58186431550272866</v>
      </c>
      <c r="F85" s="346">
        <f>((S85/$C$21)-$C$14-(7*$C$17*'0_ENTREE'!$G70))*$I$7/$L$7/'0_ENTREE'!$F70</f>
        <v>-0.44973089777908065</v>
      </c>
      <c r="G85" s="346">
        <f>((T85/$C$21)-$C$14-(7*$C$17*'0_ENTREE'!$G70))*$I$8/$L$8/'0_ENTREE'!$F70</f>
        <v>-0.94471208255650418</v>
      </c>
      <c r="H85" s="346" t="e">
        <f>((U85/$C$21)-$C$14-(7*$C$17*'0_ENTREE'!$G70))*$I$9/$L$9/'0_ENTREE'!$F70</f>
        <v>#DIV/0!</v>
      </c>
      <c r="I85" s="346" t="e">
        <f>((V85/$C$21)-$C$14-(7*$C$17*'0_ENTREE'!$G70))*$I$10/$L$10/'0_ENTREE'!$F70</f>
        <v>#DIV/0!</v>
      </c>
      <c r="J85" s="346" t="e">
        <f>((W85/$C$21)-$C$14-(7*$C$17*'0_ENTREE'!$G70))*$I$11/$L$11/'0_ENTREE'!$F70</f>
        <v>#DIV/0!</v>
      </c>
      <c r="K85" s="346" t="e">
        <f>((X85/$C$21)-$C$14-(7*$C$17*'0_ENTREE'!$G70))*$I$12/$L$12/'0_ENTREE'!$F70</f>
        <v>#DIV/0!</v>
      </c>
      <c r="L85" s="346">
        <f>((Y85/$C$21)-$C$14-(7*$C$17*'0_ENTREE'!$G70))*$I$13/$L$13/'0_ENTREE'!$F70</f>
        <v>-0.22845493765704264</v>
      </c>
      <c r="M85" s="346">
        <f>((Z85/$C$21)-$C$14-(7*$C$17*'0_ENTREE'!$G70))*$I$14/$L$14/'0_ENTREE'!$F70</f>
        <v>-0.60205293440736485</v>
      </c>
      <c r="N85" s="350">
        <f>((AA85/$C$21)-$C$14-(7*$C$17*'0_ENTREE'!$G70))*$I$15/$L$15/'0_ENTREE'!$F70</f>
        <v>-0.48345312947728952</v>
      </c>
      <c r="P85" s="187">
        <v>0</v>
      </c>
      <c r="Q85" s="188">
        <v>0</v>
      </c>
      <c r="R85" s="188">
        <v>0</v>
      </c>
      <c r="S85" s="188">
        <v>0</v>
      </c>
      <c r="T85" s="188">
        <v>0</v>
      </c>
      <c r="U85" s="188">
        <v>0</v>
      </c>
      <c r="V85" s="188">
        <v>0</v>
      </c>
      <c r="W85" s="188">
        <v>0</v>
      </c>
      <c r="X85" s="188">
        <v>0</v>
      </c>
      <c r="Y85" s="188">
        <v>0</v>
      </c>
      <c r="Z85" s="188">
        <v>0</v>
      </c>
      <c r="AA85" s="189">
        <v>0</v>
      </c>
      <c r="AB85" s="189">
        <f t="shared" si="6"/>
        <v>0</v>
      </c>
    </row>
    <row r="86" spans="1:28" x14ac:dyDescent="0.25">
      <c r="A86" s="174">
        <v>39</v>
      </c>
      <c r="B86" s="111" t="str">
        <f>'0_ENTREE'!B71</f>
        <v>GE2.2 - 311 - T4 - 74m²</v>
      </c>
      <c r="C86" s="349">
        <f>((P86/$C$21)-$C$14-(7*$C$17*'0_ENTREE'!$G71))*$I$4/$L$4/'0_ENTREE'!$F71</f>
        <v>4.3363788486297317</v>
      </c>
      <c r="D86" s="346">
        <f>((Q86/$C$21)-$C$14-(7*$C$17*'0_ENTREE'!$G71))*$I$5/$L$5/'0_ENTREE'!$F71</f>
        <v>4.1867351582386281</v>
      </c>
      <c r="E86" s="346">
        <f>((R86/$C$21)-$C$14-(7*$C$17*'0_ENTREE'!$G71))*$I$6/$L$6/'0_ENTREE'!$F71</f>
        <v>2.2731603103835019</v>
      </c>
      <c r="F86" s="346">
        <f>((S86/$C$21)-$C$14-(7*$C$17*'0_ENTREE'!$G71))*$I$7/$L$7/'0_ENTREE'!$F71</f>
        <v>1.066318551348747</v>
      </c>
      <c r="G86" s="346">
        <f>((T86/$C$21)-$C$14-(7*$C$17*'0_ENTREE'!$G71))*$I$8/$L$8/'0_ENTREE'!$F71</f>
        <v>0.35566455353091209</v>
      </c>
      <c r="H86" s="346" t="e">
        <f>((U86/$C$21)-$C$14-(7*$C$17*'0_ENTREE'!$G71))*$I$9/$L$9/'0_ENTREE'!$F71</f>
        <v>#DIV/0!</v>
      </c>
      <c r="I86" s="346" t="e">
        <f>((V86/$C$21)-$C$14-(7*$C$17*'0_ENTREE'!$G71))*$I$10/$L$10/'0_ENTREE'!$F71</f>
        <v>#DIV/0!</v>
      </c>
      <c r="J86" s="346" t="e">
        <f>((W86/$C$21)-$C$14-(7*$C$17*'0_ENTREE'!$G71))*$I$11/$L$11/'0_ENTREE'!$F71</f>
        <v>#DIV/0!</v>
      </c>
      <c r="K86" s="346" t="e">
        <f>((X86/$C$21)-$C$14-(7*$C$17*'0_ENTREE'!$G71))*$I$12/$L$12/'0_ENTREE'!$F71</f>
        <v>#DIV/0!</v>
      </c>
      <c r="L86" s="346">
        <f>((Y86/$C$21)-$C$14-(7*$C$17*'0_ENTREE'!$G71))*$I$13/$L$13/'0_ENTREE'!$F71</f>
        <v>0.40189655562904752</v>
      </c>
      <c r="M86" s="346">
        <f>((Z86/$C$21)-$C$14-(7*$C$17*'0_ENTREE'!$G71))*$I$14/$L$14/'0_ENTREE'!$F71</f>
        <v>2.6614435506490297</v>
      </c>
      <c r="N86" s="350">
        <f>((AA86/$C$21)-$C$14-(7*$C$17*'0_ENTREE'!$G71))*$I$15/$L$15/'0_ENTREE'!$F71</f>
        <v>3.9651208724700351</v>
      </c>
      <c r="P86" s="187">
        <v>1385</v>
      </c>
      <c r="Q86" s="188">
        <v>1774</v>
      </c>
      <c r="R86" s="188">
        <v>765</v>
      </c>
      <c r="S86" s="188">
        <v>514</v>
      </c>
      <c r="T86" s="188">
        <v>188</v>
      </c>
      <c r="U86" s="188">
        <v>142</v>
      </c>
      <c r="V86" s="188">
        <v>127</v>
      </c>
      <c r="W86" s="188">
        <v>102</v>
      </c>
      <c r="X86" s="188">
        <v>148</v>
      </c>
      <c r="Y86" s="188">
        <v>414</v>
      </c>
      <c r="Z86" s="188">
        <v>849</v>
      </c>
      <c r="AA86" s="189">
        <v>1467</v>
      </c>
      <c r="AB86" s="189">
        <f t="shared" si="6"/>
        <v>7875</v>
      </c>
    </row>
    <row r="87" spans="1:28" x14ac:dyDescent="0.25">
      <c r="A87" s="174">
        <v>40</v>
      </c>
      <c r="B87" s="111" t="str">
        <f>'0_ENTREE'!B72</f>
        <v>GE2.2 - 313 - T4 - 75m²</v>
      </c>
      <c r="C87" s="349">
        <f>((P87/$C$21)-$C$14-(7*$C$17*'0_ENTREE'!$G72))*$I$4/$L$4/'0_ENTREE'!$F72</f>
        <v>4.7851064752980532</v>
      </c>
      <c r="D87" s="346">
        <f>((Q87/$C$21)-$C$14-(7*$C$17*'0_ENTREE'!$G72))*$I$5/$L$5/'0_ENTREE'!$F72</f>
        <v>4.6073047168593728</v>
      </c>
      <c r="E87" s="346">
        <f>((R87/$C$21)-$C$14-(7*$C$17*'0_ENTREE'!$G72))*$I$6/$L$6/'0_ENTREE'!$F72</f>
        <v>2.5308764960481809</v>
      </c>
      <c r="F87" s="346">
        <f>((S87/$C$21)-$C$14-(7*$C$17*'0_ENTREE'!$G72))*$I$7/$L$7/'0_ENTREE'!$F72</f>
        <v>1.1715547779164019</v>
      </c>
      <c r="G87" s="346">
        <f>((T87/$C$21)-$C$14-(7*$C$17*'0_ENTREE'!$G72))*$I$8/$L$8/'0_ENTREE'!$F72</f>
        <v>0.4421684038716428</v>
      </c>
      <c r="H87" s="346" t="e">
        <f>((U87/$C$21)-$C$14-(7*$C$17*'0_ENTREE'!$G72))*$I$9/$L$9/'0_ENTREE'!$F72</f>
        <v>#DIV/0!</v>
      </c>
      <c r="I87" s="346" t="e">
        <f>((V87/$C$21)-$C$14-(7*$C$17*'0_ENTREE'!$G72))*$I$10/$L$10/'0_ENTREE'!$F72</f>
        <v>#DIV/0!</v>
      </c>
      <c r="J87" s="346" t="e">
        <f>((W87/$C$21)-$C$14-(7*$C$17*'0_ENTREE'!$G72))*$I$11/$L$11/'0_ENTREE'!$F72</f>
        <v>#DIV/0!</v>
      </c>
      <c r="K87" s="346" t="e">
        <f>((X87/$C$21)-$C$14-(7*$C$17*'0_ENTREE'!$G72))*$I$12/$L$12/'0_ENTREE'!$F72</f>
        <v>#DIV/0!</v>
      </c>
      <c r="L87" s="346">
        <f>((Y87/$C$21)-$C$14-(7*$C$17*'0_ENTREE'!$G72))*$I$13/$L$13/'0_ENTREE'!$F72</f>
        <v>0.44480636647113481</v>
      </c>
      <c r="M87" s="346">
        <f>((Z87/$C$21)-$C$14-(7*$C$17*'0_ENTREE'!$G72))*$I$14/$L$14/'0_ENTREE'!$F72</f>
        <v>2.8912667275494663</v>
      </c>
      <c r="N87" s="350">
        <f>((AA87/$C$21)-$C$14-(7*$C$17*'0_ENTREE'!$G72))*$I$15/$L$15/'0_ENTREE'!$F72</f>
        <v>4.2770560827000965</v>
      </c>
      <c r="P87" s="187">
        <v>1534</v>
      </c>
      <c r="Q87" s="188">
        <v>1964</v>
      </c>
      <c r="R87" s="188">
        <v>847</v>
      </c>
      <c r="S87" s="188">
        <v>558</v>
      </c>
      <c r="T87" s="188">
        <v>204</v>
      </c>
      <c r="U87" s="188">
        <v>154</v>
      </c>
      <c r="V87" s="188">
        <v>138</v>
      </c>
      <c r="W87" s="188">
        <v>111</v>
      </c>
      <c r="X87" s="188">
        <v>161</v>
      </c>
      <c r="Y87" s="188">
        <v>449</v>
      </c>
      <c r="Z87" s="188">
        <v>922</v>
      </c>
      <c r="AA87" s="189">
        <v>1592</v>
      </c>
      <c r="AB87" s="189">
        <f t="shared" si="6"/>
        <v>8634</v>
      </c>
    </row>
    <row r="88" spans="1:28" x14ac:dyDescent="0.25">
      <c r="A88" s="174">
        <v>41</v>
      </c>
      <c r="B88" s="111" t="str">
        <f>'0_ENTREE'!B73</f>
        <v>GE2.2 - 315 - T4 - 75m²</v>
      </c>
      <c r="C88" s="349">
        <f>((P88/$C$21)-$C$14-(7*$C$17*'0_ENTREE'!$G73))*$I$4/$L$4/'0_ENTREE'!$F73</f>
        <v>0.95719788734916356</v>
      </c>
      <c r="D88" s="346">
        <f>((Q88/$C$21)-$C$14-(7*$C$17*'0_ENTREE'!$G73))*$I$5/$L$5/'0_ENTREE'!$F73</f>
        <v>1.2074268016724965</v>
      </c>
      <c r="E88" s="346">
        <f>((R88/$C$21)-$C$14-(7*$C$17*'0_ENTREE'!$G73))*$I$6/$L$6/'0_ENTREE'!$F73</f>
        <v>0.71851274655341957</v>
      </c>
      <c r="F88" s="346">
        <f>((S88/$C$21)-$C$14-(7*$C$17*'0_ENTREE'!$G73))*$I$7/$L$7/'0_ENTREE'!$F73</f>
        <v>0.58249693402418878</v>
      </c>
      <c r="G88" s="346">
        <f>((T88/$C$21)-$C$14-(7*$C$17*'0_ENTREE'!$G73))*$I$8/$L$8/'0_ENTREE'!$F73</f>
        <v>2.2330119567055635</v>
      </c>
      <c r="H88" s="346" t="e">
        <f>((U88/$C$21)-$C$14-(7*$C$17*'0_ENTREE'!$G73))*$I$9/$L$9/'0_ENTREE'!$F73</f>
        <v>#DIV/0!</v>
      </c>
      <c r="I88" s="346" t="e">
        <f>((V88/$C$21)-$C$14-(7*$C$17*'0_ENTREE'!$G73))*$I$10/$L$10/'0_ENTREE'!$F73</f>
        <v>#DIV/0!</v>
      </c>
      <c r="J88" s="346" t="e">
        <f>((W88/$C$21)-$C$14-(7*$C$17*'0_ENTREE'!$G73))*$I$11/$L$11/'0_ENTREE'!$F73</f>
        <v>#DIV/0!</v>
      </c>
      <c r="K88" s="346" t="e">
        <f>((X88/$C$21)-$C$14-(7*$C$17*'0_ENTREE'!$G73))*$I$12/$L$12/'0_ENTREE'!$F73</f>
        <v>#DIV/0!</v>
      </c>
      <c r="L88" s="346">
        <f>((Y88/$C$21)-$C$14-(7*$C$17*'0_ENTREE'!$G73))*$I$13/$L$13/'0_ENTREE'!$F73</f>
        <v>0.29038122438276354</v>
      </c>
      <c r="M88" s="346">
        <f>((Z88/$C$21)-$C$14-(7*$C$17*'0_ENTREE'!$G73))*$I$14/$L$14/'0_ENTREE'!$F73</f>
        <v>0.92152676352566765</v>
      </c>
      <c r="N88" s="350">
        <f>((AA88/$C$21)-$C$14-(7*$C$17*'0_ENTREE'!$G73))*$I$15/$L$15/'0_ENTREE'!$F73</f>
        <v>1.0405911420386083</v>
      </c>
      <c r="P88" s="187">
        <v>360</v>
      </c>
      <c r="Q88" s="188">
        <v>560</v>
      </c>
      <c r="R88" s="188">
        <v>283</v>
      </c>
      <c r="S88" s="188">
        <v>293</v>
      </c>
      <c r="T88" s="188">
        <v>470</v>
      </c>
      <c r="U88" s="188">
        <v>161</v>
      </c>
      <c r="V88" s="188">
        <v>159</v>
      </c>
      <c r="W88" s="188">
        <v>126</v>
      </c>
      <c r="X88" s="188">
        <v>222</v>
      </c>
      <c r="Y88" s="188">
        <v>289</v>
      </c>
      <c r="Z88" s="188">
        <v>332</v>
      </c>
      <c r="AA88" s="189">
        <v>435</v>
      </c>
      <c r="AB88" s="189">
        <f t="shared" si="6"/>
        <v>3690</v>
      </c>
    </row>
    <row r="89" spans="1:28" x14ac:dyDescent="0.25">
      <c r="A89" s="174">
        <v>42</v>
      </c>
      <c r="B89" s="335"/>
      <c r="C89" s="394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P89" s="112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</row>
    <row r="90" spans="1:28" x14ac:dyDescent="0.25">
      <c r="A90" s="174">
        <v>43</v>
      </c>
      <c r="B90" s="111" t="str">
        <f>'0_ENTREE'!B75</f>
        <v>SO - 284 - T - 64m²</v>
      </c>
      <c r="C90" s="397">
        <f>((P90/$C$21)-$C$14-(7*$C$17*'0_ENTREE'!$G75))*$I$4/$L$4/'0_ENTREE'!$F75</f>
        <v>3.2332099770308802</v>
      </c>
      <c r="D90" s="398">
        <f>((Q90/$C$21)-$C$14-(7*$C$17*'0_ENTREE'!$G75))*$I$5/$L$5/'0_ENTREE'!$F75</f>
        <v>3.1162158440426899</v>
      </c>
      <c r="E90" s="398">
        <f>((R90/$C$21)-$C$14-(7*$C$17*'0_ENTREE'!$G75))*$I$6/$L$6/'0_ENTREE'!$F75</f>
        <v>1.6981789695564578</v>
      </c>
      <c r="F90" s="398">
        <f>((S90/$C$21)-$C$14-(7*$C$17*'0_ENTREE'!$G75))*$I$7/$L$7/'0_ENTREE'!$F75</f>
        <v>-0.24955878270226381</v>
      </c>
      <c r="G90" s="398">
        <f>((T90/$C$21)-$C$14-(7*$C$17*'0_ENTREE'!$G75))*$I$8/$L$8/'0_ENTREE'!$F75</f>
        <v>-0.52422726232773464</v>
      </c>
      <c r="H90" s="398" t="e">
        <f>((U90/$C$21)-$C$14-(7*$C$17*'0_ENTREE'!$G75))*$I$9/$L$9/'0_ENTREE'!$F75</f>
        <v>#DIV/0!</v>
      </c>
      <c r="I90" s="398" t="e">
        <f>((V90/$C$21)-$C$14-(7*$C$17*'0_ENTREE'!$G75))*$I$10/$L$10/'0_ENTREE'!$F75</f>
        <v>#DIV/0!</v>
      </c>
      <c r="J90" s="398" t="e">
        <f>((W90/$C$21)-$C$14-(7*$C$17*'0_ENTREE'!$G75))*$I$11/$L$11/'0_ENTREE'!$F75</f>
        <v>#DIV/0!</v>
      </c>
      <c r="K90" s="398" t="e">
        <f>((X90/$C$21)-$C$14-(7*$C$17*'0_ENTREE'!$G75))*$I$12/$L$12/'0_ENTREE'!$F75</f>
        <v>#DIV/0!</v>
      </c>
      <c r="L90" s="398">
        <f>((Y90/$C$21)-$C$14-(7*$C$17*'0_ENTREE'!$G75))*$I$13/$L$13/'0_ENTREE'!$F75</f>
        <v>-0.12677122347066164</v>
      </c>
      <c r="M90" s="398">
        <f>((Z90/$C$21)-$C$14-(7*$C$17*'0_ENTREE'!$G75))*$I$14/$L$14/'0_ENTREE'!$F75</f>
        <v>-0.33408333333333329</v>
      </c>
      <c r="N90" s="399">
        <f>((AA90/$C$21)-$C$14-(7*$C$17*'0_ENTREE'!$G75))*$I$15/$L$15/'0_ENTREE'!$F75</f>
        <v>-0.26827148208353402</v>
      </c>
      <c r="P90" s="184">
        <v>890</v>
      </c>
      <c r="Q90" s="185">
        <v>1139</v>
      </c>
      <c r="R90" s="185">
        <v>491</v>
      </c>
      <c r="S90" s="185">
        <v>0</v>
      </c>
      <c r="T90" s="185">
        <v>0</v>
      </c>
      <c r="U90" s="185">
        <v>0</v>
      </c>
      <c r="V90" s="185">
        <v>0</v>
      </c>
      <c r="W90" s="185">
        <v>0</v>
      </c>
      <c r="X90" s="185">
        <v>0</v>
      </c>
      <c r="Y90" s="185">
        <v>0</v>
      </c>
      <c r="Z90" s="185">
        <v>0</v>
      </c>
      <c r="AA90" s="186">
        <v>0</v>
      </c>
      <c r="AB90" s="186">
        <f t="shared" ref="AB90:AB95" si="7">SUM(P90:AA90)</f>
        <v>2520</v>
      </c>
    </row>
    <row r="91" spans="1:28" x14ac:dyDescent="0.25">
      <c r="A91" s="174">
        <v>44</v>
      </c>
      <c r="B91" s="111" t="str">
        <f>'0_ENTREE'!B76</f>
        <v>SO - 287 - T - 81m²</v>
      </c>
      <c r="C91" s="397">
        <f>((P91/$C$21)-$C$14-(7*$C$17*'0_ENTREE'!$G76))*$I$4/$L$4/'0_ENTREE'!$F76</f>
        <v>6.8797296219367254</v>
      </c>
      <c r="D91" s="398">
        <f>((Q91/$C$21)-$C$14-(7*$C$17*'0_ENTREE'!$G76))*$I$5/$L$5/'0_ENTREE'!$F76</f>
        <v>6.5458928413218098</v>
      </c>
      <c r="E91" s="398">
        <f>((R91/$C$21)-$C$14-(7*$C$17*'0_ENTREE'!$G76))*$I$6/$L$6/'0_ENTREE'!$F76</f>
        <v>3.8102778947267724</v>
      </c>
      <c r="F91" s="398">
        <f>((S91/$C$21)-$C$14-(7*$C$17*'0_ENTREE'!$G76))*$I$7/$L$7/'0_ENTREE'!$F76</f>
        <v>2.0048702593678032</v>
      </c>
      <c r="G91" s="398">
        <f>((T91/$C$21)-$C$14-(7*$C$17*'0_ENTREE'!$G76))*$I$8/$L$8/'0_ENTREE'!$F76</f>
        <v>1.28081774846675</v>
      </c>
      <c r="H91" s="398" t="e">
        <f>((U91/$C$21)-$C$14-(7*$C$17*'0_ENTREE'!$G76))*$I$9/$L$9/'0_ENTREE'!$F76</f>
        <v>#DIV/0!</v>
      </c>
      <c r="I91" s="398" t="e">
        <f>((V91/$C$21)-$C$14-(7*$C$17*'0_ENTREE'!$G76))*$I$10/$L$10/'0_ENTREE'!$F76</f>
        <v>#DIV/0!</v>
      </c>
      <c r="J91" s="398" t="e">
        <f>((W91/$C$21)-$C$14-(7*$C$17*'0_ENTREE'!$G76))*$I$11/$L$11/'0_ENTREE'!$F76</f>
        <v>#DIV/0!</v>
      </c>
      <c r="K91" s="398" t="e">
        <f>((X91/$C$21)-$C$14-(7*$C$17*'0_ENTREE'!$G76))*$I$12/$L$12/'0_ENTREE'!$F76</f>
        <v>#DIV/0!</v>
      </c>
      <c r="L91" s="398">
        <f>((Y91/$C$21)-$C$14-(7*$C$17*'0_ENTREE'!$G76))*$I$13/$L$13/'0_ENTREE'!$F76</f>
        <v>0.80007964000689979</v>
      </c>
      <c r="M91" s="398">
        <f>((Z91/$C$21)-$C$14-(7*$C$17*'0_ENTREE'!$G76))*$I$14/$L$14/'0_ENTREE'!$F76</f>
        <v>4.6087823337381932</v>
      </c>
      <c r="N91" s="399">
        <f>((AA91/$C$21)-$C$14-(7*$C$17*'0_ENTREE'!$G76))*$I$15/$L$15/'0_ENTREE'!$F76</f>
        <v>6.5463548152378372</v>
      </c>
      <c r="P91" s="187">
        <v>2264</v>
      </c>
      <c r="Q91" s="188">
        <v>2898</v>
      </c>
      <c r="R91" s="188">
        <v>1250</v>
      </c>
      <c r="S91" s="188">
        <v>876</v>
      </c>
      <c r="T91" s="188">
        <v>321</v>
      </c>
      <c r="U91" s="188">
        <v>242</v>
      </c>
      <c r="V91" s="188">
        <v>217</v>
      </c>
      <c r="W91" s="188">
        <v>174</v>
      </c>
      <c r="X91" s="188">
        <v>252</v>
      </c>
      <c r="Y91" s="188">
        <v>705</v>
      </c>
      <c r="Z91" s="188">
        <v>1448</v>
      </c>
      <c r="AA91" s="189">
        <v>2501</v>
      </c>
      <c r="AB91" s="189">
        <f t="shared" si="7"/>
        <v>13148</v>
      </c>
    </row>
    <row r="92" spans="1:28" x14ac:dyDescent="0.25">
      <c r="A92" s="174">
        <v>45</v>
      </c>
      <c r="B92" s="111" t="str">
        <f>'0_ENTREE'!B77</f>
        <v>SO - 290 - T - 40m²</v>
      </c>
      <c r="C92" s="397">
        <f>((P92/$C$21)-$C$14-(7*$C$17*'0_ENTREE'!$G77))*$I$4/$L$4/'0_ENTREE'!$F77</f>
        <v>5.090269795290717</v>
      </c>
      <c r="D92" s="398">
        <f>((Q92/$C$21)-$C$14-(7*$C$17*'0_ENTREE'!$G77))*$I$5/$L$5/'0_ENTREE'!$F77</f>
        <v>4.910725451405578</v>
      </c>
      <c r="E92" s="398">
        <f>((R92/$C$21)-$C$14-(7*$C$17*'0_ENTREE'!$G77))*$I$6/$L$6/'0_ENTREE'!$F77</f>
        <v>2.6709847904224544</v>
      </c>
      <c r="F92" s="398">
        <f>((S92/$C$21)-$C$14-(7*$C$17*'0_ENTREE'!$G77))*$I$7/$L$7/'0_ENTREE'!$F77</f>
        <v>1.2194407789078945</v>
      </c>
      <c r="G92" s="398">
        <f>((T92/$C$21)-$C$14-(7*$C$17*'0_ENTREE'!$G77))*$I$8/$L$8/'0_ENTREE'!$F77</f>
        <v>0.4123051919991032</v>
      </c>
      <c r="H92" s="398" t="e">
        <f>((U92/$C$21)-$C$14-(7*$C$17*'0_ENTREE'!$G77))*$I$9/$L$9/'0_ENTREE'!$F77</f>
        <v>#DIV/0!</v>
      </c>
      <c r="I92" s="398" t="e">
        <f>((V92/$C$21)-$C$14-(7*$C$17*'0_ENTREE'!$G77))*$I$10/$L$10/'0_ENTREE'!$F77</f>
        <v>#DIV/0!</v>
      </c>
      <c r="J92" s="398" t="e">
        <f>((W92/$C$21)-$C$14-(7*$C$17*'0_ENTREE'!$G77))*$I$11/$L$11/'0_ENTREE'!$F77</f>
        <v>#DIV/0!</v>
      </c>
      <c r="K92" s="398" t="e">
        <f>((X92/$C$21)-$C$14-(7*$C$17*'0_ENTREE'!$G77))*$I$12/$L$12/'0_ENTREE'!$F77</f>
        <v>#DIV/0!</v>
      </c>
      <c r="L92" s="398">
        <f>((Y92/$C$21)-$C$14-(7*$C$17*'0_ENTREE'!$G77))*$I$13/$L$13/'0_ENTREE'!$F77</f>
        <v>0.45913310416773551</v>
      </c>
      <c r="M92" s="398">
        <f>((Z92/$C$21)-$C$14-(7*$C$17*'0_ENTREE'!$G77))*$I$14/$L$14/'0_ENTREE'!$F77</f>
        <v>3.0498651722706511</v>
      </c>
      <c r="N92" s="399">
        <f>((AA92/$C$21)-$C$14-(7*$C$17*'0_ENTREE'!$G77))*$I$15/$L$15/'0_ENTREE'!$F77</f>
        <v>4.5393891424403439</v>
      </c>
      <c r="P92" s="187">
        <v>877</v>
      </c>
      <c r="Q92" s="188">
        <v>1123</v>
      </c>
      <c r="R92" s="188">
        <v>484</v>
      </c>
      <c r="S92" s="188">
        <v>318</v>
      </c>
      <c r="T92" s="188">
        <v>117</v>
      </c>
      <c r="U92" s="188">
        <v>88</v>
      </c>
      <c r="V92" s="188">
        <v>79</v>
      </c>
      <c r="W92" s="188">
        <v>63</v>
      </c>
      <c r="X92" s="188">
        <v>92</v>
      </c>
      <c r="Y92" s="188">
        <v>256</v>
      </c>
      <c r="Z92" s="188">
        <v>526</v>
      </c>
      <c r="AA92" s="189">
        <v>908</v>
      </c>
      <c r="AB92" s="189">
        <f t="shared" si="7"/>
        <v>4931</v>
      </c>
    </row>
    <row r="93" spans="1:28" x14ac:dyDescent="0.25">
      <c r="A93" s="174">
        <v>46</v>
      </c>
      <c r="B93" s="111" t="str">
        <f>'0_ENTREE'!B78</f>
        <v>SO - 305 - T - 66m²</v>
      </c>
      <c r="C93" s="397">
        <f>((P93/$C$21)-$C$14-(7*$C$17*'0_ENTREE'!$G78))*$I$4/$L$4/'0_ENTREE'!$F78</f>
        <v>6.2024446760363006</v>
      </c>
      <c r="D93" s="398">
        <f>((Q93/$C$21)-$C$14-(7*$C$17*'0_ENTREE'!$G78))*$I$5/$L$5/'0_ENTREE'!$F78</f>
        <v>5.9962503364424098</v>
      </c>
      <c r="E93" s="398">
        <f>((R93/$C$21)-$C$14-(7*$C$17*'0_ENTREE'!$G78))*$I$6/$L$6/'0_ENTREE'!$F78</f>
        <v>3.2271480667791503</v>
      </c>
      <c r="F93" s="398">
        <f>((S93/$C$21)-$C$14-(7*$C$17*'0_ENTREE'!$G78))*$I$7/$L$7/'0_ENTREE'!$F78</f>
        <v>1.210918923114386</v>
      </c>
      <c r="G93" s="398">
        <f>((T93/$C$21)-$C$14-(7*$C$17*'0_ENTREE'!$G78))*$I$8/$L$8/'0_ENTREE'!$F78</f>
        <v>0.2171611932750033</v>
      </c>
      <c r="H93" s="398" t="e">
        <f>((U93/$C$21)-$C$14-(7*$C$17*'0_ENTREE'!$G78))*$I$9/$L$9/'0_ENTREE'!$F78</f>
        <v>#DIV/0!</v>
      </c>
      <c r="I93" s="398" t="e">
        <f>((V93/$C$21)-$C$14-(7*$C$17*'0_ENTREE'!$G78))*$I$10/$L$10/'0_ENTREE'!$F78</f>
        <v>#DIV/0!</v>
      </c>
      <c r="J93" s="398" t="e">
        <f>((W93/$C$21)-$C$14-(7*$C$17*'0_ENTREE'!$G78))*$I$11/$L$11/'0_ENTREE'!$F78</f>
        <v>#DIV/0!</v>
      </c>
      <c r="K93" s="398" t="e">
        <f>((X93/$C$21)-$C$14-(7*$C$17*'0_ENTREE'!$G78))*$I$12/$L$12/'0_ENTREE'!$F78</f>
        <v>#DIV/0!</v>
      </c>
      <c r="L93" s="398">
        <f>((Y93/$C$21)-$C$14-(7*$C$17*'0_ENTREE'!$G78))*$I$13/$L$13/'0_ENTREE'!$F78</f>
        <v>0.44116989504091225</v>
      </c>
      <c r="M93" s="398">
        <f>((Z93/$C$21)-$C$14-(7*$C$17*'0_ENTREE'!$G78))*$I$14/$L$14/'0_ENTREE'!$F78</f>
        <v>3.1450101513264652</v>
      </c>
      <c r="N93" s="399">
        <f>((AA93/$C$21)-$C$14-(7*$C$17*'0_ENTREE'!$G78))*$I$15/$L$15/'0_ENTREE'!$F78</f>
        <v>4.7839325354965503</v>
      </c>
      <c r="P93" s="187">
        <v>1780</v>
      </c>
      <c r="Q93" s="188">
        <v>2279</v>
      </c>
      <c r="R93" s="188">
        <v>983</v>
      </c>
      <c r="S93" s="188">
        <v>567</v>
      </c>
      <c r="T93" s="188">
        <v>208</v>
      </c>
      <c r="U93" s="188">
        <v>157</v>
      </c>
      <c r="V93" s="188">
        <v>140</v>
      </c>
      <c r="W93" s="188">
        <v>113</v>
      </c>
      <c r="X93" s="188">
        <v>163</v>
      </c>
      <c r="Y93" s="188">
        <v>456</v>
      </c>
      <c r="Z93" s="188">
        <v>936</v>
      </c>
      <c r="AA93" s="189">
        <v>1617</v>
      </c>
      <c r="AB93" s="189">
        <f t="shared" si="7"/>
        <v>9399</v>
      </c>
    </row>
    <row r="94" spans="1:28" x14ac:dyDescent="0.25">
      <c r="A94" s="174">
        <v>47</v>
      </c>
      <c r="B94" s="111" t="str">
        <f>'0_ENTREE'!B79</f>
        <v>SO - 309 - T - 66m²</v>
      </c>
      <c r="C94" s="397">
        <f>((P94/$C$21)-$C$14-(7*$C$17*'0_ENTREE'!$G79))*$I$4/$L$4/'0_ENTREE'!$F79</f>
        <v>9.7799802522700006</v>
      </c>
      <c r="D94" s="398">
        <f>((Q94/$C$21)-$C$14-(7*$C$17*'0_ENTREE'!$G79))*$I$5/$L$5/'0_ENTREE'!$F79</f>
        <v>9.2958084599853787</v>
      </c>
      <c r="E94" s="398">
        <f>((R94/$C$21)-$C$14-(7*$C$17*'0_ENTREE'!$G79))*$I$6/$L$6/'0_ENTREE'!$F79</f>
        <v>5.4386222756291573</v>
      </c>
      <c r="F94" s="398">
        <f>((S94/$C$21)-$C$14-(7*$C$17*'0_ENTREE'!$G79))*$I$7/$L$7/'0_ENTREE'!$F79</f>
        <v>2.3648855036243948</v>
      </c>
      <c r="G94" s="398">
        <f>((T94/$C$21)-$C$14-(7*$C$17*'0_ENTREE'!$G79))*$I$8/$L$8/'0_ENTREE'!$F79</f>
        <v>1.5006267191221263</v>
      </c>
      <c r="H94" s="398" t="e">
        <f>((U94/$C$21)-$C$14-(7*$C$17*'0_ENTREE'!$G79))*$I$9/$L$9/'0_ENTREE'!$F79</f>
        <v>#DIV/0!</v>
      </c>
      <c r="I94" s="398" t="e">
        <f>((V94/$C$21)-$C$14-(7*$C$17*'0_ENTREE'!$G79))*$I$10/$L$10/'0_ENTREE'!$F79</f>
        <v>#DIV/0!</v>
      </c>
      <c r="J94" s="398" t="e">
        <f>((W94/$C$21)-$C$14-(7*$C$17*'0_ENTREE'!$G79))*$I$11/$L$11/'0_ENTREE'!$F79</f>
        <v>#DIV/0!</v>
      </c>
      <c r="K94" s="398" t="e">
        <f>((X94/$C$21)-$C$14-(7*$C$17*'0_ENTREE'!$G79))*$I$12/$L$12/'0_ENTREE'!$F79</f>
        <v>#DIV/0!</v>
      </c>
      <c r="L94" s="398">
        <f>((Y94/$C$21)-$C$14-(7*$C$17*'0_ENTREE'!$G79))*$I$13/$L$13/'0_ENTREE'!$F79</f>
        <v>0.94430415695615022</v>
      </c>
      <c r="M94" s="398">
        <f>((Z94/$C$21)-$C$14-(7*$C$17*'0_ENTREE'!$G79))*$I$14/$L$14/'0_ENTREE'!$F79</f>
        <v>5.4456045385360454</v>
      </c>
      <c r="N94" s="399">
        <f>((AA94/$C$21)-$C$14-(7*$C$17*'0_ENTREE'!$G79))*$I$15/$L$15/'0_ENTREE'!$F79</f>
        <v>7.7423199369681601</v>
      </c>
      <c r="P94" s="187">
        <v>2610</v>
      </c>
      <c r="Q94" s="188">
        <v>3341</v>
      </c>
      <c r="R94" s="188">
        <v>1441</v>
      </c>
      <c r="S94" s="188">
        <v>845</v>
      </c>
      <c r="T94" s="188">
        <v>310</v>
      </c>
      <c r="U94" s="188">
        <v>234</v>
      </c>
      <c r="V94" s="188">
        <v>210</v>
      </c>
      <c r="W94" s="188">
        <v>168</v>
      </c>
      <c r="X94" s="188">
        <v>244</v>
      </c>
      <c r="Y94" s="188">
        <v>681</v>
      </c>
      <c r="Z94" s="188">
        <v>1397</v>
      </c>
      <c r="AA94" s="189">
        <v>2413</v>
      </c>
      <c r="AB94" s="189">
        <f t="shared" si="7"/>
        <v>13894</v>
      </c>
    </row>
    <row r="95" spans="1:28" x14ac:dyDescent="0.25">
      <c r="A95" s="174">
        <v>48</v>
      </c>
      <c r="B95" s="111" t="str">
        <f>'0_ENTREE'!B80</f>
        <v>SO - 310 - T - 54m²</v>
      </c>
      <c r="C95" s="397">
        <f>((P95/$C$21)-$C$14-(7*$C$17*'0_ENTREE'!$G80))*$I$4/$L$4/'0_ENTREE'!$F80</f>
        <v>13.634241151252743</v>
      </c>
      <c r="D95" s="398">
        <f>((Q95/$C$21)-$C$14-(7*$C$17*'0_ENTREE'!$G80))*$I$5/$L$5/'0_ENTREE'!$F80</f>
        <v>12.953001722929605</v>
      </c>
      <c r="E95" s="398">
        <f>((R95/$C$21)-$C$14-(7*$C$17*'0_ENTREE'!$G80))*$I$6/$L$6/'0_ENTREE'!$F80</f>
        <v>7.6082639973004014</v>
      </c>
      <c r="F95" s="398">
        <f>((S95/$C$21)-$C$14-(7*$C$17*'0_ENTREE'!$G80))*$I$7/$L$7/'0_ENTREE'!$F80</f>
        <v>3.2787913146251246</v>
      </c>
      <c r="G95" s="398">
        <f>((T95/$C$21)-$C$14-(7*$C$17*'0_ENTREE'!$G80))*$I$8/$L$8/'0_ENTREE'!$F80</f>
        <v>2.1271638756587223</v>
      </c>
      <c r="H95" s="398" t="e">
        <f>((U95/$C$21)-$C$14-(7*$C$17*'0_ENTREE'!$G80))*$I$9/$L$9/'0_ENTREE'!$F80</f>
        <v>#DIV/0!</v>
      </c>
      <c r="I95" s="398" t="e">
        <f>((V95/$C$21)-$C$14-(7*$C$17*'0_ENTREE'!$G80))*$I$10/$L$10/'0_ENTREE'!$F80</f>
        <v>#DIV/0!</v>
      </c>
      <c r="J95" s="398" t="e">
        <f>((W95/$C$21)-$C$14-(7*$C$17*'0_ENTREE'!$G80))*$I$11/$L$11/'0_ENTREE'!$F80</f>
        <v>#DIV/0!</v>
      </c>
      <c r="K95" s="398" t="e">
        <f>((X95/$C$21)-$C$14-(7*$C$17*'0_ENTREE'!$G80))*$I$12/$L$12/'0_ENTREE'!$F80</f>
        <v>#DIV/0!</v>
      </c>
      <c r="L95" s="398">
        <f>((Y95/$C$21)-$C$14-(7*$C$17*'0_ENTREE'!$G80))*$I$13/$L$13/'0_ENTREE'!$F80</f>
        <v>1.3112134692111777</v>
      </c>
      <c r="M95" s="398">
        <f>((Z95/$C$21)-$C$14-(7*$C$17*'0_ENTREE'!$G80))*$I$14/$L$14/'0_ENTREE'!$F80</f>
        <v>7.5088065433636197</v>
      </c>
      <c r="N95" s="399">
        <f>((AA95/$C$21)-$C$14-(7*$C$17*'0_ENTREE'!$G80))*$I$15/$L$15/'0_ENTREE'!$F80</f>
        <v>10.646420130190656</v>
      </c>
      <c r="P95" s="187">
        <v>2966</v>
      </c>
      <c r="Q95" s="188">
        <v>3798</v>
      </c>
      <c r="R95" s="188">
        <v>1638</v>
      </c>
      <c r="S95" s="188">
        <v>948</v>
      </c>
      <c r="T95" s="188">
        <v>347</v>
      </c>
      <c r="U95" s="188">
        <v>262</v>
      </c>
      <c r="V95" s="188">
        <v>235</v>
      </c>
      <c r="W95" s="188">
        <v>188</v>
      </c>
      <c r="X95" s="188">
        <v>273</v>
      </c>
      <c r="Y95" s="188">
        <v>763</v>
      </c>
      <c r="Z95" s="188">
        <v>1566</v>
      </c>
      <c r="AA95" s="189">
        <v>2705</v>
      </c>
      <c r="AB95" s="189">
        <f t="shared" si="7"/>
        <v>15689</v>
      </c>
    </row>
    <row r="96" spans="1:28" x14ac:dyDescent="0.25">
      <c r="A96" s="175"/>
    </row>
    <row r="97" spans="1:7" x14ac:dyDescent="0.25">
      <c r="A97" s="175"/>
    </row>
    <row r="98" spans="1:7" x14ac:dyDescent="0.25">
      <c r="A98" s="175"/>
    </row>
    <row r="99" spans="1:7" x14ac:dyDescent="0.25">
      <c r="A99" s="175"/>
    </row>
    <row r="100" spans="1:7" x14ac:dyDescent="0.25">
      <c r="A100" s="175"/>
      <c r="B100" s="336" t="s">
        <v>255</v>
      </c>
      <c r="C100" s="148" t="s">
        <v>256</v>
      </c>
    </row>
    <row r="101" spans="1:7" x14ac:dyDescent="0.25">
      <c r="A101" s="175"/>
      <c r="B101" s="163"/>
      <c r="C101" s="174"/>
    </row>
    <row r="102" spans="1:7" s="19" customFormat="1" x14ac:dyDescent="0.25">
      <c r="A102" s="179"/>
      <c r="B102" s="66" t="s">
        <v>241</v>
      </c>
      <c r="C102" s="70" t="s">
        <v>252</v>
      </c>
      <c r="E102" s="71" t="s">
        <v>253</v>
      </c>
      <c r="G102" s="412" t="s">
        <v>254</v>
      </c>
    </row>
    <row r="103" spans="1:7" x14ac:dyDescent="0.25">
      <c r="A103" s="174">
        <v>1</v>
      </c>
      <c r="B103" s="68" t="str">
        <f t="shared" ref="B103:B115" si="8">B48</f>
        <v>GC - 274 - T4 - 83m²</v>
      </c>
      <c r="C103" s="428">
        <v>54.399999999999864</v>
      </c>
      <c r="E103" s="182">
        <v>1899.9999999999986</v>
      </c>
      <c r="G103" s="288">
        <v>0.32610441767068249</v>
      </c>
    </row>
    <row r="104" spans="1:7" x14ac:dyDescent="0.25">
      <c r="A104" s="174">
        <v>2</v>
      </c>
      <c r="B104" s="68" t="str">
        <f t="shared" si="8"/>
        <v>GC - 277 - T2 - 53m²</v>
      </c>
      <c r="C104" s="428">
        <v>40</v>
      </c>
      <c r="E104" s="182">
        <v>1100.0000000000014</v>
      </c>
      <c r="G104" s="288">
        <v>0.34046121593291429</v>
      </c>
    </row>
    <row r="105" spans="1:7" x14ac:dyDescent="0.25">
      <c r="A105" s="174">
        <v>3</v>
      </c>
      <c r="B105" s="68" t="str">
        <f t="shared" si="8"/>
        <v>GC - 281 - T3 - 71m²</v>
      </c>
      <c r="C105" s="428">
        <v>36.200000000000045</v>
      </c>
      <c r="E105" s="182">
        <v>2800.0000000000041</v>
      </c>
      <c r="G105" s="288">
        <v>1.0801251956181528</v>
      </c>
    </row>
    <row r="106" spans="1:7" x14ac:dyDescent="0.25">
      <c r="A106" s="174">
        <v>4</v>
      </c>
      <c r="B106" s="68" t="str">
        <f t="shared" si="8"/>
        <v>GC - 283 - T3 - 70m²</v>
      </c>
      <c r="C106" s="428">
        <v>27.200000000000045</v>
      </c>
      <c r="E106" s="182">
        <v>1000</v>
      </c>
      <c r="G106" s="288">
        <v>0.19333333333333322</v>
      </c>
    </row>
    <row r="107" spans="1:7" x14ac:dyDescent="0.25">
      <c r="A107" s="174">
        <v>5</v>
      </c>
      <c r="B107" s="68" t="str">
        <f t="shared" si="8"/>
        <v>GC - 285 - T3 - 64m²</v>
      </c>
      <c r="C107" s="428">
        <v>39</v>
      </c>
      <c r="E107" s="182">
        <v>1299.9999999999973</v>
      </c>
      <c r="G107" s="288">
        <v>-0.21145833336615596</v>
      </c>
    </row>
    <row r="108" spans="1:7" x14ac:dyDescent="0.25">
      <c r="A108" s="174">
        <v>6</v>
      </c>
      <c r="B108" s="68" t="str">
        <f t="shared" si="8"/>
        <v>GC - 286 - T3 - 68m²</v>
      </c>
      <c r="C108" s="428">
        <v>23.799999999999955</v>
      </c>
      <c r="E108" s="182">
        <v>3100.0000000000014</v>
      </c>
      <c r="G108" s="288">
        <v>0.86241830065359526</v>
      </c>
    </row>
    <row r="109" spans="1:7" x14ac:dyDescent="0.25">
      <c r="A109" s="174">
        <v>7</v>
      </c>
      <c r="B109" s="68" t="str">
        <f t="shared" si="8"/>
        <v>GC - 289 - T3 - 76m²</v>
      </c>
      <c r="C109" s="428">
        <v>23.799999999999955</v>
      </c>
      <c r="E109" s="182">
        <v>500</v>
      </c>
      <c r="G109" s="288">
        <v>0.11871345029239724</v>
      </c>
    </row>
    <row r="110" spans="1:7" x14ac:dyDescent="0.25">
      <c r="A110" s="174">
        <v>8</v>
      </c>
      <c r="B110" s="68" t="str">
        <f t="shared" si="8"/>
        <v>GC - 303 - T4 - 81m²</v>
      </c>
      <c r="C110" s="428">
        <v>93</v>
      </c>
      <c r="E110" s="182">
        <v>2799.9999999999973</v>
      </c>
      <c r="G110" s="288">
        <v>0.33415637860082281</v>
      </c>
    </row>
    <row r="111" spans="1:7" x14ac:dyDescent="0.25">
      <c r="A111" s="174">
        <v>9</v>
      </c>
      <c r="B111" s="68" t="str">
        <f t="shared" si="8"/>
        <v>GC - 304 - T3 - 66m²</v>
      </c>
      <c r="C111" s="428">
        <v>21.400000000000091</v>
      </c>
      <c r="E111" s="182">
        <v>1899.9999999999986</v>
      </c>
      <c r="G111" s="288">
        <v>0.61515151515151412</v>
      </c>
    </row>
    <row r="112" spans="1:7" x14ac:dyDescent="0.25">
      <c r="A112" s="174">
        <v>10</v>
      </c>
      <c r="B112" s="68" t="str">
        <f t="shared" si="8"/>
        <v>GC - 306 - T3 - 66m²</v>
      </c>
      <c r="C112" s="428">
        <v>19.5</v>
      </c>
      <c r="E112" s="182">
        <v>1100.0000000000014</v>
      </c>
      <c r="G112" s="288">
        <v>0.27340067340067359</v>
      </c>
    </row>
    <row r="113" spans="1:7" x14ac:dyDescent="0.25">
      <c r="A113" s="174">
        <v>11</v>
      </c>
      <c r="B113" s="68" t="str">
        <f t="shared" si="8"/>
        <v>GC - 307 - T3 - 66m²</v>
      </c>
      <c r="C113" s="428">
        <v>56.900000000000091</v>
      </c>
      <c r="E113" s="182">
        <v>3099.9999999999945</v>
      </c>
      <c r="G113" s="288">
        <v>0</v>
      </c>
    </row>
    <row r="114" spans="1:7" x14ac:dyDescent="0.25">
      <c r="A114" s="174">
        <v>12</v>
      </c>
      <c r="B114" s="68" t="str">
        <f t="shared" si="8"/>
        <v>GC - 308 - T3 - 66m²</v>
      </c>
      <c r="C114" s="428">
        <v>25.100000000000136</v>
      </c>
      <c r="E114" s="182">
        <v>2699.9999999999991</v>
      </c>
      <c r="G114" s="288">
        <v>0.68350168350168339</v>
      </c>
    </row>
    <row r="115" spans="1:7" x14ac:dyDescent="0.25">
      <c r="A115" s="174">
        <v>13</v>
      </c>
      <c r="B115" s="68" t="str">
        <f t="shared" si="8"/>
        <v>GC - 314 - T4 - 75m²</v>
      </c>
      <c r="C115" s="428">
        <v>120.29999999999973</v>
      </c>
      <c r="E115" s="182">
        <v>4899.9999999999918</v>
      </c>
      <c r="G115" s="288">
        <v>1.5638518518518527</v>
      </c>
    </row>
    <row r="116" spans="1:7" x14ac:dyDescent="0.25">
      <c r="A116" s="174">
        <v>14</v>
      </c>
      <c r="B116" s="472" t="s">
        <v>345</v>
      </c>
      <c r="C116" s="469">
        <v>44.661538461538456</v>
      </c>
      <c r="D116" s="21"/>
      <c r="E116" s="470">
        <v>2169.2307692307681</v>
      </c>
      <c r="F116" s="21"/>
      <c r="G116" s="471">
        <v>0.47536612943395889</v>
      </c>
    </row>
    <row r="117" spans="1:7" x14ac:dyDescent="0.25">
      <c r="A117" s="174">
        <v>15</v>
      </c>
      <c r="B117" s="68" t="str">
        <f t="shared" ref="B117:B129" si="9">B62</f>
        <v>GE2.1 - 275 - T3 - 74m²</v>
      </c>
      <c r="C117" s="428">
        <v>59.100000000000136</v>
      </c>
      <c r="E117" s="182">
        <v>2699.9999999999959</v>
      </c>
      <c r="G117" s="288">
        <v>0.91441441441441429</v>
      </c>
    </row>
    <row r="118" spans="1:7" x14ac:dyDescent="0.25">
      <c r="A118" s="174">
        <v>16</v>
      </c>
      <c r="B118" s="68" t="str">
        <f t="shared" si="9"/>
        <v>GE2.1 - 278 - T2 - 57m²</v>
      </c>
      <c r="C118" s="428">
        <v>3.8999999999999773</v>
      </c>
      <c r="E118" s="182">
        <v>300.00000000000068</v>
      </c>
      <c r="G118" s="288">
        <v>7.9142300194931833E-2</v>
      </c>
    </row>
    <row r="119" spans="1:7" x14ac:dyDescent="0.25">
      <c r="A119" s="174">
        <v>17</v>
      </c>
      <c r="B119" s="68" t="str">
        <f t="shared" si="9"/>
        <v>GE2.1 - 280 - T3 - 66m²</v>
      </c>
      <c r="C119" s="428">
        <v>0.10000000000000009</v>
      </c>
      <c r="E119" s="182">
        <v>0</v>
      </c>
      <c r="G119" s="288">
        <v>0</v>
      </c>
    </row>
    <row r="120" spans="1:7" x14ac:dyDescent="0.25">
      <c r="A120" s="174">
        <v>18</v>
      </c>
      <c r="B120" s="68" t="str">
        <f t="shared" si="9"/>
        <v>GE2.1 - 282 - T4 - 78m²</v>
      </c>
      <c r="C120" s="428">
        <v>25.899999999999977</v>
      </c>
      <c r="E120" s="182">
        <v>599.99999999999966</v>
      </c>
      <c r="G120" s="288">
        <v>0.17350427350427389</v>
      </c>
    </row>
    <row r="121" spans="1:7" x14ac:dyDescent="0.25">
      <c r="A121" s="174">
        <v>19</v>
      </c>
      <c r="B121" s="68" t="str">
        <f t="shared" si="9"/>
        <v>GE2.1 - 292 - T3 - 63m²</v>
      </c>
      <c r="C121" s="428">
        <v>34.199999999999932</v>
      </c>
      <c r="E121" s="182">
        <v>899.99999999999864</v>
      </c>
      <c r="G121" s="288">
        <v>0.28641975308641998</v>
      </c>
    </row>
    <row r="122" spans="1:7" x14ac:dyDescent="0.25">
      <c r="A122" s="174">
        <v>20</v>
      </c>
      <c r="B122" s="68" t="str">
        <f t="shared" si="9"/>
        <v>GE2.1 - 293 - T3 - 63m²</v>
      </c>
      <c r="C122" s="428">
        <v>33.899999999999977</v>
      </c>
      <c r="E122" s="182">
        <v>3100.0000000000014</v>
      </c>
      <c r="G122" s="288">
        <v>0.93086419753086469</v>
      </c>
    </row>
    <row r="123" spans="1:7" x14ac:dyDescent="0.25">
      <c r="A123" s="174">
        <v>21</v>
      </c>
      <c r="B123" s="68" t="str">
        <f t="shared" si="9"/>
        <v>GE2.1 - 295 - T3 - 63m²</v>
      </c>
      <c r="C123" s="428">
        <v>49.299999999999955</v>
      </c>
      <c r="E123" s="182">
        <v>3700.0000000000027</v>
      </c>
      <c r="G123" s="288">
        <v>1.145679012345675</v>
      </c>
    </row>
    <row r="124" spans="1:7" x14ac:dyDescent="0.25">
      <c r="A124" s="174">
        <v>22</v>
      </c>
      <c r="B124" s="68" t="str">
        <f t="shared" si="9"/>
        <v>GE2.1 - 296 - T4 - 78m²</v>
      </c>
      <c r="C124" s="428">
        <v>31.100000000000023</v>
      </c>
      <c r="E124" s="182">
        <v>1199.9999999999957</v>
      </c>
      <c r="G124" s="288">
        <v>0.34700854700854677</v>
      </c>
    </row>
    <row r="125" spans="1:7" x14ac:dyDescent="0.25">
      <c r="A125" s="174">
        <v>23</v>
      </c>
      <c r="B125" s="68" t="str">
        <f t="shared" si="9"/>
        <v>GE2.1 - 297 - T4 - 79m²</v>
      </c>
      <c r="C125" s="428">
        <v>60</v>
      </c>
      <c r="E125" s="182">
        <v>5000</v>
      </c>
      <c r="G125" s="288">
        <v>1.256258790436003</v>
      </c>
    </row>
    <row r="126" spans="1:7" x14ac:dyDescent="0.25">
      <c r="A126" s="174">
        <v>24</v>
      </c>
      <c r="B126" s="68" t="str">
        <f t="shared" si="9"/>
        <v>GE2.1 - 299 - T4 - 79m²</v>
      </c>
      <c r="C126" s="428">
        <v>5.2000000000000455</v>
      </c>
      <c r="E126" s="182">
        <v>0</v>
      </c>
      <c r="G126" s="288">
        <v>0</v>
      </c>
    </row>
    <row r="127" spans="1:7" x14ac:dyDescent="0.25">
      <c r="A127" s="174">
        <v>25</v>
      </c>
      <c r="B127" s="68" t="str">
        <f t="shared" si="9"/>
        <v>GE2.1 - 300 - T5 - 93m²</v>
      </c>
      <c r="C127" s="428">
        <v>58.199999999999818</v>
      </c>
      <c r="E127" s="182">
        <v>2399.9999999999986</v>
      </c>
      <c r="G127" s="288">
        <v>0.53357228195937945</v>
      </c>
    </row>
    <row r="128" spans="1:7" x14ac:dyDescent="0.25">
      <c r="A128" s="174">
        <v>26</v>
      </c>
      <c r="B128" s="68" t="str">
        <f t="shared" si="9"/>
        <v>GE2.1 - 302 - T5 - 93m²</v>
      </c>
      <c r="C128" s="428">
        <v>48.799999999999955</v>
      </c>
      <c r="E128" s="182">
        <v>1899.9999999999986</v>
      </c>
      <c r="G128" s="288">
        <v>0.29103942652329812</v>
      </c>
    </row>
    <row r="129" spans="1:7" x14ac:dyDescent="0.25">
      <c r="A129" s="174">
        <v>27</v>
      </c>
      <c r="B129" s="68" t="str">
        <f t="shared" si="9"/>
        <v>GE2.1 - 312 - T4 - 75m²</v>
      </c>
      <c r="C129" s="428">
        <v>30.299999999999272</v>
      </c>
      <c r="E129" s="182">
        <v>799.99999999999716</v>
      </c>
      <c r="G129" s="288">
        <v>0.24059259259259386</v>
      </c>
    </row>
    <row r="130" spans="1:7" x14ac:dyDescent="0.25">
      <c r="A130" s="174">
        <v>28</v>
      </c>
      <c r="B130" s="472" t="s">
        <v>346</v>
      </c>
      <c r="C130" s="469">
        <v>33.846153846153776</v>
      </c>
      <c r="D130" s="21"/>
      <c r="E130" s="470">
        <v>1738.4615384615379</v>
      </c>
      <c r="F130" s="21"/>
      <c r="G130" s="471">
        <v>0.47680735304587701</v>
      </c>
    </row>
    <row r="131" spans="1:7" x14ac:dyDescent="0.25">
      <c r="A131" s="174">
        <v>29</v>
      </c>
      <c r="B131" s="68" t="str">
        <f t="shared" ref="B131:B143" si="10">B76</f>
        <v>GE2.2 - 271 - T3 - 74m²</v>
      </c>
      <c r="C131" s="428">
        <v>26.199999999999932</v>
      </c>
      <c r="E131" s="182">
        <v>1399.9999999999986</v>
      </c>
      <c r="G131" s="288">
        <v>0.54864864864864771</v>
      </c>
    </row>
    <row r="132" spans="1:7" x14ac:dyDescent="0.25">
      <c r="A132" s="174">
        <v>30</v>
      </c>
      <c r="B132" s="68" t="str">
        <f t="shared" si="10"/>
        <v>GE2.2 - 272 - T3 - 74m²</v>
      </c>
      <c r="C132" s="428">
        <v>78.5</v>
      </c>
      <c r="E132" s="182">
        <v>1899.9999999999986</v>
      </c>
      <c r="G132" s="288">
        <v>0.12192192192192175</v>
      </c>
    </row>
    <row r="133" spans="1:7" x14ac:dyDescent="0.25">
      <c r="A133" s="174">
        <v>31</v>
      </c>
      <c r="B133" s="68" t="str">
        <f t="shared" si="10"/>
        <v>GE2.2 - 273 - T3 - 74m²</v>
      </c>
      <c r="C133" s="428">
        <v>55.299999999999955</v>
      </c>
      <c r="E133" s="182">
        <v>2500</v>
      </c>
      <c r="G133" s="288">
        <v>0.54864864864864993</v>
      </c>
    </row>
    <row r="134" spans="1:7" x14ac:dyDescent="0.25">
      <c r="A134" s="174">
        <v>32</v>
      </c>
      <c r="B134" s="68" t="str">
        <f t="shared" si="10"/>
        <v>GE2.2 - 276 - T4 - 83m²</v>
      </c>
      <c r="C134" s="428">
        <v>89.299999999999955</v>
      </c>
      <c r="E134" s="182">
        <v>2299.9999999999973</v>
      </c>
      <c r="G134" s="288">
        <v>0.43480589022757732</v>
      </c>
    </row>
    <row r="135" spans="1:7" x14ac:dyDescent="0.25">
      <c r="A135" s="174">
        <v>33</v>
      </c>
      <c r="B135" s="68" t="str">
        <f t="shared" si="10"/>
        <v>GE2.2 - 279 - T3 - 70m²</v>
      </c>
      <c r="C135" s="428">
        <v>39.299999999999955</v>
      </c>
      <c r="E135" s="182">
        <v>1300.0000000000007</v>
      </c>
      <c r="G135" s="288">
        <v>0.38666666666666755</v>
      </c>
    </row>
    <row r="136" spans="1:7" x14ac:dyDescent="0.25">
      <c r="A136" s="174">
        <v>34</v>
      </c>
      <c r="B136" s="68" t="str">
        <f t="shared" si="10"/>
        <v>GE2.2 - 288 - T3 - 68m²</v>
      </c>
      <c r="C136" s="428">
        <v>36.300000000000068</v>
      </c>
      <c r="E136" s="182">
        <v>1000</v>
      </c>
      <c r="G136" s="288">
        <v>6.6339869281045807E-2</v>
      </c>
    </row>
    <row r="137" spans="1:7" x14ac:dyDescent="0.25">
      <c r="A137" s="174">
        <v>35</v>
      </c>
      <c r="B137" s="68" t="str">
        <f t="shared" si="10"/>
        <v>GE2.2 - 291 - T3 - 62m²</v>
      </c>
      <c r="C137" s="428">
        <v>12.599999999999909</v>
      </c>
      <c r="E137" s="182">
        <v>100.00000000000142</v>
      </c>
      <c r="G137" s="288">
        <v>0</v>
      </c>
    </row>
    <row r="138" spans="1:7" x14ac:dyDescent="0.25">
      <c r="A138" s="174">
        <v>36</v>
      </c>
      <c r="B138" s="68" t="str">
        <f t="shared" si="10"/>
        <v>GE2.2 - 294 - T3 - 63m²</v>
      </c>
      <c r="C138" s="428">
        <v>56.700000000000273</v>
      </c>
      <c r="E138" s="182">
        <v>1199.9999999999993</v>
      </c>
      <c r="G138" s="288">
        <v>7.160493827160469E-2</v>
      </c>
    </row>
    <row r="139" spans="1:7" x14ac:dyDescent="0.25">
      <c r="A139" s="174">
        <v>37</v>
      </c>
      <c r="B139" s="68" t="str">
        <f t="shared" si="10"/>
        <v>GE2.2 - 298 - T5 - 93m²</v>
      </c>
      <c r="C139" s="428">
        <v>74.599999999999909</v>
      </c>
      <c r="E139" s="182">
        <v>5299.9999999999973</v>
      </c>
      <c r="G139" s="288">
        <v>0.87311827956989452</v>
      </c>
    </row>
    <row r="140" spans="1:7" x14ac:dyDescent="0.25">
      <c r="A140" s="174">
        <v>38</v>
      </c>
      <c r="B140" s="68" t="str">
        <f t="shared" si="10"/>
        <v>GE2.2 - 301 - T4 - 79m²</v>
      </c>
      <c r="C140" s="428">
        <v>76.400000000000091</v>
      </c>
      <c r="E140" s="182">
        <v>2699.9999999999959</v>
      </c>
      <c r="G140" s="288">
        <v>0.45682137834036601</v>
      </c>
    </row>
    <row r="141" spans="1:7" x14ac:dyDescent="0.25">
      <c r="A141" s="174">
        <v>39</v>
      </c>
      <c r="B141" s="68" t="str">
        <f t="shared" si="10"/>
        <v>GE2.2 - 311 - T4 - 74m²</v>
      </c>
      <c r="C141" s="428">
        <v>32.799999999999955</v>
      </c>
      <c r="E141" s="182">
        <v>1900.0000000000057</v>
      </c>
      <c r="G141" s="288">
        <v>0.48768768768768805</v>
      </c>
    </row>
    <row r="142" spans="1:7" x14ac:dyDescent="0.25">
      <c r="A142" s="174">
        <v>40</v>
      </c>
      <c r="B142" s="68" t="str">
        <f t="shared" si="10"/>
        <v>GE2.2 - 313 - T4 - 75m²</v>
      </c>
      <c r="C142" s="428">
        <v>28.200000000000045</v>
      </c>
      <c r="E142" s="182">
        <v>1000</v>
      </c>
      <c r="G142" s="288">
        <v>0.24059259259259277</v>
      </c>
    </row>
    <row r="143" spans="1:7" x14ac:dyDescent="0.25">
      <c r="A143" s="174">
        <v>41</v>
      </c>
      <c r="B143" s="68" t="str">
        <f t="shared" si="10"/>
        <v>GE2.2 - 315 - T4 - 75m²</v>
      </c>
      <c r="C143" s="428">
        <v>53.100000000000136</v>
      </c>
      <c r="E143" s="182">
        <v>2899.9999999999986</v>
      </c>
      <c r="G143" s="288">
        <v>0.8420740740740732</v>
      </c>
    </row>
    <row r="144" spans="1:7" x14ac:dyDescent="0.25">
      <c r="A144" s="174">
        <v>42</v>
      </c>
      <c r="B144" s="472" t="s">
        <v>347</v>
      </c>
      <c r="C144" s="469">
        <v>50.715384615384629</v>
      </c>
      <c r="D144" s="21"/>
      <c r="E144" s="470">
        <v>1961.5384615384612</v>
      </c>
      <c r="F144" s="21"/>
      <c r="G144" s="471">
        <v>0.3906869689177484</v>
      </c>
    </row>
    <row r="145" spans="1:7" x14ac:dyDescent="0.25">
      <c r="A145" s="174">
        <v>43</v>
      </c>
      <c r="B145" s="68" t="str">
        <f t="shared" ref="B145:B150" si="11">B90</f>
        <v>SO - 284 - T - 64m²</v>
      </c>
      <c r="C145" s="428">
        <v>64</v>
      </c>
      <c r="E145" s="182">
        <v>300.00000000000068</v>
      </c>
      <c r="G145" s="288">
        <v>0</v>
      </c>
    </row>
    <row r="146" spans="1:7" x14ac:dyDescent="0.25">
      <c r="A146" s="174">
        <v>44</v>
      </c>
      <c r="B146" s="68" t="str">
        <f t="shared" si="11"/>
        <v>SO - 287 - T - 81m²</v>
      </c>
      <c r="C146" s="428">
        <v>34.399999999999864</v>
      </c>
      <c r="E146" s="182">
        <v>1200.0000000000027</v>
      </c>
      <c r="G146" s="288">
        <v>0.16707818930041091</v>
      </c>
    </row>
    <row r="147" spans="1:7" x14ac:dyDescent="0.25">
      <c r="A147" s="174">
        <v>45</v>
      </c>
      <c r="B147" s="68" t="str">
        <f t="shared" si="11"/>
        <v>SO - 290 - T - 40m²</v>
      </c>
      <c r="C147" s="428">
        <v>23</v>
      </c>
      <c r="E147" s="182">
        <v>700.00000000000284</v>
      </c>
      <c r="G147" s="288">
        <v>0</v>
      </c>
    </row>
    <row r="148" spans="1:7" x14ac:dyDescent="0.25">
      <c r="A148" s="174">
        <v>46</v>
      </c>
      <c r="B148" s="68" t="str">
        <f t="shared" si="11"/>
        <v>SO - 305 - T - 66m²</v>
      </c>
      <c r="C148" s="428">
        <v>40.700000000000045</v>
      </c>
      <c r="E148" s="182">
        <v>2000</v>
      </c>
      <c r="G148" s="288">
        <v>0</v>
      </c>
    </row>
    <row r="149" spans="1:7" x14ac:dyDescent="0.25">
      <c r="A149" s="174">
        <v>47</v>
      </c>
      <c r="B149" s="68" t="str">
        <f t="shared" si="11"/>
        <v>SO - 309 - T - 66m²</v>
      </c>
      <c r="C149" s="428">
        <v>19.5</v>
      </c>
      <c r="E149" s="182">
        <v>1100.0000000000014</v>
      </c>
      <c r="G149" s="288">
        <v>0.34175084175084169</v>
      </c>
    </row>
    <row r="150" spans="1:7" x14ac:dyDescent="0.25">
      <c r="A150" s="174">
        <v>48</v>
      </c>
      <c r="B150" s="68" t="str">
        <f t="shared" si="11"/>
        <v>SO - 310 - T - 54m²</v>
      </c>
      <c r="C150" s="428">
        <v>35.200000000000045</v>
      </c>
      <c r="E150" s="182">
        <v>1700.0000000000027</v>
      </c>
      <c r="G150" s="288">
        <v>0.33415637860082331</v>
      </c>
    </row>
    <row r="151" spans="1:7" x14ac:dyDescent="0.25">
      <c r="A151" s="174"/>
      <c r="B151" s="472" t="s">
        <v>348</v>
      </c>
      <c r="C151" s="469">
        <v>45.331952662721925</v>
      </c>
      <c r="D151" s="21"/>
      <c r="E151" s="470">
        <v>1843.1952662721899</v>
      </c>
      <c r="F151" s="21"/>
      <c r="G151" s="471">
        <v>0.14049756827534599</v>
      </c>
    </row>
    <row r="152" spans="1:7" x14ac:dyDescent="0.25">
      <c r="A152" s="175"/>
    </row>
    <row r="153" spans="1:7" x14ac:dyDescent="0.25">
      <c r="A153" s="175"/>
    </row>
  </sheetData>
  <sortState ref="A26:F70">
    <sortCondition ref="B26:B70"/>
  </sortState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C48:N95">
    <cfRule type="cellIs" dxfId="3" priority="1" operator="lessThan">
      <formula>0</formula>
    </cfRule>
  </conditionalFormatting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59" orientation="landscape" r:id="rId2"/>
  <headerFooter>
    <oddFooter>&amp;L&amp;F&amp;CSOLAIR&amp;R&amp;A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W126"/>
  <sheetViews>
    <sheetView zoomScaleNormal="100" workbookViewId="0">
      <selection activeCell="F26" sqref="F26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6" width="12.7109375" style="1" customWidth="1"/>
    <col min="17" max="20" width="13.28515625" style="1" customWidth="1"/>
    <col min="21" max="21" width="24.28515625" style="1" customWidth="1"/>
    <col min="22" max="22" width="22.28515625" style="1" customWidth="1"/>
    <col min="23" max="16384" width="11.42578125" style="1"/>
  </cols>
  <sheetData>
    <row r="1" spans="1:18" s="18" customFormat="1" ht="60" customHeight="1" thickBot="1" x14ac:dyDescent="0.3">
      <c r="A1" s="513" t="str">
        <f>CONCATENATE("ENCERTICUS - ",B4," - ",B5," - ",B7)</f>
        <v>ENCERTICUS - TRAITEMENT CHAUFFAGE - 2014 - S23</v>
      </c>
      <c r="B1" s="514"/>
      <c r="C1" s="514"/>
      <c r="D1" s="515"/>
      <c r="E1" s="25"/>
      <c r="F1" s="173" t="s">
        <v>72</v>
      </c>
      <c r="G1" s="107" t="s">
        <v>73</v>
      </c>
      <c r="H1" s="25"/>
      <c r="I1" s="25"/>
    </row>
    <row r="2" spans="1:18" s="18" customFormat="1" ht="13.5" thickBot="1" x14ac:dyDescent="0.3">
      <c r="D2" s="25"/>
    </row>
    <row r="3" spans="1:18" s="18" customFormat="1" ht="25.5" x14ac:dyDescent="0.25">
      <c r="A3" s="293" t="s">
        <v>9</v>
      </c>
      <c r="B3" s="294" t="s">
        <v>10</v>
      </c>
      <c r="C3" s="174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s="18" customFormat="1" ht="25.5" x14ac:dyDescent="0.25">
      <c r="A4" s="92" t="s">
        <v>11</v>
      </c>
      <c r="B4" s="93" t="s">
        <v>244</v>
      </c>
      <c r="C4" s="174" t="s">
        <v>133</v>
      </c>
      <c r="E4" s="517" t="str">
        <f>'0_ENTREE'!E4:F4</f>
        <v>DJU Annuel Moyen</v>
      </c>
      <c r="F4" s="517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s="18" customFormat="1" x14ac:dyDescent="0.25">
      <c r="A5" s="92" t="s">
        <v>35</v>
      </c>
      <c r="B5" s="97">
        <f>'0_ENTREE'!B5</f>
        <v>2014</v>
      </c>
      <c r="C5" s="174"/>
      <c r="E5" s="517" t="str">
        <f>'0_ENTREE'!E5:F5</f>
        <v>DJU Annuel Réel - 2014</v>
      </c>
      <c r="F5" s="517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s="18" customFormat="1" x14ac:dyDescent="0.25">
      <c r="A6" s="92" t="s">
        <v>36</v>
      </c>
      <c r="B6" s="97" t="str">
        <f>'0_ENTREE'!B6</f>
        <v>Juin</v>
      </c>
      <c r="C6" s="176">
        <f>'0_ENTREE'!C6</f>
        <v>8</v>
      </c>
      <c r="E6" s="517" t="str">
        <f>'0_ENTREE'!E6:F6</f>
        <v>DJU Mensuel Moyen - Juin</v>
      </c>
      <c r="F6" s="517"/>
      <c r="G6" s="323">
        <f>'0_ENTREE'!G6</f>
        <v>0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s="18" customFormat="1" x14ac:dyDescent="0.25">
      <c r="A7" s="92" t="s">
        <v>57</v>
      </c>
      <c r="B7" s="97" t="str">
        <f>'0_ENTREE'!B7</f>
        <v>S23</v>
      </c>
      <c r="C7" s="176">
        <f>'0_ENTREE'!C7</f>
        <v>25</v>
      </c>
      <c r="E7" s="517" t="str">
        <f>'0_ENTREE'!E7:F7</f>
        <v>DJU Mensuel Réel - Juin</v>
      </c>
      <c r="F7" s="517"/>
      <c r="G7" s="323">
        <f>'0_ENTREE'!G7</f>
        <v>0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s="18" customFormat="1" ht="13.5" thickBot="1" x14ac:dyDescent="0.3">
      <c r="A8" s="94" t="s">
        <v>31</v>
      </c>
      <c r="B8" s="100" t="str">
        <f>'0_ENTREE'!B8</f>
        <v>Semaine</v>
      </c>
      <c r="C8" s="174"/>
      <c r="E8" s="517" t="str">
        <f>'0_ENTREE'!E8:F8</f>
        <v>DJU Hebdo Moyen - Juin</v>
      </c>
      <c r="F8" s="517"/>
      <c r="G8" s="323">
        <f>'0_ENTREE'!G8</f>
        <v>0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s="18" customFormat="1" x14ac:dyDescent="0.25">
      <c r="A9" s="4"/>
      <c r="B9" s="24"/>
      <c r="C9" s="26"/>
      <c r="E9" s="517" t="str">
        <f>'0_ENTREE'!E9:F9</f>
        <v>DJU Hebdo Réel - S23</v>
      </c>
      <c r="F9" s="517"/>
      <c r="G9" s="323">
        <f>'0_ENTREE'!G9</f>
        <v>0</v>
      </c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8" s="18" customFormat="1" x14ac:dyDescent="0.25">
      <c r="A10" s="4"/>
      <c r="B10" s="24"/>
      <c r="C10" s="26"/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s="18" customFormat="1" x14ac:dyDescent="0.25">
      <c r="A11" s="4"/>
      <c r="B11" s="24"/>
      <c r="C11" s="26"/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8" s="18" customFormat="1" ht="25.5" x14ac:dyDescent="0.25">
      <c r="A12" s="4"/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s="18" customFormat="1" x14ac:dyDescent="0.25">
      <c r="A13" s="4"/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G13" s="26"/>
      <c r="H13" s="4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s="18" customFormat="1" x14ac:dyDescent="0.25">
      <c r="A14" s="4"/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G14" s="26"/>
      <c r="H14" s="4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s="18" customFormat="1" ht="14.25" x14ac:dyDescent="0.25">
      <c r="A15" s="4"/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G15" s="26"/>
      <c r="H15" s="4"/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s="18" customFormat="1" x14ac:dyDescent="0.25">
      <c r="A16" s="4"/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G16" s="26"/>
      <c r="H16" s="4"/>
      <c r="I16" s="322"/>
      <c r="J16" s="306" t="str">
        <f>'0_ENTREE'!J16</f>
        <v>Année</v>
      </c>
      <c r="K16" s="306">
        <f>'0_ENTREE'!K16</f>
        <v>1353.3</v>
      </c>
      <c r="L16" s="306">
        <f>'0_ENTREE'!L16</f>
        <v>1548.4</v>
      </c>
      <c r="M16" s="306">
        <f>'0_ENTREE'!M16</f>
        <v>1657.9</v>
      </c>
      <c r="N16" s="306">
        <f>'0_ENTREE'!N16</f>
        <v>1548.4</v>
      </c>
      <c r="O16" s="306">
        <f>'0_ENTREE'!O16</f>
        <v>0</v>
      </c>
      <c r="P16" s="306">
        <f>'0_ENTREE'!P16</f>
        <v>0</v>
      </c>
      <c r="Q16" s="299">
        <f>'1_REFERENCE'!O16</f>
        <v>0</v>
      </c>
    </row>
    <row r="17" spans="1:19" s="18" customFormat="1" x14ac:dyDescent="0.25">
      <c r="A17" s="4"/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  <c r="G17" s="26"/>
      <c r="H17" s="4"/>
      <c r="I17" s="27"/>
      <c r="J17" s="26"/>
      <c r="K17" s="26"/>
    </row>
    <row r="18" spans="1:19" s="18" customFormat="1" x14ac:dyDescent="0.25">
      <c r="A18" s="4"/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  <c r="G18" s="26"/>
      <c r="H18" s="4"/>
      <c r="I18" s="27"/>
      <c r="J18" s="26"/>
      <c r="K18" s="26"/>
    </row>
    <row r="19" spans="1:19" x14ac:dyDescent="0.25">
      <c r="A19" s="13"/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  <c r="G19" s="9"/>
      <c r="H19" s="9"/>
      <c r="I19" s="9"/>
      <c r="J19" s="9"/>
      <c r="K19" s="9"/>
      <c r="L19" s="9"/>
      <c r="M19" s="10"/>
      <c r="N19" s="8"/>
    </row>
    <row r="20" spans="1:19" ht="25.5" x14ac:dyDescent="0.25">
      <c r="A20" s="13"/>
      <c r="B20" s="298" t="s">
        <v>175</v>
      </c>
      <c r="C20" s="298" t="s">
        <v>53</v>
      </c>
      <c r="D20" s="509" t="s">
        <v>56</v>
      </c>
      <c r="E20" s="509"/>
      <c r="F20" s="298" t="s">
        <v>58</v>
      </c>
      <c r="G20" s="9"/>
      <c r="H20" s="9"/>
      <c r="I20" s="9"/>
      <c r="J20" s="9"/>
      <c r="K20" s="9"/>
      <c r="L20" s="9"/>
      <c r="M20" s="10"/>
      <c r="N20" s="8"/>
    </row>
    <row r="21" spans="1:19" x14ac:dyDescent="0.25">
      <c r="A21" s="13"/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296"/>
      <c r="G21" s="9"/>
      <c r="H21" s="9"/>
      <c r="I21" s="9"/>
      <c r="J21" s="9"/>
      <c r="K21" s="9"/>
      <c r="L21" s="9"/>
      <c r="M21" s="10"/>
      <c r="N21" s="8"/>
    </row>
    <row r="22" spans="1:19" x14ac:dyDescent="0.25">
      <c r="A22" s="13"/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296"/>
      <c r="G22" s="9"/>
      <c r="H22" s="9"/>
      <c r="I22" s="9"/>
      <c r="J22" s="9"/>
      <c r="K22" s="9"/>
      <c r="L22" s="9"/>
      <c r="M22" s="10"/>
      <c r="N22" s="8"/>
    </row>
    <row r="23" spans="1:19" x14ac:dyDescent="0.25">
      <c r="A23" s="13"/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296"/>
      <c r="G23" s="9"/>
      <c r="H23" s="9"/>
      <c r="I23" s="9"/>
      <c r="J23" s="9"/>
      <c r="K23" s="9"/>
      <c r="L23" s="9"/>
      <c r="M23" s="10"/>
      <c r="N23" s="8"/>
    </row>
    <row r="24" spans="1:19" x14ac:dyDescent="0.25">
      <c r="A24" s="13"/>
      <c r="B24" s="27"/>
      <c r="C24" s="295"/>
      <c r="D24" s="512"/>
      <c r="E24" s="512"/>
      <c r="F24" s="296"/>
      <c r="G24" s="9"/>
      <c r="H24" s="9"/>
      <c r="I24" s="9"/>
      <c r="J24" s="9"/>
      <c r="K24" s="9"/>
      <c r="L24" s="9"/>
      <c r="M24" s="10"/>
      <c r="N24" s="8"/>
    </row>
    <row r="25" spans="1:19" x14ac:dyDescent="0.25">
      <c r="A25" s="13"/>
      <c r="B25" s="27" t="str">
        <f>'0_ENTREE'!B25</f>
        <v>Facteur travaux</v>
      </c>
      <c r="C25" s="295">
        <f>'0_ENTREE'!C25</f>
        <v>1</v>
      </c>
      <c r="D25" s="512"/>
      <c r="E25" s="512"/>
      <c r="F25" s="296"/>
      <c r="G25" s="9"/>
      <c r="H25" s="9"/>
      <c r="I25" s="9"/>
      <c r="J25" s="9"/>
      <c r="K25" s="9"/>
      <c r="L25" s="9"/>
      <c r="M25" s="10"/>
      <c r="N25" s="8"/>
    </row>
    <row r="26" spans="1:19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9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9" x14ac:dyDescent="0.25">
      <c r="A28" s="13"/>
      <c r="B28" s="307" t="s">
        <v>291</v>
      </c>
      <c r="C28" s="13"/>
      <c r="D28" s="22"/>
      <c r="G28" s="9"/>
      <c r="H28" s="9"/>
      <c r="I28" s="9"/>
      <c r="J28" s="307" t="s">
        <v>257</v>
      </c>
      <c r="K28" s="9"/>
      <c r="L28" s="9"/>
      <c r="M28" s="10"/>
      <c r="N28" s="8"/>
      <c r="Q28" s="307" t="s">
        <v>287</v>
      </c>
    </row>
    <row r="29" spans="1:19" x14ac:dyDescent="0.25">
      <c r="A29" s="13"/>
      <c r="B29" s="16"/>
      <c r="C29" s="224"/>
      <c r="D29" s="22"/>
      <c r="G29" s="9"/>
      <c r="H29" s="9"/>
      <c r="I29" s="9"/>
      <c r="J29" s="9"/>
      <c r="K29" s="9"/>
      <c r="L29" s="9"/>
      <c r="M29" s="10"/>
      <c r="N29" s="8"/>
      <c r="Q29" s="405" t="s">
        <v>293</v>
      </c>
      <c r="R29" s="406" t="s">
        <v>292</v>
      </c>
    </row>
    <row r="30" spans="1:19" x14ac:dyDescent="0.25">
      <c r="A30" s="13"/>
      <c r="B30" s="16"/>
      <c r="D30" s="131"/>
      <c r="F30" s="9"/>
      <c r="G30" s="9"/>
      <c r="H30" s="9"/>
      <c r="I30" s="9"/>
      <c r="J30" s="9"/>
      <c r="K30" s="9"/>
      <c r="L30" s="10"/>
      <c r="M30" s="8"/>
    </row>
    <row r="31" spans="1:19" s="49" customFormat="1" ht="38.25" x14ac:dyDescent="0.25">
      <c r="A31" s="46"/>
      <c r="B31" s="50" t="s">
        <v>12</v>
      </c>
      <c r="C31" s="47" t="s">
        <v>276</v>
      </c>
      <c r="D31" s="48" t="s">
        <v>165</v>
      </c>
      <c r="E31" s="47" t="s">
        <v>62</v>
      </c>
      <c r="F31" s="48" t="s">
        <v>62</v>
      </c>
      <c r="G31" s="432" t="s">
        <v>63</v>
      </c>
      <c r="H31" s="433" t="s">
        <v>63</v>
      </c>
      <c r="I31" s="46"/>
      <c r="Q31" s="48" t="s">
        <v>283</v>
      </c>
      <c r="R31" s="48" t="s">
        <v>284</v>
      </c>
      <c r="S31" s="409"/>
    </row>
    <row r="32" spans="1:19" s="2" customFormat="1" ht="38.25" x14ac:dyDescent="0.25">
      <c r="A32" s="203" t="s">
        <v>132</v>
      </c>
      <c r="B32" s="42" t="s">
        <v>64</v>
      </c>
      <c r="C32" s="34" t="str">
        <f>CONCATENATE(C31," - ",B7)</f>
        <v>CHAUFFAGE corrigé - S23</v>
      </c>
      <c r="D32" s="30" t="str">
        <f>CONCATENATE(D31," - ",$B$6)</f>
        <v>Ratio CHAUFFAGE réf - Juin</v>
      </c>
      <c r="E32" s="72" t="str">
        <f>'0_ENTREE'!I31</f>
        <v>INDICE GDF [N-1]</v>
      </c>
      <c r="F32" s="73" t="str">
        <f>'0_ENTREE'!J31</f>
        <v>INDICE GDF [N]</v>
      </c>
      <c r="G32" s="74" t="str">
        <f>'0_ENTREE'!K31</f>
        <v>INDICE [N-1]</v>
      </c>
      <c r="H32" s="75" t="str">
        <f>'0_ENTREE'!L31</f>
        <v>INDICE [N]</v>
      </c>
      <c r="I32" s="14"/>
      <c r="J32" s="72" t="s">
        <v>258</v>
      </c>
      <c r="K32" s="73" t="s">
        <v>259</v>
      </c>
      <c r="L32" s="73" t="s">
        <v>260</v>
      </c>
      <c r="M32" s="73" t="s">
        <v>264</v>
      </c>
      <c r="N32" s="73" t="s">
        <v>263</v>
      </c>
      <c r="O32" s="75" t="s">
        <v>170</v>
      </c>
      <c r="Q32" s="30" t="str">
        <f>CONCATENATE(Q31)</f>
        <v>ARBRE de base</v>
      </c>
      <c r="R32" s="30" t="str">
        <f>CONCATENATE(R31)</f>
        <v>ARBRE de base ref</v>
      </c>
      <c r="S32" s="75"/>
    </row>
    <row r="33" spans="1:23" s="3" customFormat="1" ht="26.25" thickBot="1" x14ac:dyDescent="0.3">
      <c r="A33" s="204"/>
      <c r="B33" s="43"/>
      <c r="C33" s="35" t="s">
        <v>17</v>
      </c>
      <c r="D33" s="474" t="s">
        <v>17</v>
      </c>
      <c r="E33" s="76" t="s">
        <v>33</v>
      </c>
      <c r="F33" s="77" t="s">
        <v>33</v>
      </c>
      <c r="G33" s="78" t="s">
        <v>33</v>
      </c>
      <c r="H33" s="79" t="s">
        <v>33</v>
      </c>
      <c r="I33" s="15"/>
      <c r="J33" s="76" t="s">
        <v>169</v>
      </c>
      <c r="K33" s="77" t="s">
        <v>169</v>
      </c>
      <c r="L33" s="77" t="s">
        <v>169</v>
      </c>
      <c r="M33" s="77" t="s">
        <v>34</v>
      </c>
      <c r="N33" s="77" t="s">
        <v>34</v>
      </c>
      <c r="O33" s="79"/>
      <c r="Q33" s="31" t="s">
        <v>17</v>
      </c>
      <c r="R33" s="31" t="s">
        <v>17</v>
      </c>
      <c r="S33" s="79" t="s">
        <v>28</v>
      </c>
      <c r="U33" s="453" t="s">
        <v>317</v>
      </c>
      <c r="V33" s="453" t="s">
        <v>313</v>
      </c>
      <c r="W33" s="3" t="s">
        <v>328</v>
      </c>
    </row>
    <row r="34" spans="1:23" x14ac:dyDescent="0.25">
      <c r="A34" s="205">
        <v>1</v>
      </c>
      <c r="B34" s="36" t="str">
        <f>CONCATENATE("Ratio Chauffage - ",'0_ENTREE'!B33)</f>
        <v>Ratio Chauffage - GC - 274 - T4 - 83m²</v>
      </c>
      <c r="C34" s="475" t="e">
        <f>M34</f>
        <v>#DIV/0!</v>
      </c>
      <c r="D34" s="476" t="e">
        <f>VLOOKUP(A34,'1_REFERENCE'!$A$47:$N$95,$C$6,FALSE)</f>
        <v>#DIV/0!</v>
      </c>
      <c r="E34" s="80">
        <f>'0_ENTREE'!I33</f>
        <v>530.79999999999995</v>
      </c>
      <c r="F34" s="81">
        <f>'0_ENTREE'!J33</f>
        <v>535.6</v>
      </c>
      <c r="G34" s="82">
        <f>'0_ENTREE'!K33</f>
        <v>15.5</v>
      </c>
      <c r="H34" s="83">
        <f>'0_ENTREE'!L33</f>
        <v>16.3</v>
      </c>
      <c r="I34" s="13"/>
      <c r="J34" s="367">
        <f>(F34-E34)*$C$22</f>
        <v>55.814400000000795</v>
      </c>
      <c r="K34" s="344">
        <f>J34-(H34-G34)*$C$15-$C$14</f>
        <v>12.725511111111878</v>
      </c>
      <c r="L34" s="344" t="e">
        <f>K34*$G$8/$G$9</f>
        <v>#DIV/0!</v>
      </c>
      <c r="M34" s="344" t="e">
        <f>L34/'0_ENTREE'!F33</f>
        <v>#DIV/0!</v>
      </c>
      <c r="N34" s="344" t="e">
        <f>D34</f>
        <v>#DIV/0!</v>
      </c>
      <c r="O34" s="351" t="e">
        <f>(M34-N34)/N34</f>
        <v>#DIV/0!</v>
      </c>
      <c r="Q34" s="192">
        <f>'1_REFERENCE'!AB48/'0_ENTREE'!F33*$L$16/$G$4</f>
        <v>157.97127627978358</v>
      </c>
      <c r="R34" s="192"/>
      <c r="S34" s="407" t="e">
        <f>(R34-Q34)/R34</f>
        <v>#DIV/0!</v>
      </c>
      <c r="W34" s="463"/>
    </row>
    <row r="35" spans="1:23" x14ac:dyDescent="0.25">
      <c r="A35" s="205">
        <v>2</v>
      </c>
      <c r="B35" s="37" t="str">
        <f>CONCATENATE("Ratio Chauffage - ",'0_ENTREE'!B34)</f>
        <v>Ratio Chauffage - GC - 277 - T2 - 53m²</v>
      </c>
      <c r="C35" s="193" t="e">
        <f t="shared" ref="C35:C46" si="0">M35</f>
        <v>#DIV/0!</v>
      </c>
      <c r="D35" s="193" t="e">
        <f>VLOOKUP(A35,'1_REFERENCE'!$A$47:$N$95,$C$6,FALSE)</f>
        <v>#DIV/0!</v>
      </c>
      <c r="E35" s="84">
        <f>'0_ENTREE'!I34</f>
        <v>523.6</v>
      </c>
      <c r="F35" s="85">
        <f>'0_ENTREE'!J34</f>
        <v>524.79999999999995</v>
      </c>
      <c r="G35" s="86">
        <f>'0_ENTREE'!K34</f>
        <v>9.8000000000000007</v>
      </c>
      <c r="H35" s="87">
        <f>'0_ENTREE'!L34</f>
        <v>10</v>
      </c>
      <c r="I35" s="13"/>
      <c r="J35" s="133">
        <f t="shared" ref="J35:J46" si="1">(F35-E35)*$C$22</f>
        <v>13.953599999999208</v>
      </c>
      <c r="K35" s="345">
        <f>J35-(H35-G35)*$C$15-$C$14</f>
        <v>-2.0686222222229826</v>
      </c>
      <c r="L35" s="345" t="e">
        <f t="shared" ref="L35:L46" si="2">K35*$G$8/$G$9</f>
        <v>#DIV/0!</v>
      </c>
      <c r="M35" s="345" t="e">
        <f>L35/'0_ENTREE'!F34</f>
        <v>#DIV/0!</v>
      </c>
      <c r="N35" s="345" t="e">
        <f t="shared" ref="N35:N46" si="3">D35</f>
        <v>#DIV/0!</v>
      </c>
      <c r="O35" s="352" t="e">
        <f t="shared" ref="O35:O46" si="4">(M35-N35)/N35</f>
        <v>#DIV/0!</v>
      </c>
      <c r="Q35" s="193">
        <f>'1_REFERENCE'!AB49/'0_ENTREE'!F34*$L$16/$G$4</f>
        <v>163.94565726553304</v>
      </c>
      <c r="R35" s="193"/>
      <c r="S35" s="352" t="e">
        <f t="shared" ref="S35:S46" si="5">(R35-Q35)/R35</f>
        <v>#DIV/0!</v>
      </c>
      <c r="W35" s="463"/>
    </row>
    <row r="36" spans="1:23" x14ac:dyDescent="0.25">
      <c r="A36" s="205">
        <v>3</v>
      </c>
      <c r="B36" s="37" t="str">
        <f>CONCATENATE("Ratio Chauffage - ",'0_ENTREE'!B35)</f>
        <v>Ratio Chauffage - GC - 281 - T3 - 71m²</v>
      </c>
      <c r="C36" s="193" t="e">
        <f t="shared" si="0"/>
        <v>#DIV/0!</v>
      </c>
      <c r="D36" s="193" t="e">
        <f>VLOOKUP(A36,'1_REFERENCE'!$A$47:$N$95,$C$6,FALSE)</f>
        <v>#DIV/0!</v>
      </c>
      <c r="E36" s="84">
        <f>'0_ENTREE'!I35</f>
        <v>576.4</v>
      </c>
      <c r="F36" s="85">
        <f>'0_ENTREE'!J35</f>
        <v>579.9</v>
      </c>
      <c r="G36" s="86">
        <f>'0_ENTREE'!K35</f>
        <v>27.8</v>
      </c>
      <c r="H36" s="87">
        <f>'0_ENTREE'!L35</f>
        <v>28.8</v>
      </c>
      <c r="I36" s="13"/>
      <c r="J36" s="133">
        <f t="shared" si="1"/>
        <v>40.698</v>
      </c>
      <c r="K36" s="345">
        <f t="shared" ref="K36:K46" si="6">J36-(H36-G36)*$C$15-$C$14</f>
        <v>-11.413111111111107</v>
      </c>
      <c r="L36" s="345" t="e">
        <f t="shared" si="2"/>
        <v>#DIV/0!</v>
      </c>
      <c r="M36" s="345" t="e">
        <f>L36/'0_ENTREE'!F35</f>
        <v>#DIV/0!</v>
      </c>
      <c r="N36" s="345" t="e">
        <f t="shared" si="3"/>
        <v>#DIV/0!</v>
      </c>
      <c r="O36" s="352" t="e">
        <f t="shared" si="4"/>
        <v>#DIV/0!</v>
      </c>
      <c r="Q36" s="193">
        <f>'1_REFERENCE'!AB50/'0_ENTREE'!F35*$L$16/$G$4</f>
        <v>163.63512489976264</v>
      </c>
      <c r="R36" s="193"/>
      <c r="S36" s="352" t="e">
        <f t="shared" si="5"/>
        <v>#DIV/0!</v>
      </c>
      <c r="W36" s="463"/>
    </row>
    <row r="37" spans="1:23" x14ac:dyDescent="0.25">
      <c r="A37" s="205">
        <v>4</v>
      </c>
      <c r="B37" s="37" t="str">
        <f>CONCATENATE("Ratio Chauffage - ",'0_ENTREE'!B36)</f>
        <v>Ratio Chauffage - GC - 283 - T3 - 70m²</v>
      </c>
      <c r="C37" s="193" t="e">
        <f t="shared" si="0"/>
        <v>#DIV/0!</v>
      </c>
      <c r="D37" s="193" t="e">
        <f>VLOOKUP(A37,'1_REFERENCE'!$A$47:$N$95,$C$6,FALSE)</f>
        <v>#DIV/0!</v>
      </c>
      <c r="E37" s="84">
        <f>'0_ENTREE'!I36</f>
        <v>648.20000000000005</v>
      </c>
      <c r="F37" s="85">
        <f>'0_ENTREE'!J36</f>
        <v>649.9</v>
      </c>
      <c r="G37" s="86">
        <f>'0_ENTREE'!K36</f>
        <v>7.7</v>
      </c>
      <c r="H37" s="87">
        <f>'0_ENTREE'!L36</f>
        <v>7.9</v>
      </c>
      <c r="I37" s="13"/>
      <c r="J37" s="133">
        <f t="shared" si="1"/>
        <v>19.767599999999206</v>
      </c>
      <c r="K37" s="345">
        <f t="shared" si="6"/>
        <v>3.7453777777769766</v>
      </c>
      <c r="L37" s="345" t="e">
        <f t="shared" si="2"/>
        <v>#DIV/0!</v>
      </c>
      <c r="M37" s="345" t="e">
        <f>L37/'0_ENTREE'!F36</f>
        <v>#DIV/0!</v>
      </c>
      <c r="N37" s="345" t="e">
        <f t="shared" si="3"/>
        <v>#DIV/0!</v>
      </c>
      <c r="O37" s="352" t="e">
        <f t="shared" si="4"/>
        <v>#DIV/0!</v>
      </c>
      <c r="Q37" s="193">
        <f>'1_REFERENCE'!AB51/'0_ENTREE'!F36*$L$16/$G$4</f>
        <v>181.67643652952015</v>
      </c>
      <c r="R37" s="193"/>
      <c r="S37" s="352" t="e">
        <f t="shared" si="5"/>
        <v>#DIV/0!</v>
      </c>
      <c r="W37" s="463"/>
    </row>
    <row r="38" spans="1:23" x14ac:dyDescent="0.25">
      <c r="A38" s="205">
        <v>5</v>
      </c>
      <c r="B38" s="37" t="str">
        <f>CONCATENATE("Ratio Chauffage - ",'0_ENTREE'!B37)</f>
        <v>Ratio Chauffage - GC - 285 - T3 - 64m²</v>
      </c>
      <c r="C38" s="193" t="e">
        <f t="shared" si="0"/>
        <v>#DIV/0!</v>
      </c>
      <c r="D38" s="193" t="e">
        <f>VLOOKUP(A38,'1_REFERENCE'!$A$47:$N$95,$C$6,FALSE)</f>
        <v>#DIV/0!</v>
      </c>
      <c r="E38" s="84">
        <f>'0_ENTREE'!I37</f>
        <v>244.4</v>
      </c>
      <c r="F38" s="85">
        <f>'0_ENTREE'!J37</f>
        <v>248.7</v>
      </c>
      <c r="G38" s="86">
        <f>'0_ENTREE'!K37</f>
        <v>999993.5</v>
      </c>
      <c r="H38" s="87">
        <f>'0_ENTREE'!L37</f>
        <v>999993</v>
      </c>
      <c r="I38" s="13"/>
      <c r="J38" s="133">
        <f t="shared" si="1"/>
        <v>50.0003999999998</v>
      </c>
      <c r="K38" s="345">
        <f t="shared" si="6"/>
        <v>65.555955555555357</v>
      </c>
      <c r="L38" s="345" t="e">
        <f t="shared" si="2"/>
        <v>#DIV/0!</v>
      </c>
      <c r="M38" s="345" t="e">
        <f>L38/'0_ENTREE'!F37</f>
        <v>#DIV/0!</v>
      </c>
      <c r="N38" s="345" t="e">
        <f t="shared" si="3"/>
        <v>#DIV/0!</v>
      </c>
      <c r="O38" s="352" t="e">
        <f t="shared" si="4"/>
        <v>#DIV/0!</v>
      </c>
      <c r="Q38" s="193">
        <f>'1_REFERENCE'!AB52/'0_ENTREE'!F37*$L$16/$G$4</f>
        <v>172.18865278752523</v>
      </c>
      <c r="R38" s="193"/>
      <c r="S38" s="352" t="e">
        <f t="shared" si="5"/>
        <v>#DIV/0!</v>
      </c>
      <c r="W38" s="463"/>
    </row>
    <row r="39" spans="1:23" x14ac:dyDescent="0.25">
      <c r="A39" s="205">
        <v>6</v>
      </c>
      <c r="B39" s="37" t="str">
        <f>CONCATENATE("Ratio Chauffage - ",'0_ENTREE'!B38)</f>
        <v>Ratio Chauffage - GC - 286 - T3 - 68m²</v>
      </c>
      <c r="C39" s="193" t="e">
        <f t="shared" si="0"/>
        <v>#DIV/0!</v>
      </c>
      <c r="D39" s="193" t="e">
        <f>VLOOKUP(A39,'1_REFERENCE'!$A$47:$N$95,$C$6,FALSE)</f>
        <v>#DIV/0!</v>
      </c>
      <c r="E39" s="84">
        <f>'0_ENTREE'!I38</f>
        <v>518.70000000000005</v>
      </c>
      <c r="F39" s="85">
        <f>'0_ENTREE'!J38</f>
        <v>524.4</v>
      </c>
      <c r="G39" s="86">
        <f>'0_ENTREE'!K38</f>
        <v>28.2</v>
      </c>
      <c r="H39" s="87">
        <f>'0_ENTREE'!L38</f>
        <v>29.6</v>
      </c>
      <c r="I39" s="13"/>
      <c r="J39" s="133">
        <f t="shared" si="1"/>
        <v>66.279599999999206</v>
      </c>
      <c r="K39" s="345">
        <f t="shared" si="6"/>
        <v>-3.8759555555564376</v>
      </c>
      <c r="L39" s="345" t="e">
        <f t="shared" si="2"/>
        <v>#DIV/0!</v>
      </c>
      <c r="M39" s="345" t="e">
        <f>L39/'0_ENTREE'!F38</f>
        <v>#DIV/0!</v>
      </c>
      <c r="N39" s="345" t="e">
        <f t="shared" si="3"/>
        <v>#DIV/0!</v>
      </c>
      <c r="O39" s="352" t="e">
        <f t="shared" si="4"/>
        <v>#DIV/0!</v>
      </c>
      <c r="Q39" s="193">
        <f>'1_REFERENCE'!AB53/'0_ENTREE'!F38*$L$16/$G$4</f>
        <v>163.09366404689783</v>
      </c>
      <c r="R39" s="193"/>
      <c r="S39" s="352" t="e">
        <f t="shared" si="5"/>
        <v>#DIV/0!</v>
      </c>
      <c r="W39" s="463"/>
    </row>
    <row r="40" spans="1:23" x14ac:dyDescent="0.25">
      <c r="A40" s="205">
        <v>7</v>
      </c>
      <c r="B40" s="37" t="str">
        <f>CONCATENATE("Ratio Chauffage - ",'0_ENTREE'!B39)</f>
        <v>Ratio Chauffage - GC - 289 - T3 - 76m²</v>
      </c>
      <c r="C40" s="193" t="e">
        <f t="shared" si="0"/>
        <v>#DIV/0!</v>
      </c>
      <c r="D40" s="193" t="e">
        <f>VLOOKUP(A40,'1_REFERENCE'!$A$47:$N$95,$C$6,FALSE)</f>
        <v>#DIV/0!</v>
      </c>
      <c r="E40" s="84">
        <f>'0_ENTREE'!I39</f>
        <v>258.3</v>
      </c>
      <c r="F40" s="85">
        <f>'0_ENTREE'!J39</f>
        <v>259.10000000000002</v>
      </c>
      <c r="G40" s="86">
        <f>'0_ENTREE'!K39</f>
        <v>5.0999999999999996</v>
      </c>
      <c r="H40" s="87">
        <f>'0_ENTREE'!L39</f>
        <v>5.2</v>
      </c>
      <c r="I40" s="13"/>
      <c r="J40" s="133">
        <f t="shared" si="1"/>
        <v>9.3024000000001319</v>
      </c>
      <c r="K40" s="345">
        <f t="shared" si="6"/>
        <v>-2.2087111111110032</v>
      </c>
      <c r="L40" s="345" t="e">
        <f t="shared" si="2"/>
        <v>#DIV/0!</v>
      </c>
      <c r="M40" s="345" t="e">
        <f>L40/'0_ENTREE'!F39</f>
        <v>#DIV/0!</v>
      </c>
      <c r="N40" s="345" t="e">
        <f t="shared" si="3"/>
        <v>#DIV/0!</v>
      </c>
      <c r="O40" s="352" t="e">
        <f t="shared" si="4"/>
        <v>#DIV/0!</v>
      </c>
      <c r="Q40" s="193">
        <f>'1_REFERENCE'!AB54/'0_ENTREE'!F39*$L$16/$G$4</f>
        <v>97.493950300349525</v>
      </c>
      <c r="R40" s="193"/>
      <c r="S40" s="352" t="e">
        <f t="shared" si="5"/>
        <v>#DIV/0!</v>
      </c>
      <c r="W40" s="463"/>
    </row>
    <row r="41" spans="1:23" x14ac:dyDescent="0.25">
      <c r="A41" s="205">
        <v>8</v>
      </c>
      <c r="B41" s="37" t="str">
        <f>CONCATENATE("Ratio Chauffage - ",'0_ENTREE'!B40)</f>
        <v>Ratio Chauffage - GC - 303 - T4 - 81m²</v>
      </c>
      <c r="C41" s="193" t="e">
        <f t="shared" si="0"/>
        <v>#DIV/0!</v>
      </c>
      <c r="D41" s="193" t="e">
        <f>VLOOKUP(A41,'1_REFERENCE'!$A$47:$N$95,$C$6,FALSE)</f>
        <v>#DIV/0!</v>
      </c>
      <c r="E41" s="84">
        <f>'0_ENTREE'!I40</f>
        <v>148.1</v>
      </c>
      <c r="F41" s="85">
        <f>'0_ENTREE'!J40</f>
        <v>151.80000000000001</v>
      </c>
      <c r="G41" s="86">
        <f>'0_ENTREE'!K40</f>
        <v>11.1</v>
      </c>
      <c r="H41" s="87">
        <f>'0_ENTREE'!L40</f>
        <v>11.5</v>
      </c>
      <c r="I41" s="13"/>
      <c r="J41" s="133">
        <f t="shared" si="1"/>
        <v>43.023600000000201</v>
      </c>
      <c r="K41" s="345">
        <f t="shared" si="6"/>
        <v>17.979155555555742</v>
      </c>
      <c r="L41" s="345" t="e">
        <f t="shared" si="2"/>
        <v>#DIV/0!</v>
      </c>
      <c r="M41" s="345" t="e">
        <f>L41/'0_ENTREE'!F40</f>
        <v>#DIV/0!</v>
      </c>
      <c r="N41" s="345" t="e">
        <f t="shared" si="3"/>
        <v>#DIV/0!</v>
      </c>
      <c r="O41" s="352" t="e">
        <f t="shared" si="4"/>
        <v>#DIV/0!</v>
      </c>
      <c r="Q41" s="193">
        <f>'1_REFERENCE'!AB55/'0_ENTREE'!F40*$L$16/$G$4</f>
        <v>61.050949888391763</v>
      </c>
      <c r="R41" s="193"/>
      <c r="S41" s="352" t="e">
        <f t="shared" si="5"/>
        <v>#DIV/0!</v>
      </c>
      <c r="W41" s="463"/>
    </row>
    <row r="42" spans="1:23" x14ac:dyDescent="0.25">
      <c r="A42" s="205">
        <v>9</v>
      </c>
      <c r="B42" s="37" t="str">
        <f>CONCATENATE("Ratio Chauffage - ",'0_ENTREE'!B41)</f>
        <v>Ratio Chauffage - GC - 304 - T3 - 66m²</v>
      </c>
      <c r="C42" s="193" t="e">
        <f t="shared" si="0"/>
        <v>#DIV/0!</v>
      </c>
      <c r="D42" s="193" t="e">
        <f>VLOOKUP(A42,'1_REFERENCE'!$A$47:$N$95,$C$6,FALSE)</f>
        <v>#DIV/0!</v>
      </c>
      <c r="E42" s="84">
        <f>'0_ENTREE'!I41</f>
        <v>617.6</v>
      </c>
      <c r="F42" s="85">
        <f>'0_ENTREE'!J41</f>
        <v>621.29999999999995</v>
      </c>
      <c r="G42" s="86">
        <f>'0_ENTREE'!K41</f>
        <v>34.9</v>
      </c>
      <c r="H42" s="87">
        <f>'0_ENTREE'!L41</f>
        <v>35.6</v>
      </c>
      <c r="I42" s="13"/>
      <c r="J42" s="133">
        <f t="shared" si="1"/>
        <v>43.023599999999206</v>
      </c>
      <c r="K42" s="345">
        <f t="shared" si="6"/>
        <v>4.4458222222213024</v>
      </c>
      <c r="L42" s="345" t="e">
        <f t="shared" si="2"/>
        <v>#DIV/0!</v>
      </c>
      <c r="M42" s="345" t="e">
        <f>L42/'0_ENTREE'!F41</f>
        <v>#DIV/0!</v>
      </c>
      <c r="N42" s="345" t="e">
        <f t="shared" si="3"/>
        <v>#DIV/0!</v>
      </c>
      <c r="O42" s="352" t="e">
        <f t="shared" si="4"/>
        <v>#DIV/0!</v>
      </c>
      <c r="Q42" s="193">
        <f>'1_REFERENCE'!AB56/'0_ENTREE'!F41*$L$16/$G$4</f>
        <v>252.11558828924385</v>
      </c>
      <c r="R42" s="193"/>
      <c r="S42" s="352" t="e">
        <f t="shared" si="5"/>
        <v>#DIV/0!</v>
      </c>
      <c r="W42" s="463"/>
    </row>
    <row r="43" spans="1:23" x14ac:dyDescent="0.25">
      <c r="A43" s="205">
        <v>10</v>
      </c>
      <c r="B43" s="505" t="str">
        <f>CONCATENATE("Ratio Chauffage - ",'0_ENTREE'!B42)</f>
        <v>Ratio Chauffage - GC - 306 - T3 - 66m²</v>
      </c>
      <c r="C43" s="193" t="e">
        <f t="shared" si="0"/>
        <v>#DIV/0!</v>
      </c>
      <c r="D43" s="193" t="e">
        <f>VLOOKUP(A43,'1_REFERENCE'!$A$47:$N$95,$C$6,FALSE)</f>
        <v>#DIV/0!</v>
      </c>
      <c r="E43" s="84">
        <f>'0_ENTREE'!I42</f>
        <v>578.6</v>
      </c>
      <c r="F43" s="85">
        <f>'0_ENTREE'!J42</f>
        <v>581.1</v>
      </c>
      <c r="G43" s="86">
        <f>'0_ENTREE'!K42</f>
        <v>9</v>
      </c>
      <c r="H43" s="87">
        <f>'0_ENTREE'!L42</f>
        <v>9.3000000000000007</v>
      </c>
      <c r="I43" s="13"/>
      <c r="J43" s="133">
        <f t="shared" si="1"/>
        <v>29.07</v>
      </c>
      <c r="K43" s="345">
        <f t="shared" si="6"/>
        <v>8.5366666666666369</v>
      </c>
      <c r="L43" s="345" t="e">
        <f t="shared" si="2"/>
        <v>#DIV/0!</v>
      </c>
      <c r="M43" s="345" t="e">
        <f>L43/'0_ENTREE'!F42</f>
        <v>#DIV/0!</v>
      </c>
      <c r="N43" s="345" t="e">
        <f t="shared" si="3"/>
        <v>#DIV/0!</v>
      </c>
      <c r="O43" s="352" t="e">
        <f t="shared" si="4"/>
        <v>#DIV/0!</v>
      </c>
      <c r="Q43" s="193">
        <f>'1_REFERENCE'!AB57/'0_ENTREE'!F42*$L$16/$G$4</f>
        <v>186.08053736771168</v>
      </c>
      <c r="R43" s="193"/>
      <c r="S43" s="352" t="e">
        <f t="shared" si="5"/>
        <v>#DIV/0!</v>
      </c>
      <c r="W43" s="463"/>
    </row>
    <row r="44" spans="1:23" x14ac:dyDescent="0.25">
      <c r="A44" s="205">
        <v>11</v>
      </c>
      <c r="B44" s="37" t="str">
        <f>CONCATENATE("Ratio Chauffage - ",'0_ENTREE'!B43)</f>
        <v>Ratio Chauffage - GC - 307 - T3 - 66m²</v>
      </c>
      <c r="C44" s="193" t="e">
        <f t="shared" si="0"/>
        <v>#DIV/0!</v>
      </c>
      <c r="D44" s="193" t="e">
        <f>VLOOKUP(A44,'1_REFERENCE'!$A$47:$N$95,$C$6,FALSE)</f>
        <v>#DIV/0!</v>
      </c>
      <c r="E44" s="84">
        <f>'0_ENTREE'!I43</f>
        <v>571.4</v>
      </c>
      <c r="F44" s="85">
        <f>'0_ENTREE'!J43</f>
        <v>578.79999999999995</v>
      </c>
      <c r="G44" s="86">
        <f>'0_ENTREE'!K43</f>
        <v>0</v>
      </c>
      <c r="H44" s="87">
        <f>'0_ENTREE'!L43</f>
        <v>0</v>
      </c>
      <c r="I44" s="13"/>
      <c r="J44" s="133">
        <f t="shared" si="1"/>
        <v>86.047199999999734</v>
      </c>
      <c r="K44" s="345">
        <f t="shared" si="6"/>
        <v>79.047199999999734</v>
      </c>
      <c r="L44" s="345" t="e">
        <f t="shared" si="2"/>
        <v>#DIV/0!</v>
      </c>
      <c r="M44" s="345" t="e">
        <f>L44/'0_ENTREE'!F43</f>
        <v>#DIV/0!</v>
      </c>
      <c r="N44" s="345" t="e">
        <f t="shared" si="3"/>
        <v>#DIV/0!</v>
      </c>
      <c r="O44" s="352" t="e">
        <f t="shared" si="4"/>
        <v>#DIV/0!</v>
      </c>
      <c r="Q44" s="193">
        <f>'1_REFERENCE'!AB58/'0_ENTREE'!F43*$L$16/$G$4</f>
        <v>160.11724712694095</v>
      </c>
      <c r="R44" s="193"/>
      <c r="S44" s="352" t="e">
        <f t="shared" si="5"/>
        <v>#DIV/0!</v>
      </c>
      <c r="W44" s="463"/>
    </row>
    <row r="45" spans="1:23" x14ac:dyDescent="0.25">
      <c r="A45" s="205">
        <v>12</v>
      </c>
      <c r="B45" s="37" t="str">
        <f>CONCATENATE("Ratio Chauffage - ",'0_ENTREE'!B44)</f>
        <v>Ratio Chauffage - GC - 308 - T3 - 66m²</v>
      </c>
      <c r="C45" s="193" t="e">
        <f t="shared" si="0"/>
        <v>#DIV/0!</v>
      </c>
      <c r="D45" s="193" t="e">
        <f>VLOOKUP(A45,'1_REFERENCE'!$A$47:$N$95,$C$6,FALSE)</f>
        <v>#DIV/0!</v>
      </c>
      <c r="E45" s="84">
        <f>'0_ENTREE'!I44</f>
        <v>606.5</v>
      </c>
      <c r="F45" s="85">
        <f>'0_ENTREE'!J44</f>
        <v>608.9</v>
      </c>
      <c r="G45" s="86">
        <f>'0_ENTREE'!K44</f>
        <v>12.7</v>
      </c>
      <c r="H45" s="87">
        <f>'0_ENTREE'!L44</f>
        <v>13.2</v>
      </c>
      <c r="I45" s="13"/>
      <c r="J45" s="133">
        <f t="shared" si="1"/>
        <v>27.907199999999737</v>
      </c>
      <c r="K45" s="345">
        <f t="shared" si="6"/>
        <v>-1.6483555555558169</v>
      </c>
      <c r="L45" s="345" t="e">
        <f t="shared" si="2"/>
        <v>#DIV/0!</v>
      </c>
      <c r="M45" s="345" t="e">
        <f>L45/'0_ENTREE'!F44</f>
        <v>#DIV/0!</v>
      </c>
      <c r="N45" s="345" t="e">
        <f t="shared" si="3"/>
        <v>#DIV/0!</v>
      </c>
      <c r="O45" s="352" t="e">
        <f t="shared" si="4"/>
        <v>#DIV/0!</v>
      </c>
      <c r="Q45" s="193">
        <f>'1_REFERENCE'!AB59/'0_ENTREE'!F44*$L$16/$G$4</f>
        <v>97.138516935297346</v>
      </c>
      <c r="R45" s="193"/>
      <c r="S45" s="352" t="e">
        <f t="shared" si="5"/>
        <v>#DIV/0!</v>
      </c>
      <c r="W45" s="463"/>
    </row>
    <row r="46" spans="1:23" x14ac:dyDescent="0.25">
      <c r="A46" s="205">
        <v>13</v>
      </c>
      <c r="B46" s="37" t="str">
        <f>CONCATENATE("Ratio Chauffage - ",'0_ENTREE'!B45)</f>
        <v>Ratio Chauffage - GC - 314 - T4 - 75m²</v>
      </c>
      <c r="C46" s="193" t="e">
        <f t="shared" si="0"/>
        <v>#DIV/0!</v>
      </c>
      <c r="D46" s="193" t="e">
        <f>VLOOKUP(A46,'1_REFERENCE'!$A$47:$N$95,$C$6,FALSE)</f>
        <v>#DIV/0!</v>
      </c>
      <c r="E46" s="84">
        <f>'0_ENTREE'!I45</f>
        <v>718.1</v>
      </c>
      <c r="F46" s="85">
        <f>'0_ENTREE'!J45</f>
        <v>728.9</v>
      </c>
      <c r="G46" s="86">
        <f>'0_ENTREE'!K45</f>
        <v>40.4</v>
      </c>
      <c r="H46" s="87">
        <f>'0_ENTREE'!L45</f>
        <v>42.6</v>
      </c>
      <c r="I46" s="13"/>
      <c r="J46" s="133">
        <f t="shared" si="1"/>
        <v>125.58239999999947</v>
      </c>
      <c r="K46" s="345">
        <f t="shared" si="6"/>
        <v>19.337955555554899</v>
      </c>
      <c r="L46" s="345" t="e">
        <f t="shared" si="2"/>
        <v>#DIV/0!</v>
      </c>
      <c r="M46" s="345" t="e">
        <f>L46/'0_ENTREE'!F45</f>
        <v>#DIV/0!</v>
      </c>
      <c r="N46" s="345" t="e">
        <f t="shared" si="3"/>
        <v>#DIV/0!</v>
      </c>
      <c r="O46" s="352" t="e">
        <f t="shared" si="4"/>
        <v>#DIV/0!</v>
      </c>
      <c r="Q46" s="193">
        <f>'1_REFERENCE'!AB60/'0_ENTREE'!F45*$L$16/$G$4</f>
        <v>410.06315641722955</v>
      </c>
      <c r="R46" s="193"/>
      <c r="S46" s="352" t="e">
        <f t="shared" si="5"/>
        <v>#DIV/0!</v>
      </c>
      <c r="W46" s="463"/>
    </row>
    <row r="47" spans="1:23" s="44" customFormat="1" ht="13.5" thickBot="1" x14ac:dyDescent="0.3">
      <c r="A47" s="205">
        <v>14</v>
      </c>
      <c r="B47" s="69" t="str">
        <f>CONCATENATE("Ratio Chauffage - ",'0_ENTREE'!B46)</f>
        <v>Ratio Chauffage - MOYENNE GC</v>
      </c>
      <c r="C47" s="194" t="e">
        <f>AVERAGE(C34:C46)</f>
        <v>#DIV/0!</v>
      </c>
      <c r="D47" s="194" t="e">
        <f t="shared" ref="D47" si="7">AVERAGE(D34:D46)</f>
        <v>#DIV/0!</v>
      </c>
      <c r="E47" s="196"/>
      <c r="F47" s="197"/>
      <c r="G47" s="198"/>
      <c r="H47" s="199"/>
      <c r="I47" s="28"/>
      <c r="J47" s="196"/>
      <c r="K47" s="197"/>
      <c r="L47" s="197"/>
      <c r="M47" s="197"/>
      <c r="N47" s="197"/>
      <c r="O47" s="199"/>
      <c r="Q47" s="194"/>
      <c r="R47" s="194"/>
      <c r="S47" s="408"/>
      <c r="W47" s="2"/>
    </row>
    <row r="48" spans="1:23" x14ac:dyDescent="0.25">
      <c r="A48" s="205">
        <v>15</v>
      </c>
      <c r="B48" s="45" t="str">
        <f>CONCATENATE("Ratio Chauffage - ",'0_ENTREE'!B47)</f>
        <v>Ratio Chauffage - GE2.1 - 275 - T3 - 74m²</v>
      </c>
      <c r="C48" s="192" t="e">
        <f>M48</f>
        <v>#DIV/0!</v>
      </c>
      <c r="D48" s="195" t="e">
        <f>VLOOKUP(A48,'1_REFERENCE'!$A$47:$N$95,$C$6,FALSE)</f>
        <v>#DIV/0!</v>
      </c>
      <c r="E48" s="88">
        <f>'0_ENTREE'!I47</f>
        <v>91.5</v>
      </c>
      <c r="F48" s="89">
        <f>'0_ENTREE'!J47</f>
        <v>96</v>
      </c>
      <c r="G48" s="90">
        <f>'0_ENTREE'!K47</f>
        <v>18.5</v>
      </c>
      <c r="H48" s="91">
        <f>'0_ENTREE'!L47</f>
        <v>19.5</v>
      </c>
      <c r="I48" s="13"/>
      <c r="J48" s="367">
        <f>(F48-E48)*$C$22</f>
        <v>52.326000000000001</v>
      </c>
      <c r="K48" s="344">
        <f>J48-(H48-G48)*$C$15-$C$14</f>
        <v>0.21488888888889335</v>
      </c>
      <c r="L48" s="344" t="e">
        <f t="shared" ref="L48:L60" si="8">K48*$G$8/$G$9</f>
        <v>#DIV/0!</v>
      </c>
      <c r="M48" s="344" t="e">
        <f>L48/'0_ENTREE'!F47</f>
        <v>#DIV/0!</v>
      </c>
      <c r="N48" s="344" t="e">
        <f>D48</f>
        <v>#DIV/0!</v>
      </c>
      <c r="O48" s="351" t="e">
        <f>(M48-N48)/N48</f>
        <v>#DIV/0!</v>
      </c>
      <c r="Q48" s="195">
        <f>'1_REFERENCE'!AB62/'0_ENTREE'!F47*$L$16/$G$4</f>
        <v>68.615777107048274</v>
      </c>
      <c r="R48" s="195"/>
      <c r="S48" s="407" t="e">
        <f t="shared" ref="S48:S60" si="9">(R48-Q48)/R48</f>
        <v>#DIV/0!</v>
      </c>
      <c r="W48" s="463"/>
    </row>
    <row r="49" spans="1:23" x14ac:dyDescent="0.25">
      <c r="A49" s="205">
        <v>16</v>
      </c>
      <c r="B49" s="37" t="str">
        <f>CONCATENATE("Ratio Chauffage - ",'0_ENTREE'!B48)</f>
        <v>Ratio Chauffage - GE2.1 - 278 - T2 - 57m²</v>
      </c>
      <c r="C49" s="193" t="e">
        <f t="shared" ref="C49:C60" si="10">M49</f>
        <v>#DIV/0!</v>
      </c>
      <c r="D49" s="193" t="e">
        <f>VLOOKUP(A49,'1_REFERENCE'!$A$47:$N$95,$C$6,FALSE)</f>
        <v>#DIV/0!</v>
      </c>
      <c r="E49" s="84">
        <f>'0_ENTREE'!I48</f>
        <v>452.3</v>
      </c>
      <c r="F49" s="85">
        <f>'0_ENTREE'!J48</f>
        <v>453.9</v>
      </c>
      <c r="G49" s="86">
        <f>'0_ENTREE'!K48</f>
        <v>2.6</v>
      </c>
      <c r="H49" s="87">
        <f>'0_ENTREE'!L48</f>
        <v>2.7</v>
      </c>
      <c r="I49" s="13"/>
      <c r="J49" s="133">
        <f t="shared" ref="J49:J60" si="11">(F49-E49)*$C$22</f>
        <v>18.604799999999603</v>
      </c>
      <c r="K49" s="345">
        <f>J49-(H49-G49)*$C$15-$C$14</f>
        <v>7.0936888888884884</v>
      </c>
      <c r="L49" s="345" t="e">
        <f t="shared" si="8"/>
        <v>#DIV/0!</v>
      </c>
      <c r="M49" s="345" t="e">
        <f>L49/'0_ENTREE'!F48</f>
        <v>#DIV/0!</v>
      </c>
      <c r="N49" s="345" t="e">
        <f t="shared" ref="N49:N60" si="12">D49</f>
        <v>#DIV/0!</v>
      </c>
      <c r="O49" s="352" t="e">
        <f t="shared" ref="O49:O60" si="13">(M49-N49)/N49</f>
        <v>#DIV/0!</v>
      </c>
      <c r="Q49" s="193">
        <f>'1_REFERENCE'!AB63/'0_ENTREE'!F48*$L$16/$G$4</f>
        <v>169.0449208379313</v>
      </c>
      <c r="R49" s="193"/>
      <c r="S49" s="352" t="e">
        <f t="shared" si="9"/>
        <v>#DIV/0!</v>
      </c>
      <c r="W49" s="463"/>
    </row>
    <row r="50" spans="1:23" x14ac:dyDescent="0.25">
      <c r="A50" s="205">
        <v>17</v>
      </c>
      <c r="B50" s="37" t="str">
        <f>CONCATENATE("Ratio Chauffage - ",'0_ENTREE'!B49)</f>
        <v>Ratio Chauffage - GE2.1 - 280 - T3 - 66m²</v>
      </c>
      <c r="C50" s="193" t="e">
        <f t="shared" si="10"/>
        <v>#DIV/0!</v>
      </c>
      <c r="D50" s="193" t="e">
        <f>VLOOKUP(A50,'1_REFERENCE'!$A$47:$N$95,$C$6,FALSE)</f>
        <v>#DIV/0!</v>
      </c>
      <c r="E50" s="84">
        <f>'0_ENTREE'!I49</f>
        <v>0.2</v>
      </c>
      <c r="F50" s="85">
        <f>'0_ENTREE'!J49</f>
        <v>0.5</v>
      </c>
      <c r="G50" s="86">
        <f>'0_ENTREE'!K49</f>
        <v>0.3</v>
      </c>
      <c r="H50" s="87">
        <f>'0_ENTREE'!L49</f>
        <v>0.4</v>
      </c>
      <c r="I50" s="13"/>
      <c r="J50" s="133">
        <f t="shared" si="11"/>
        <v>3.4883999999999999</v>
      </c>
      <c r="K50" s="345">
        <f t="shared" ref="K50:K60" si="14">J50-(H50-G50)*$C$15-$C$14</f>
        <v>-8.0227111111111125</v>
      </c>
      <c r="L50" s="345" t="e">
        <f t="shared" si="8"/>
        <v>#DIV/0!</v>
      </c>
      <c r="M50" s="345" t="e">
        <f>L50/'0_ENTREE'!F49</f>
        <v>#DIV/0!</v>
      </c>
      <c r="N50" s="345" t="e">
        <f t="shared" si="12"/>
        <v>#DIV/0!</v>
      </c>
      <c r="O50" s="352" t="e">
        <f t="shared" si="13"/>
        <v>#DIV/0!</v>
      </c>
      <c r="Q50" s="193">
        <f>'1_REFERENCE'!AB64/'0_ENTREE'!F49*$L$16/$G$4</f>
        <v>216.30415347438768</v>
      </c>
      <c r="R50" s="193"/>
      <c r="S50" s="352" t="e">
        <f t="shared" si="9"/>
        <v>#DIV/0!</v>
      </c>
      <c r="W50" s="463"/>
    </row>
    <row r="51" spans="1:23" x14ac:dyDescent="0.25">
      <c r="A51" s="205">
        <v>18</v>
      </c>
      <c r="B51" s="37" t="str">
        <f>CONCATENATE("Ratio Chauffage - ",'0_ENTREE'!B50)</f>
        <v>Ratio Chauffage - GE2.1 - 282 - T4 - 78m²</v>
      </c>
      <c r="C51" s="193" t="e">
        <f t="shared" si="10"/>
        <v>#DIV/0!</v>
      </c>
      <c r="D51" s="193" t="e">
        <f>VLOOKUP(A51,'1_REFERENCE'!$A$47:$N$95,$C$6,FALSE)</f>
        <v>#DIV/0!</v>
      </c>
      <c r="E51" s="84">
        <f>'0_ENTREE'!I50</f>
        <v>178.1</v>
      </c>
      <c r="F51" s="85">
        <f>'0_ENTREE'!J50</f>
        <v>181.3</v>
      </c>
      <c r="G51" s="86">
        <f>'0_ENTREE'!K50</f>
        <v>6.4</v>
      </c>
      <c r="H51" s="87">
        <f>'0_ENTREE'!L50</f>
        <v>6.7</v>
      </c>
      <c r="I51" s="13"/>
      <c r="J51" s="133">
        <f t="shared" si="11"/>
        <v>37.209600000000201</v>
      </c>
      <c r="K51" s="345">
        <f t="shared" si="14"/>
        <v>16.676266666666876</v>
      </c>
      <c r="L51" s="345" t="e">
        <f t="shared" si="8"/>
        <v>#DIV/0!</v>
      </c>
      <c r="M51" s="345" t="e">
        <f>L51/'0_ENTREE'!F50</f>
        <v>#DIV/0!</v>
      </c>
      <c r="N51" s="345" t="e">
        <f t="shared" si="12"/>
        <v>#DIV/0!</v>
      </c>
      <c r="O51" s="352" t="e">
        <f t="shared" si="13"/>
        <v>#DIV/0!</v>
      </c>
      <c r="Q51" s="193">
        <f>'1_REFERENCE'!AB65/'0_ENTREE'!F50*$L$16/$G$4</f>
        <v>36.035849973344483</v>
      </c>
      <c r="R51" s="193"/>
      <c r="S51" s="352" t="e">
        <f t="shared" si="9"/>
        <v>#DIV/0!</v>
      </c>
      <c r="W51" s="463"/>
    </row>
    <row r="52" spans="1:23" x14ac:dyDescent="0.25">
      <c r="A52" s="205">
        <v>19</v>
      </c>
      <c r="B52" s="37" t="str">
        <f>CONCATENATE("Ratio Chauffage - ",'0_ENTREE'!B51)</f>
        <v>Ratio Chauffage - GE2.1 - 292 - T3 - 63m²</v>
      </c>
      <c r="C52" s="193" t="e">
        <f t="shared" si="10"/>
        <v>#DIV/0!</v>
      </c>
      <c r="D52" s="193" t="e">
        <f>VLOOKUP(A52,'1_REFERENCE'!$A$47:$N$95,$C$6,FALSE)</f>
        <v>#DIV/0!</v>
      </c>
      <c r="E52" s="84">
        <f>'0_ENTREE'!I51</f>
        <v>387.9</v>
      </c>
      <c r="F52" s="85">
        <f>'0_ENTREE'!J51</f>
        <v>390.4</v>
      </c>
      <c r="G52" s="86">
        <f>'0_ENTREE'!K51</f>
        <v>9.1</v>
      </c>
      <c r="H52" s="87">
        <f>'0_ENTREE'!L51</f>
        <v>9.5</v>
      </c>
      <c r="I52" s="13"/>
      <c r="J52" s="133">
        <f t="shared" si="11"/>
        <v>29.07</v>
      </c>
      <c r="K52" s="345">
        <f t="shared" si="14"/>
        <v>4.0255555555555418</v>
      </c>
      <c r="L52" s="345" t="e">
        <f t="shared" si="8"/>
        <v>#DIV/0!</v>
      </c>
      <c r="M52" s="345" t="e">
        <f>L52/'0_ENTREE'!F51</f>
        <v>#DIV/0!</v>
      </c>
      <c r="N52" s="345" t="e">
        <f t="shared" si="12"/>
        <v>#DIV/0!</v>
      </c>
      <c r="O52" s="352" t="e">
        <f t="shared" si="13"/>
        <v>#DIV/0!</v>
      </c>
      <c r="Q52" s="193">
        <f>'1_REFERENCE'!AB66/'0_ENTREE'!F51*$L$16/$G$4</f>
        <v>196.75266836272186</v>
      </c>
      <c r="R52" s="193"/>
      <c r="S52" s="352" t="e">
        <f t="shared" si="9"/>
        <v>#DIV/0!</v>
      </c>
      <c r="W52" s="463"/>
    </row>
    <row r="53" spans="1:23" x14ac:dyDescent="0.25">
      <c r="A53" s="205">
        <v>20</v>
      </c>
      <c r="B53" s="37" t="str">
        <f>CONCATENATE("Ratio Chauffage - ",'0_ENTREE'!B52)</f>
        <v>Ratio Chauffage - GE2.1 - 293 - T3 - 63m²</v>
      </c>
      <c r="C53" s="193" t="e">
        <f t="shared" si="10"/>
        <v>#DIV/0!</v>
      </c>
      <c r="D53" s="193" t="e">
        <f>VLOOKUP(A53,'1_REFERENCE'!$A$47:$N$95,$C$6,FALSE)</f>
        <v>#DIV/0!</v>
      </c>
      <c r="E53" s="84">
        <f>'0_ENTREE'!I52</f>
        <v>145.4</v>
      </c>
      <c r="F53" s="85">
        <f>'0_ENTREE'!J52</f>
        <v>149.9</v>
      </c>
      <c r="G53" s="86">
        <f>'0_ENTREE'!K52</f>
        <v>18.2</v>
      </c>
      <c r="H53" s="87">
        <f>'0_ENTREE'!L52</f>
        <v>19</v>
      </c>
      <c r="I53" s="13"/>
      <c r="J53" s="133">
        <f t="shared" si="11"/>
        <v>52.326000000000001</v>
      </c>
      <c r="K53" s="345">
        <f t="shared" si="14"/>
        <v>9.2371111111110835</v>
      </c>
      <c r="L53" s="345" t="e">
        <f t="shared" si="8"/>
        <v>#DIV/0!</v>
      </c>
      <c r="M53" s="345" t="e">
        <f>L53/'0_ENTREE'!F52</f>
        <v>#DIV/0!</v>
      </c>
      <c r="N53" s="345" t="e">
        <f t="shared" si="12"/>
        <v>#DIV/0!</v>
      </c>
      <c r="O53" s="352" t="e">
        <f t="shared" si="13"/>
        <v>#DIV/0!</v>
      </c>
      <c r="Q53" s="193">
        <f>'1_REFERENCE'!AB67/'0_ENTREE'!F52*$L$16/$G$4</f>
        <v>99.160628125274144</v>
      </c>
      <c r="R53" s="193"/>
      <c r="S53" s="352" t="e">
        <f t="shared" si="9"/>
        <v>#DIV/0!</v>
      </c>
      <c r="W53" s="463"/>
    </row>
    <row r="54" spans="1:23" x14ac:dyDescent="0.25">
      <c r="A54" s="205">
        <v>21</v>
      </c>
      <c r="B54" s="37" t="str">
        <f>CONCATENATE("Ratio Chauffage - ",'0_ENTREE'!B53)</f>
        <v>Ratio Chauffage - GE2.1 - 295 - T3 - 63m²</v>
      </c>
      <c r="C54" s="193" t="e">
        <f t="shared" si="10"/>
        <v>#DIV/0!</v>
      </c>
      <c r="D54" s="193" t="e">
        <f>VLOOKUP(A54,'1_REFERENCE'!$A$47:$N$95,$C$6,FALSE)</f>
        <v>#DIV/0!</v>
      </c>
      <c r="E54" s="84">
        <f>'0_ENTREE'!I53</f>
        <v>680.6</v>
      </c>
      <c r="F54" s="85">
        <f>'0_ENTREE'!J53</f>
        <v>690.6</v>
      </c>
      <c r="G54" s="86">
        <f>'0_ENTREE'!K53</f>
        <v>38.299999999999997</v>
      </c>
      <c r="H54" s="87">
        <f>'0_ENTREE'!L53</f>
        <v>39.9</v>
      </c>
      <c r="I54" s="13"/>
      <c r="J54" s="133">
        <f t="shared" si="11"/>
        <v>116.28</v>
      </c>
      <c r="K54" s="345">
        <f t="shared" si="14"/>
        <v>37.102222222222167</v>
      </c>
      <c r="L54" s="345" t="e">
        <f t="shared" si="8"/>
        <v>#DIV/0!</v>
      </c>
      <c r="M54" s="345" t="e">
        <f>L54/'0_ENTREE'!F53</f>
        <v>#DIV/0!</v>
      </c>
      <c r="N54" s="345" t="e">
        <f t="shared" si="12"/>
        <v>#DIV/0!</v>
      </c>
      <c r="O54" s="352" t="e">
        <f t="shared" si="13"/>
        <v>#DIV/0!</v>
      </c>
      <c r="Q54" s="193">
        <f>'1_REFERENCE'!AB68/'0_ENTREE'!F53*$L$16/$G$4</f>
        <v>242.14469105477087</v>
      </c>
      <c r="R54" s="193"/>
      <c r="S54" s="352" t="e">
        <f t="shared" si="9"/>
        <v>#DIV/0!</v>
      </c>
      <c r="W54" s="463"/>
    </row>
    <row r="55" spans="1:23" x14ac:dyDescent="0.25">
      <c r="A55" s="205">
        <v>22</v>
      </c>
      <c r="B55" s="37" t="str">
        <f>CONCATENATE("Ratio Chauffage - ",'0_ENTREE'!B54)</f>
        <v>Ratio Chauffage - GE2.1 - 296 - T4 - 78m²</v>
      </c>
      <c r="C55" s="193" t="e">
        <f t="shared" si="10"/>
        <v>#DIV/0!</v>
      </c>
      <c r="D55" s="193" t="e">
        <f>VLOOKUP(A55,'1_REFERENCE'!$A$47:$N$95,$C$6,FALSE)</f>
        <v>#DIV/0!</v>
      </c>
      <c r="E55" s="84">
        <f>'0_ENTREE'!I54</f>
        <v>338.6</v>
      </c>
      <c r="F55" s="85">
        <f>'0_ENTREE'!J54</f>
        <v>340.6</v>
      </c>
      <c r="G55" s="86">
        <f>'0_ENTREE'!K54</f>
        <v>10.7</v>
      </c>
      <c r="H55" s="87">
        <f>'0_ENTREE'!L54</f>
        <v>11.2</v>
      </c>
      <c r="I55" s="13"/>
      <c r="J55" s="133">
        <f t="shared" si="11"/>
        <v>23.256</v>
      </c>
      <c r="K55" s="345">
        <f t="shared" si="14"/>
        <v>-6.2995555555555534</v>
      </c>
      <c r="L55" s="345" t="e">
        <f t="shared" si="8"/>
        <v>#DIV/0!</v>
      </c>
      <c r="M55" s="345" t="e">
        <f>L55/'0_ENTREE'!F54</f>
        <v>#DIV/0!</v>
      </c>
      <c r="N55" s="345" t="e">
        <f t="shared" si="12"/>
        <v>#DIV/0!</v>
      </c>
      <c r="O55" s="352" t="e">
        <f t="shared" si="13"/>
        <v>#DIV/0!</v>
      </c>
      <c r="Q55" s="193">
        <f>'1_REFERENCE'!AB69/'0_ENTREE'!F54*$L$16/$G$4</f>
        <v>169.63886170851694</v>
      </c>
      <c r="R55" s="193"/>
      <c r="S55" s="352" t="e">
        <f t="shared" si="9"/>
        <v>#DIV/0!</v>
      </c>
      <c r="W55" s="463"/>
    </row>
    <row r="56" spans="1:23" x14ac:dyDescent="0.25">
      <c r="A56" s="205">
        <v>23</v>
      </c>
      <c r="B56" s="37" t="str">
        <f>CONCATENATE("Ratio Chauffage - ",'0_ENTREE'!B55)</f>
        <v>Ratio Chauffage - GE2.1 - 297 - T4 - 79m²</v>
      </c>
      <c r="C56" s="193" t="e">
        <f t="shared" si="10"/>
        <v>#DIV/0!</v>
      </c>
      <c r="D56" s="193" t="e">
        <f>VLOOKUP(A56,'1_REFERENCE'!$A$47:$N$95,$C$6,FALSE)</f>
        <v>#DIV/0!</v>
      </c>
      <c r="E56" s="84">
        <f>'0_ENTREE'!I55</f>
        <v>1114.5</v>
      </c>
      <c r="F56" s="85">
        <f>'0_ENTREE'!J55</f>
        <v>1146.4000000000001</v>
      </c>
      <c r="G56" s="86">
        <f>'0_ENTREE'!K55</f>
        <v>53.3</v>
      </c>
      <c r="H56" s="87">
        <f>'0_ENTREE'!L55</f>
        <v>54.9</v>
      </c>
      <c r="I56" s="13"/>
      <c r="J56" s="133">
        <f>(F56-E56)*$C$22</f>
        <v>370.93320000000108</v>
      </c>
      <c r="K56" s="345">
        <f t="shared" si="14"/>
        <v>291.75542222222327</v>
      </c>
      <c r="L56" s="345" t="e">
        <f t="shared" si="8"/>
        <v>#DIV/0!</v>
      </c>
      <c r="M56" s="345" t="e">
        <f>L56/'0_ENTREE'!F55</f>
        <v>#DIV/0!</v>
      </c>
      <c r="N56" s="345" t="e">
        <f t="shared" si="12"/>
        <v>#DIV/0!</v>
      </c>
      <c r="O56" s="352" t="e">
        <f t="shared" si="13"/>
        <v>#DIV/0!</v>
      </c>
      <c r="Q56" s="193">
        <f>'1_REFERENCE'!AB70/'0_ENTREE'!F55*$L$16/$G$4</f>
        <v>291.00815861040439</v>
      </c>
      <c r="R56" s="193"/>
      <c r="S56" s="352" t="e">
        <f t="shared" si="9"/>
        <v>#DIV/0!</v>
      </c>
      <c r="W56" s="463"/>
    </row>
    <row r="57" spans="1:23" x14ac:dyDescent="0.25">
      <c r="A57" s="205">
        <v>24</v>
      </c>
      <c r="B57" s="37" t="str">
        <f>CONCATENATE("Ratio Chauffage - ",'0_ENTREE'!B56)</f>
        <v>Ratio Chauffage - GE2.1 - 299 - T4 - 79m²</v>
      </c>
      <c r="C57" s="193" t="e">
        <f t="shared" si="10"/>
        <v>#DIV/0!</v>
      </c>
      <c r="D57" s="193" t="e">
        <f>VLOOKUP(A57,'1_REFERENCE'!$A$47:$N$95,$C$6,FALSE)</f>
        <v>#DIV/0!</v>
      </c>
      <c r="E57" s="84">
        <f>'0_ENTREE'!I56</f>
        <v>109.9</v>
      </c>
      <c r="F57" s="85">
        <f>'0_ENTREE'!J56</f>
        <v>111.6</v>
      </c>
      <c r="G57" s="86">
        <f>'0_ENTREE'!K56</f>
        <v>14.1</v>
      </c>
      <c r="H57" s="87">
        <f>'0_ENTREE'!L56</f>
        <v>14.3</v>
      </c>
      <c r="I57" s="13"/>
      <c r="J57" s="133">
        <f t="shared" si="11"/>
        <v>19.767599999999867</v>
      </c>
      <c r="K57" s="345">
        <f t="shared" si="14"/>
        <v>3.7453777777775965</v>
      </c>
      <c r="L57" s="345" t="e">
        <f t="shared" si="8"/>
        <v>#DIV/0!</v>
      </c>
      <c r="M57" s="345" t="e">
        <f>L57/'0_ENTREE'!F56</f>
        <v>#DIV/0!</v>
      </c>
      <c r="N57" s="345" t="e">
        <f t="shared" si="12"/>
        <v>#DIV/0!</v>
      </c>
      <c r="O57" s="352" t="e">
        <f t="shared" si="13"/>
        <v>#DIV/0!</v>
      </c>
      <c r="Q57" s="193">
        <f>'1_REFERENCE'!AB71/'0_ENTREE'!F56*$L$16/$G$4</f>
        <v>47.856566365470655</v>
      </c>
      <c r="R57" s="193"/>
      <c r="S57" s="352" t="e">
        <f t="shared" si="9"/>
        <v>#DIV/0!</v>
      </c>
      <c r="W57" s="463"/>
    </row>
    <row r="58" spans="1:23" x14ac:dyDescent="0.25">
      <c r="A58" s="205">
        <v>25</v>
      </c>
      <c r="B58" s="37" t="str">
        <f>CONCATENATE("Ratio Chauffage - ",'0_ENTREE'!B57)</f>
        <v>Ratio Chauffage - GE2.1 - 300 - T5 - 93m²</v>
      </c>
      <c r="C58" s="193" t="e">
        <f t="shared" si="10"/>
        <v>#DIV/0!</v>
      </c>
      <c r="D58" s="193" t="e">
        <f>VLOOKUP(A58,'1_REFERENCE'!$A$47:$N$95,$C$6,FALSE)</f>
        <v>#DIV/0!</v>
      </c>
      <c r="E58" s="84">
        <f>'0_ENTREE'!I57</f>
        <v>354.6</v>
      </c>
      <c r="F58" s="85">
        <f>'0_ENTREE'!J57</f>
        <v>359.1</v>
      </c>
      <c r="G58" s="86">
        <f>'0_ENTREE'!K57</f>
        <v>26.3</v>
      </c>
      <c r="H58" s="87">
        <f>'0_ENTREE'!L57</f>
        <v>27.3</v>
      </c>
      <c r="I58" s="13"/>
      <c r="J58" s="133">
        <f t="shared" si="11"/>
        <v>52.326000000000001</v>
      </c>
      <c r="K58" s="345">
        <f t="shared" si="14"/>
        <v>0.21488888888889335</v>
      </c>
      <c r="L58" s="345" t="e">
        <f t="shared" si="8"/>
        <v>#DIV/0!</v>
      </c>
      <c r="M58" s="345" t="e">
        <f>L58/'0_ENTREE'!F57</f>
        <v>#DIV/0!</v>
      </c>
      <c r="N58" s="345" t="e">
        <f t="shared" si="12"/>
        <v>#DIV/0!</v>
      </c>
      <c r="O58" s="352" t="e">
        <f t="shared" si="13"/>
        <v>#DIV/0!</v>
      </c>
      <c r="Q58" s="193">
        <f>'1_REFERENCE'!AB72/'0_ENTREE'!F57*$L$16/$G$4</f>
        <v>48.484858603895638</v>
      </c>
      <c r="R58" s="193"/>
      <c r="S58" s="352" t="e">
        <f t="shared" si="9"/>
        <v>#DIV/0!</v>
      </c>
      <c r="W58" s="463"/>
    </row>
    <row r="59" spans="1:23" x14ac:dyDescent="0.25">
      <c r="A59" s="205">
        <v>26</v>
      </c>
      <c r="B59" s="37" t="str">
        <f>CONCATENATE("Ratio Chauffage - ",'0_ENTREE'!B58)</f>
        <v>Ratio Chauffage - GE2.1 - 302 - T5 - 93m²</v>
      </c>
      <c r="C59" s="193" t="e">
        <f t="shared" si="10"/>
        <v>#DIV/0!</v>
      </c>
      <c r="D59" s="193" t="e">
        <f>VLOOKUP(A59,'1_REFERENCE'!$A$47:$N$95,$C$6,FALSE)</f>
        <v>#DIV/0!</v>
      </c>
      <c r="E59" s="84">
        <f>'0_ENTREE'!I58</f>
        <v>791.9</v>
      </c>
      <c r="F59" s="85">
        <f>'0_ENTREE'!J58</f>
        <v>796.2</v>
      </c>
      <c r="G59" s="86">
        <f>'0_ENTREE'!K58</f>
        <v>17</v>
      </c>
      <c r="H59" s="87">
        <f>'0_ENTREE'!L58</f>
        <v>17.600000000000001</v>
      </c>
      <c r="I59" s="13"/>
      <c r="J59" s="133">
        <f t="shared" si="11"/>
        <v>50.000400000000795</v>
      </c>
      <c r="K59" s="345">
        <f t="shared" si="14"/>
        <v>15.933733333334068</v>
      </c>
      <c r="L59" s="345" t="e">
        <f t="shared" si="8"/>
        <v>#DIV/0!</v>
      </c>
      <c r="M59" s="345" t="e">
        <f>L59/'0_ENTREE'!F58</f>
        <v>#DIV/0!</v>
      </c>
      <c r="N59" s="345" t="e">
        <f t="shared" si="12"/>
        <v>#DIV/0!</v>
      </c>
      <c r="O59" s="352" t="e">
        <f t="shared" si="13"/>
        <v>#DIV/0!</v>
      </c>
      <c r="Q59" s="193">
        <f>'1_REFERENCE'!AB73/'0_ENTREE'!F58*$L$16/$G$4</f>
        <v>162.23695343960563</v>
      </c>
      <c r="R59" s="193"/>
      <c r="S59" s="352" t="e">
        <f t="shared" si="9"/>
        <v>#DIV/0!</v>
      </c>
      <c r="W59" s="463"/>
    </row>
    <row r="60" spans="1:23" x14ac:dyDescent="0.25">
      <c r="A60" s="205">
        <v>27</v>
      </c>
      <c r="B60" s="37" t="str">
        <f>CONCATENATE("Ratio Chauffage - ",'0_ENTREE'!B59)</f>
        <v>Ratio Chauffage - GE2.1 - 312 - T4 - 75m²</v>
      </c>
      <c r="C60" s="193" t="e">
        <f t="shared" si="10"/>
        <v>#DIV/0!</v>
      </c>
      <c r="D60" s="193" t="e">
        <f>VLOOKUP(A60,'1_REFERENCE'!$A$47:$N$95,$C$6,FALSE)</f>
        <v>#DIV/0!</v>
      </c>
      <c r="E60" s="84">
        <f>'0_ENTREE'!I59</f>
        <v>128.19999999999999</v>
      </c>
      <c r="F60" s="85">
        <f>'0_ENTREE'!J59</f>
        <v>130</v>
      </c>
      <c r="G60" s="86">
        <f>'0_ENTREE'!K59</f>
        <v>25.1</v>
      </c>
      <c r="H60" s="87">
        <f>'0_ENTREE'!L59</f>
        <v>25.6</v>
      </c>
      <c r="I60" s="13"/>
      <c r="J60" s="133">
        <f t="shared" si="11"/>
        <v>20.930400000000134</v>
      </c>
      <c r="K60" s="345">
        <f t="shared" si="14"/>
        <v>-8.6251555555554198</v>
      </c>
      <c r="L60" s="345" t="e">
        <f t="shared" si="8"/>
        <v>#DIV/0!</v>
      </c>
      <c r="M60" s="345" t="e">
        <f>L60/'0_ENTREE'!F59</f>
        <v>#DIV/0!</v>
      </c>
      <c r="N60" s="345" t="e">
        <f t="shared" si="12"/>
        <v>#DIV/0!</v>
      </c>
      <c r="O60" s="352" t="e">
        <f t="shared" si="13"/>
        <v>#DIV/0!</v>
      </c>
      <c r="Q60" s="193">
        <f>'1_REFERENCE'!AB74/'0_ENTREE'!F59*$L$16/$G$4</f>
        <v>44.717368190192119</v>
      </c>
      <c r="R60" s="193"/>
      <c r="S60" s="352" t="e">
        <f t="shared" si="9"/>
        <v>#DIV/0!</v>
      </c>
      <c r="W60" s="463"/>
    </row>
    <row r="61" spans="1:23" s="44" customFormat="1" ht="13.5" thickBot="1" x14ac:dyDescent="0.3">
      <c r="A61" s="205">
        <v>28</v>
      </c>
      <c r="B61" s="69" t="str">
        <f>CONCATENATE("Ratio Chauffage - ",'0_ENTREE'!B60)</f>
        <v>Ratio Chauffage - MOYENNE GE2.1</v>
      </c>
      <c r="C61" s="194" t="e">
        <f>AVERAGE(C48:C60)</f>
        <v>#DIV/0!</v>
      </c>
      <c r="D61" s="194" t="e">
        <f t="shared" ref="D61" si="15">AVERAGE(D48:D60)</f>
        <v>#DIV/0!</v>
      </c>
      <c r="E61" s="196"/>
      <c r="F61" s="197"/>
      <c r="G61" s="198"/>
      <c r="H61" s="199"/>
      <c r="I61" s="28"/>
      <c r="J61" s="196"/>
      <c r="K61" s="197"/>
      <c r="L61" s="197"/>
      <c r="M61" s="197"/>
      <c r="N61" s="197"/>
      <c r="O61" s="199"/>
      <c r="Q61" s="194"/>
      <c r="R61" s="194"/>
      <c r="S61" s="408"/>
      <c r="W61" s="2"/>
    </row>
    <row r="62" spans="1:23" x14ac:dyDescent="0.25">
      <c r="A62" s="205">
        <v>29</v>
      </c>
      <c r="B62" s="45" t="str">
        <f>CONCATENATE("Ratio Chauffage - ",'0_ENTREE'!B61)</f>
        <v>Ratio Chauffage - GE2.2 - 271 - T3 - 74m²</v>
      </c>
      <c r="C62" s="192" t="e">
        <f>M62</f>
        <v>#DIV/0!</v>
      </c>
      <c r="D62" s="195" t="e">
        <f>VLOOKUP(A62,'1_REFERENCE'!$A$47:$N$95,$C$6,FALSE)</f>
        <v>#DIV/0!</v>
      </c>
      <c r="E62" s="88">
        <f>'0_ENTREE'!I61</f>
        <v>280.8</v>
      </c>
      <c r="F62" s="89">
        <f>'0_ENTREE'!J61</f>
        <v>285.5</v>
      </c>
      <c r="G62" s="90">
        <f>'0_ENTREE'!K61</f>
        <v>26.7</v>
      </c>
      <c r="H62" s="91">
        <f>'0_ENTREE'!L61</f>
        <v>27.9</v>
      </c>
      <c r="I62" s="13"/>
      <c r="J62" s="367">
        <f>(F62-E62)*$C$22</f>
        <v>54.651599999999867</v>
      </c>
      <c r="K62" s="344">
        <f>J62-(H62-G62)*$C$15-$C$14</f>
        <v>-6.4817333333334304</v>
      </c>
      <c r="L62" s="344" t="e">
        <f t="shared" ref="L62:L74" si="16">K62*$G$8/$G$9</f>
        <v>#DIV/0!</v>
      </c>
      <c r="M62" s="344" t="e">
        <f>L62/'0_ENTREE'!F61</f>
        <v>#DIV/0!</v>
      </c>
      <c r="N62" s="344" t="e">
        <f>D62</f>
        <v>#DIV/0!</v>
      </c>
      <c r="O62" s="351" t="e">
        <f>(M62-N62)/N62</f>
        <v>#DIV/0!</v>
      </c>
      <c r="Q62" s="454">
        <f>'1_REFERENCE'!AB76/'0_ENTREE'!F61*$L$16/$G$4</f>
        <v>99.550699089298945</v>
      </c>
      <c r="R62" s="195"/>
      <c r="S62" s="407" t="e">
        <f t="shared" ref="S62:S74" si="17">(R62-Q62)/R62</f>
        <v>#DIV/0!</v>
      </c>
      <c r="W62" s="463"/>
    </row>
    <row r="63" spans="1:23" x14ac:dyDescent="0.25">
      <c r="A63" s="205">
        <v>30</v>
      </c>
      <c r="B63" s="37" t="str">
        <f>CONCATENATE("Ratio Chauffage - ",'0_ENTREE'!B62)</f>
        <v>Ratio Chauffage - GE2.2 - 272 - T3 - 74m²</v>
      </c>
      <c r="C63" s="193" t="e">
        <f t="shared" ref="C63:C74" si="18">M63</f>
        <v>#DIV/0!</v>
      </c>
      <c r="D63" s="193" t="e">
        <f>VLOOKUP(A63,'1_REFERENCE'!$A$47:$N$95,$C$6,FALSE)</f>
        <v>#DIV/0!</v>
      </c>
      <c r="E63" s="84">
        <f>'0_ENTREE'!I62</f>
        <v>304.5</v>
      </c>
      <c r="F63" s="85">
        <f>'0_ENTREE'!J62</f>
        <v>305.10000000000002</v>
      </c>
      <c r="G63" s="86">
        <f>'0_ENTREE'!K62</f>
        <v>3.9</v>
      </c>
      <c r="H63" s="87">
        <f>'0_ENTREE'!L62</f>
        <v>4</v>
      </c>
      <c r="I63" s="13"/>
      <c r="J63" s="133">
        <f t="shared" ref="J63:J74" si="19">(F63-E63)*$C$22</f>
        <v>6.9768000000002646</v>
      </c>
      <c r="K63" s="345">
        <f>J63-(H63-G63)*$C$15-$C$14</f>
        <v>-4.5343111111108501</v>
      </c>
      <c r="L63" s="345" t="e">
        <f t="shared" si="16"/>
        <v>#DIV/0!</v>
      </c>
      <c r="M63" s="345" t="e">
        <f>L63/'0_ENTREE'!F62</f>
        <v>#DIV/0!</v>
      </c>
      <c r="N63" s="345" t="e">
        <f t="shared" ref="N63:N74" si="20">D63</f>
        <v>#DIV/0!</v>
      </c>
      <c r="O63" s="352" t="e">
        <f t="shared" ref="O63:O74" si="21">(M63-N63)/N63</f>
        <v>#DIV/0!</v>
      </c>
      <c r="Q63" s="455">
        <f>'1_REFERENCE'!AB77/'0_ENTREE'!F62*$L$16/$G$4</f>
        <v>102.13893466235777</v>
      </c>
      <c r="R63" s="193"/>
      <c r="S63" s="352" t="e">
        <f t="shared" si="17"/>
        <v>#DIV/0!</v>
      </c>
      <c r="U63" s="456" t="s">
        <v>320</v>
      </c>
      <c r="V63" s="1">
        <v>1</v>
      </c>
      <c r="W63" s="463">
        <v>35</v>
      </c>
    </row>
    <row r="64" spans="1:23" x14ac:dyDescent="0.25">
      <c r="A64" s="205">
        <v>31</v>
      </c>
      <c r="B64" s="37" t="str">
        <f>CONCATENATE("Ratio Chauffage - ",'0_ENTREE'!B63)</f>
        <v>Ratio Chauffage - GE2.2 - 273 - T3 - 74m²</v>
      </c>
      <c r="C64" s="193" t="e">
        <f t="shared" si="18"/>
        <v>#DIV/0!</v>
      </c>
      <c r="D64" s="193" t="e">
        <f>VLOOKUP(A64,'1_REFERENCE'!$A$47:$N$95,$C$6,FALSE)</f>
        <v>#DIV/0!</v>
      </c>
      <c r="E64" s="84">
        <f>'0_ENTREE'!I63</f>
        <v>697.1</v>
      </c>
      <c r="F64" s="85">
        <f>'0_ENTREE'!J63</f>
        <v>701.4</v>
      </c>
      <c r="G64" s="86">
        <f>'0_ENTREE'!K63</f>
        <v>18.8</v>
      </c>
      <c r="H64" s="87">
        <f>'0_ENTREE'!L63</f>
        <v>19.7</v>
      </c>
      <c r="I64" s="13"/>
      <c r="J64" s="133">
        <f t="shared" si="19"/>
        <v>50.000399999999473</v>
      </c>
      <c r="K64" s="345">
        <f t="shared" ref="K64:K74" si="22">J64-(H64-G64)*$C$15-$C$14</f>
        <v>2.4003999999995429</v>
      </c>
      <c r="L64" s="345" t="e">
        <f t="shared" si="16"/>
        <v>#DIV/0!</v>
      </c>
      <c r="M64" s="345" t="e">
        <f>L64/'0_ENTREE'!F63</f>
        <v>#DIV/0!</v>
      </c>
      <c r="N64" s="345" t="e">
        <f t="shared" si="20"/>
        <v>#DIV/0!</v>
      </c>
      <c r="O64" s="352" t="e">
        <f t="shared" si="21"/>
        <v>#DIV/0!</v>
      </c>
      <c r="Q64" s="455">
        <f>'1_REFERENCE'!AB78/'0_ENTREE'!F63*$L$16/$G$4</f>
        <v>303.29164720470976</v>
      </c>
      <c r="R64" s="193"/>
      <c r="S64" s="352" t="e">
        <f t="shared" si="17"/>
        <v>#DIV/0!</v>
      </c>
      <c r="U64" s="453" t="s">
        <v>319</v>
      </c>
      <c r="V64" s="1">
        <v>1</v>
      </c>
      <c r="W64" s="463">
        <v>30</v>
      </c>
    </row>
    <row r="65" spans="1:23" x14ac:dyDescent="0.25">
      <c r="A65" s="205">
        <v>32</v>
      </c>
      <c r="B65" s="37" t="str">
        <f>CONCATENATE("Ratio Chauffage - ",'0_ENTREE'!B64)</f>
        <v>Ratio Chauffage - GE2.2 - 276 - T4 - 83m²</v>
      </c>
      <c r="C65" s="193" t="e">
        <f t="shared" si="18"/>
        <v>#DIV/0!</v>
      </c>
      <c r="D65" s="193" t="e">
        <f>VLOOKUP(A65,'1_REFERENCE'!$A$47:$N$95,$C$6,FALSE)</f>
        <v>#DIV/0!</v>
      </c>
      <c r="E65" s="84">
        <f>'0_ENTREE'!I64</f>
        <v>279.3</v>
      </c>
      <c r="F65" s="85">
        <f>'0_ENTREE'!J64</f>
        <v>282.60000000000002</v>
      </c>
      <c r="G65" s="86">
        <f>'0_ENTREE'!K64</f>
        <v>18.7</v>
      </c>
      <c r="H65" s="87">
        <f>'0_ENTREE'!L64</f>
        <v>19.399999999999999</v>
      </c>
      <c r="I65" s="13"/>
      <c r="J65" s="133">
        <f t="shared" si="19"/>
        <v>38.372400000000134</v>
      </c>
      <c r="K65" s="345">
        <f t="shared" si="22"/>
        <v>-0.20537777777760979</v>
      </c>
      <c r="L65" s="345" t="e">
        <f t="shared" si="16"/>
        <v>#DIV/0!</v>
      </c>
      <c r="M65" s="345" t="e">
        <f>L65/'0_ENTREE'!F64</f>
        <v>#DIV/0!</v>
      </c>
      <c r="N65" s="345" t="e">
        <f t="shared" si="20"/>
        <v>#DIV/0!</v>
      </c>
      <c r="O65" s="352" t="e">
        <f t="shared" si="21"/>
        <v>#DIV/0!</v>
      </c>
      <c r="Q65" s="455">
        <f>'1_REFERENCE'!AB79/'0_ENTREE'!F64*$L$16/$G$4</f>
        <v>123.54163914188203</v>
      </c>
      <c r="R65" s="193"/>
      <c r="S65" s="352" t="e">
        <f t="shared" si="17"/>
        <v>#DIV/0!</v>
      </c>
      <c r="U65" s="453" t="s">
        <v>318</v>
      </c>
      <c r="V65" s="1">
        <v>7</v>
      </c>
      <c r="W65" s="463">
        <v>25</v>
      </c>
    </row>
    <row r="66" spans="1:23" x14ac:dyDescent="0.25">
      <c r="A66" s="205">
        <v>33</v>
      </c>
      <c r="B66" s="37" t="str">
        <f>CONCATENATE("Ratio Chauffage - ",'0_ENTREE'!B65)</f>
        <v>Ratio Chauffage - GE2.2 - 279 - T3 - 70m²</v>
      </c>
      <c r="C66" s="193" t="e">
        <f t="shared" si="18"/>
        <v>#DIV/0!</v>
      </c>
      <c r="D66" s="193" t="e">
        <f>VLOOKUP(A66,'1_REFERENCE'!$A$47:$N$95,$C$6,FALSE)</f>
        <v>#DIV/0!</v>
      </c>
      <c r="E66" s="84">
        <f>'0_ENTREE'!I65</f>
        <v>479.6</v>
      </c>
      <c r="F66" s="85">
        <f>'0_ENTREE'!J65</f>
        <v>483.4</v>
      </c>
      <c r="G66" s="86">
        <f>'0_ENTREE'!K65</f>
        <v>15.3</v>
      </c>
      <c r="H66" s="87">
        <f>'0_ENTREE'!L65</f>
        <v>16.2</v>
      </c>
      <c r="I66" s="13"/>
      <c r="J66" s="133">
        <f t="shared" si="19"/>
        <v>44.186399999999473</v>
      </c>
      <c r="K66" s="345">
        <f t="shared" si="22"/>
        <v>-3.4136000000004572</v>
      </c>
      <c r="L66" s="345" t="e">
        <f t="shared" si="16"/>
        <v>#DIV/0!</v>
      </c>
      <c r="M66" s="345" t="e">
        <f>L66/'0_ENTREE'!F65</f>
        <v>#DIV/0!</v>
      </c>
      <c r="N66" s="345" t="e">
        <f t="shared" si="20"/>
        <v>#DIV/0!</v>
      </c>
      <c r="O66" s="352" t="e">
        <f t="shared" si="21"/>
        <v>#DIV/0!</v>
      </c>
      <c r="Q66" s="455">
        <f>'1_REFERENCE'!AB80/'0_ENTREE'!F65*$L$16/$G$4</f>
        <v>117.81388718308622</v>
      </c>
      <c r="R66" s="193"/>
      <c r="S66" s="352" t="e">
        <f t="shared" si="17"/>
        <v>#DIV/0!</v>
      </c>
      <c r="U66" s="453" t="s">
        <v>321</v>
      </c>
      <c r="V66" s="1">
        <v>2</v>
      </c>
      <c r="W66" s="463">
        <v>20</v>
      </c>
    </row>
    <row r="67" spans="1:23" x14ac:dyDescent="0.25">
      <c r="A67" s="205">
        <v>34</v>
      </c>
      <c r="B67" s="505" t="str">
        <f>CONCATENATE("Ratio Chauffage - ",'0_ENTREE'!B66)</f>
        <v>Ratio Chauffage - GE2.2 - 288 - T3 - 68m²</v>
      </c>
      <c r="C67" s="193" t="e">
        <f t="shared" si="18"/>
        <v>#DIV/0!</v>
      </c>
      <c r="D67" s="193" t="e">
        <f>VLOOKUP(A67,'1_REFERENCE'!$A$47:$N$95,$C$6,FALSE)</f>
        <v>#DIV/0!</v>
      </c>
      <c r="E67" s="84">
        <f>'0_ENTREE'!I66</f>
        <v>79.2</v>
      </c>
      <c r="F67" s="85">
        <f>'0_ENTREE'!J66</f>
        <v>81</v>
      </c>
      <c r="G67" s="86">
        <f>'0_ENTREE'!K66</f>
        <v>3.7</v>
      </c>
      <c r="H67" s="87">
        <f>'0_ENTREE'!L66</f>
        <v>3.8</v>
      </c>
      <c r="I67" s="13"/>
      <c r="J67" s="133">
        <f t="shared" si="19"/>
        <v>20.930399999999967</v>
      </c>
      <c r="K67" s="345">
        <f t="shared" si="22"/>
        <v>9.4192888888888717</v>
      </c>
      <c r="L67" s="345" t="e">
        <f t="shared" si="16"/>
        <v>#DIV/0!</v>
      </c>
      <c r="M67" s="345" t="e">
        <f>L67/'0_ENTREE'!F66</f>
        <v>#DIV/0!</v>
      </c>
      <c r="N67" s="345" t="e">
        <f t="shared" si="20"/>
        <v>#DIV/0!</v>
      </c>
      <c r="O67" s="352" t="e">
        <f t="shared" si="21"/>
        <v>#DIV/0!</v>
      </c>
      <c r="Q67" s="455">
        <f>'1_REFERENCE'!AB81/'0_ENTREE'!F66*$L$16/$G$4</f>
        <v>81.486904166000116</v>
      </c>
      <c r="R67" s="193"/>
      <c r="S67" s="352" t="e">
        <f t="shared" si="17"/>
        <v>#DIV/0!</v>
      </c>
      <c r="U67" s="453" t="s">
        <v>322</v>
      </c>
      <c r="V67" s="1">
        <v>1</v>
      </c>
      <c r="W67" s="463">
        <v>15</v>
      </c>
    </row>
    <row r="68" spans="1:23" x14ac:dyDescent="0.25">
      <c r="A68" s="205">
        <v>35</v>
      </c>
      <c r="B68" s="37" t="str">
        <f>CONCATENATE("Ratio Chauffage - ",'0_ENTREE'!B67)</f>
        <v>Ratio Chauffage - GE2.2 - 291 - T3 - 62m²</v>
      </c>
      <c r="C68" s="193" t="e">
        <f t="shared" si="18"/>
        <v>#DIV/0!</v>
      </c>
      <c r="D68" s="193" t="e">
        <f>VLOOKUP(A68,'1_REFERENCE'!$A$47:$N$95,$C$6,FALSE)</f>
        <v>#DIV/0!</v>
      </c>
      <c r="E68" s="84">
        <f>'0_ENTREE'!I67</f>
        <v>304.3</v>
      </c>
      <c r="F68" s="85">
        <f>'0_ENTREE'!J67</f>
        <v>304.60000000000002</v>
      </c>
      <c r="G68" s="86">
        <f>'0_ENTREE'!K67</f>
        <v>0</v>
      </c>
      <c r="H68" s="87">
        <f>'0_ENTREE'!L67</f>
        <v>0</v>
      </c>
      <c r="I68" s="13"/>
      <c r="J68" s="133">
        <f t="shared" si="19"/>
        <v>3.4884000000001323</v>
      </c>
      <c r="K68" s="345">
        <f t="shared" si="22"/>
        <v>-3.5115999999998677</v>
      </c>
      <c r="L68" s="345" t="e">
        <f t="shared" si="16"/>
        <v>#DIV/0!</v>
      </c>
      <c r="M68" s="345" t="e">
        <f>L68/'0_ENTREE'!F67</f>
        <v>#DIV/0!</v>
      </c>
      <c r="N68" s="345" t="e">
        <f t="shared" si="20"/>
        <v>#DIV/0!</v>
      </c>
      <c r="O68" s="352" t="e">
        <f t="shared" si="21"/>
        <v>#DIV/0!</v>
      </c>
      <c r="Q68" s="455">
        <f>'1_REFERENCE'!AB82/'0_ENTREE'!F67*$L$16/$G$4</f>
        <v>190.97075012239327</v>
      </c>
      <c r="R68" s="193"/>
      <c r="S68" s="352" t="e">
        <f t="shared" si="17"/>
        <v>#DIV/0!</v>
      </c>
      <c r="U68" s="453" t="s">
        <v>323</v>
      </c>
      <c r="W68" s="463">
        <v>10</v>
      </c>
    </row>
    <row r="69" spans="1:23" x14ac:dyDescent="0.25">
      <c r="A69" s="205">
        <v>36</v>
      </c>
      <c r="B69" s="37" t="str">
        <f>CONCATENATE("Ratio Chauffage - ",'0_ENTREE'!B68)</f>
        <v>Ratio Chauffage - GE2.2 - 294 - T3 - 63m²</v>
      </c>
      <c r="C69" s="193" t="e">
        <f t="shared" si="18"/>
        <v>#DIV/0!</v>
      </c>
      <c r="D69" s="193" t="e">
        <f>VLOOKUP(A69,'1_REFERENCE'!$A$47:$N$95,$C$6,FALSE)</f>
        <v>#DIV/0!</v>
      </c>
      <c r="E69" s="84">
        <f>'0_ENTREE'!I68</f>
        <v>699.6</v>
      </c>
      <c r="F69" s="85">
        <f>'0_ENTREE'!J68</f>
        <v>699.6</v>
      </c>
      <c r="G69" s="86">
        <f>'0_ENTREE'!K68</f>
        <v>8.1999999999999993</v>
      </c>
      <c r="H69" s="87">
        <f>'0_ENTREE'!L68</f>
        <v>8.6</v>
      </c>
      <c r="I69" s="13"/>
      <c r="J69" s="133">
        <f t="shared" si="19"/>
        <v>0</v>
      </c>
      <c r="K69" s="345">
        <f t="shared" si="22"/>
        <v>-25.044444444444458</v>
      </c>
      <c r="L69" s="345" t="e">
        <f t="shared" si="16"/>
        <v>#DIV/0!</v>
      </c>
      <c r="M69" s="345" t="e">
        <f>L69/'0_ENTREE'!F68</f>
        <v>#DIV/0!</v>
      </c>
      <c r="N69" s="345" t="e">
        <f t="shared" si="20"/>
        <v>#DIV/0!</v>
      </c>
      <c r="O69" s="352" t="e">
        <f t="shared" si="21"/>
        <v>#DIV/0!</v>
      </c>
      <c r="Q69" s="455">
        <f>'1_REFERENCE'!AB83/'0_ENTREE'!F68*$L$16/$G$4</f>
        <v>156.05023832499927</v>
      </c>
      <c r="R69" s="193"/>
      <c r="S69" s="352" t="e">
        <f t="shared" si="17"/>
        <v>#DIV/0!</v>
      </c>
      <c r="U69" s="457" t="s">
        <v>324</v>
      </c>
      <c r="W69" s="463">
        <v>5</v>
      </c>
    </row>
    <row r="70" spans="1:23" x14ac:dyDescent="0.25">
      <c r="A70" s="205">
        <v>37</v>
      </c>
      <c r="B70" s="37" t="str">
        <f>CONCATENATE("Ratio Chauffage - ",'0_ENTREE'!B69)</f>
        <v>Ratio Chauffage - GE2.2 - 298 - T5 - 93m²</v>
      </c>
      <c r="C70" s="193" t="e">
        <f t="shared" si="18"/>
        <v>#DIV/0!</v>
      </c>
      <c r="D70" s="193" t="e">
        <f>VLOOKUP(A70,'1_REFERENCE'!$A$47:$N$95,$C$6,FALSE)</f>
        <v>#DIV/0!</v>
      </c>
      <c r="E70" s="84">
        <f>'0_ENTREE'!I69</f>
        <v>589.4</v>
      </c>
      <c r="F70" s="85">
        <f>'0_ENTREE'!J69</f>
        <v>602.29999999999995</v>
      </c>
      <c r="G70" s="86">
        <f>'0_ENTREE'!K69</f>
        <v>38.200000000000003</v>
      </c>
      <c r="H70" s="87">
        <f>'0_ENTREE'!L69</f>
        <v>39.5</v>
      </c>
      <c r="I70" s="13"/>
      <c r="J70" s="133">
        <f t="shared" si="19"/>
        <v>150.00119999999973</v>
      </c>
      <c r="K70" s="345">
        <f t="shared" si="22"/>
        <v>84.356755555555424</v>
      </c>
      <c r="L70" s="345" t="e">
        <f t="shared" si="16"/>
        <v>#DIV/0!</v>
      </c>
      <c r="M70" s="345" t="e">
        <f>L70/'0_ENTREE'!F69</f>
        <v>#DIV/0!</v>
      </c>
      <c r="N70" s="345" t="e">
        <f t="shared" si="20"/>
        <v>#DIV/0!</v>
      </c>
      <c r="O70" s="352" t="e">
        <f t="shared" si="21"/>
        <v>#DIV/0!</v>
      </c>
      <c r="Q70" s="455">
        <f>'1_REFERENCE'!AB84/'0_ENTREE'!F69*$L$16/$G$4</f>
        <v>103.59722273317693</v>
      </c>
      <c r="R70" s="193"/>
      <c r="S70" s="352" t="e">
        <f t="shared" si="17"/>
        <v>#DIV/0!</v>
      </c>
    </row>
    <row r="71" spans="1:23" x14ac:dyDescent="0.25">
      <c r="A71" s="205">
        <v>38</v>
      </c>
      <c r="B71" s="37" t="str">
        <f>CONCATENATE("Ratio Chauffage - ",'0_ENTREE'!B70)</f>
        <v>Ratio Chauffage - GE2.2 - 301 - T4 - 79m²</v>
      </c>
      <c r="C71" s="193" t="e">
        <f t="shared" si="18"/>
        <v>#DIV/0!</v>
      </c>
      <c r="D71" s="193" t="e">
        <f>VLOOKUP(A71,'1_REFERENCE'!$A$47:$N$95,$C$6,FALSE)</f>
        <v>#DIV/0!</v>
      </c>
      <c r="E71" s="84">
        <f>'0_ENTREE'!I70</f>
        <v>603.4</v>
      </c>
      <c r="F71" s="85">
        <f>'0_ENTREE'!J70</f>
        <v>605</v>
      </c>
      <c r="G71" s="86">
        <f>'0_ENTREE'!K70</f>
        <v>16.100000000000001</v>
      </c>
      <c r="H71" s="87">
        <f>'0_ENTREE'!L70</f>
        <v>16.600000000000001</v>
      </c>
      <c r="I71" s="13"/>
      <c r="J71" s="133">
        <f t="shared" si="19"/>
        <v>18.604800000000264</v>
      </c>
      <c r="K71" s="345">
        <f t="shared" si="22"/>
        <v>-10.95075555555529</v>
      </c>
      <c r="L71" s="345" t="e">
        <f t="shared" si="16"/>
        <v>#DIV/0!</v>
      </c>
      <c r="M71" s="345" t="e">
        <f>L71/'0_ENTREE'!F70</f>
        <v>#DIV/0!</v>
      </c>
      <c r="N71" s="345" t="e">
        <f t="shared" si="20"/>
        <v>#DIV/0!</v>
      </c>
      <c r="O71" s="352" t="e">
        <f t="shared" si="21"/>
        <v>#DIV/0!</v>
      </c>
      <c r="Q71" s="455">
        <f>'1_REFERENCE'!AB85/'0_ENTREE'!F70*$L$16/$G$4</f>
        <v>0</v>
      </c>
      <c r="R71" s="193"/>
      <c r="S71" s="352" t="e">
        <f t="shared" si="17"/>
        <v>#DIV/0!</v>
      </c>
      <c r="U71" s="453" t="s">
        <v>325</v>
      </c>
    </row>
    <row r="72" spans="1:23" x14ac:dyDescent="0.25">
      <c r="A72" s="205">
        <v>39</v>
      </c>
      <c r="B72" s="37" t="str">
        <f>CONCATENATE("Ratio Chauffage - ",'0_ENTREE'!B71)</f>
        <v>Ratio Chauffage - GE2.2 - 311 - T4 - 74m²</v>
      </c>
      <c r="C72" s="193" t="e">
        <f t="shared" si="18"/>
        <v>#DIV/0!</v>
      </c>
      <c r="D72" s="193" t="e">
        <f>VLOOKUP(A72,'1_REFERENCE'!$A$47:$N$95,$C$6,FALSE)</f>
        <v>#DIV/0!</v>
      </c>
      <c r="E72" s="84">
        <f>'0_ENTREE'!I71</f>
        <v>405.5</v>
      </c>
      <c r="F72" s="85">
        <f>'0_ENTREE'!J71</f>
        <v>412</v>
      </c>
      <c r="G72" s="86">
        <f>'0_ENTREE'!K71</f>
        <v>20.5</v>
      </c>
      <c r="H72" s="87">
        <f>'0_ENTREE'!L71</f>
        <v>21.3</v>
      </c>
      <c r="I72" s="13"/>
      <c r="J72" s="133">
        <f t="shared" si="19"/>
        <v>75.581999999999994</v>
      </c>
      <c r="K72" s="345">
        <f t="shared" si="22"/>
        <v>32.493111111111077</v>
      </c>
      <c r="L72" s="345" t="e">
        <f t="shared" si="16"/>
        <v>#DIV/0!</v>
      </c>
      <c r="M72" s="345" t="e">
        <f>L72/'0_ENTREE'!F71</f>
        <v>#DIV/0!</v>
      </c>
      <c r="N72" s="345" t="e">
        <f t="shared" si="20"/>
        <v>#DIV/0!</v>
      </c>
      <c r="O72" s="352" t="e">
        <f t="shared" si="21"/>
        <v>#DIV/0!</v>
      </c>
      <c r="Q72" s="455">
        <f>'1_REFERENCE'!AB86/'0_ENTREE'!F71*$L$16/$G$4</f>
        <v>108.41678264807486</v>
      </c>
      <c r="R72" s="193"/>
      <c r="S72" s="352" t="e">
        <f t="shared" si="17"/>
        <v>#DIV/0!</v>
      </c>
    </row>
    <row r="73" spans="1:23" x14ac:dyDescent="0.25">
      <c r="A73" s="205">
        <v>40</v>
      </c>
      <c r="B73" s="37" t="str">
        <f>CONCATENATE("Ratio Chauffage - ",'0_ENTREE'!B72)</f>
        <v>Ratio Chauffage - GE2.2 - 313 - T4 - 75m²</v>
      </c>
      <c r="C73" s="193" t="e">
        <f t="shared" si="18"/>
        <v>#DIV/0!</v>
      </c>
      <c r="D73" s="193" t="e">
        <f>VLOOKUP(A73,'1_REFERENCE'!$A$47:$N$95,$C$6,FALSE)</f>
        <v>#DIV/0!</v>
      </c>
      <c r="E73" s="84">
        <f>'0_ENTREE'!I72</f>
        <v>296.89999999999998</v>
      </c>
      <c r="F73" s="85">
        <f>'0_ENTREE'!J72</f>
        <v>298.8</v>
      </c>
      <c r="G73" s="86">
        <f>'0_ENTREE'!K72</f>
        <v>10.3</v>
      </c>
      <c r="H73" s="87">
        <f>'0_ENTREE'!L72</f>
        <v>10.7</v>
      </c>
      <c r="I73" s="13"/>
      <c r="J73" s="133">
        <f t="shared" si="19"/>
        <v>22.093200000000397</v>
      </c>
      <c r="K73" s="345">
        <f t="shared" si="22"/>
        <v>-2.9512444444439829</v>
      </c>
      <c r="L73" s="345" t="e">
        <f t="shared" si="16"/>
        <v>#DIV/0!</v>
      </c>
      <c r="M73" s="345" t="e">
        <f>L73/'0_ENTREE'!F72</f>
        <v>#DIV/0!</v>
      </c>
      <c r="N73" s="345" t="e">
        <f t="shared" si="20"/>
        <v>#DIV/0!</v>
      </c>
      <c r="O73" s="352" t="e">
        <f t="shared" si="21"/>
        <v>#DIV/0!</v>
      </c>
      <c r="Q73" s="455">
        <f>'1_REFERENCE'!AB87/'0_ENTREE'!F72*$L$16/$G$4</f>
        <v>117.28121414159138</v>
      </c>
      <c r="R73" s="193"/>
      <c r="S73" s="352" t="e">
        <f t="shared" si="17"/>
        <v>#DIV/0!</v>
      </c>
    </row>
    <row r="74" spans="1:23" x14ac:dyDescent="0.25">
      <c r="A74" s="205">
        <v>41</v>
      </c>
      <c r="B74" s="37" t="str">
        <f>CONCATENATE("Ratio Chauffage - ",'0_ENTREE'!B73)</f>
        <v>Ratio Chauffage - GE2.2 - 315 - T4 - 75m²</v>
      </c>
      <c r="C74" s="193" t="e">
        <f t="shared" si="18"/>
        <v>#DIV/0!</v>
      </c>
      <c r="D74" s="193" t="e">
        <f>VLOOKUP(A74,'1_REFERENCE'!$A$47:$N$95,$C$6,FALSE)</f>
        <v>#DIV/0!</v>
      </c>
      <c r="E74" s="84">
        <f>'0_ENTREE'!I73</f>
        <v>470.2</v>
      </c>
      <c r="F74" s="85">
        <f>'0_ENTREE'!J73</f>
        <v>476.8</v>
      </c>
      <c r="G74" s="86">
        <f>'0_ENTREE'!K73</f>
        <v>22.2</v>
      </c>
      <c r="H74" s="87">
        <f>'0_ENTREE'!L73</f>
        <v>23.2</v>
      </c>
      <c r="I74" s="13"/>
      <c r="J74" s="133">
        <f t="shared" si="19"/>
        <v>76.744800000000268</v>
      </c>
      <c r="K74" s="345">
        <f t="shared" si="22"/>
        <v>24.633688888889161</v>
      </c>
      <c r="L74" s="345" t="e">
        <f t="shared" si="16"/>
        <v>#DIV/0!</v>
      </c>
      <c r="M74" s="345" t="e">
        <f>L74/'0_ENTREE'!F73</f>
        <v>#DIV/0!</v>
      </c>
      <c r="N74" s="345" t="e">
        <f t="shared" si="20"/>
        <v>#DIV/0!</v>
      </c>
      <c r="O74" s="352" t="e">
        <f t="shared" si="21"/>
        <v>#DIV/0!</v>
      </c>
      <c r="Q74" s="455">
        <f>'1_REFERENCE'!AB88/'0_ENTREE'!F73*$L$16/$G$4</f>
        <v>50.123659970172824</v>
      </c>
      <c r="R74" s="193"/>
      <c r="S74" s="352" t="e">
        <f t="shared" si="17"/>
        <v>#DIV/0!</v>
      </c>
    </row>
    <row r="75" spans="1:23" s="44" customFormat="1" ht="13.5" thickBot="1" x14ac:dyDescent="0.3">
      <c r="A75" s="205">
        <v>42</v>
      </c>
      <c r="B75" s="69" t="str">
        <f>CONCATENATE("Ratio Chauffage - ",'0_ENTREE'!B74)</f>
        <v>Ratio Chauffage - MOYENNE GE2.2</v>
      </c>
      <c r="C75" s="194" t="e">
        <f>AVERAGE(C62:C74)</f>
        <v>#DIV/0!</v>
      </c>
      <c r="D75" s="194" t="e">
        <f t="shared" ref="D75" si="23">AVERAGE(D62:D74)</f>
        <v>#DIV/0!</v>
      </c>
      <c r="E75" s="196"/>
      <c r="F75" s="197"/>
      <c r="G75" s="198"/>
      <c r="H75" s="199"/>
      <c r="I75" s="28"/>
      <c r="J75" s="196"/>
      <c r="K75" s="197"/>
      <c r="L75" s="197"/>
      <c r="M75" s="197"/>
      <c r="N75" s="197"/>
      <c r="O75" s="199"/>
      <c r="Q75" s="194"/>
      <c r="R75" s="194"/>
      <c r="S75" s="408"/>
    </row>
    <row r="76" spans="1:23" x14ac:dyDescent="0.25">
      <c r="A76" s="205">
        <v>43</v>
      </c>
      <c r="B76" s="45" t="str">
        <f>CONCATENATE("Ratio Chauffage - ",'0_ENTREE'!B75)</f>
        <v>Ratio Chauffage - SO - 284 - T - 64m²</v>
      </c>
      <c r="C76" s="192" t="e">
        <f>M76</f>
        <v>#DIV/0!</v>
      </c>
      <c r="D76" s="195" t="e">
        <f>VLOOKUP(A76,'1_REFERENCE'!$A$47:$N$95,$C$6,FALSE)</f>
        <v>#DIV/0!</v>
      </c>
      <c r="E76" s="88">
        <f>'0_ENTREE'!I75</f>
        <v>31.8</v>
      </c>
      <c r="F76" s="89">
        <f>'0_ENTREE'!J75</f>
        <v>34</v>
      </c>
      <c r="G76" s="90">
        <f>'0_ENTREE'!K75</f>
        <v>1.2</v>
      </c>
      <c r="H76" s="91">
        <f>'0_ENTREE'!L75</f>
        <v>1.2</v>
      </c>
      <c r="I76" s="13"/>
      <c r="J76" s="88">
        <f>(F76-E76)*$C$22</f>
        <v>25.581599999999991</v>
      </c>
      <c r="K76" s="89">
        <f>J76-(H76-G76)*$C$15-$C$14</f>
        <v>18.581599999999991</v>
      </c>
      <c r="L76" s="89" t="e">
        <f t="shared" ref="L76:L81" si="24">K76*$G$8/$G$9</f>
        <v>#DIV/0!</v>
      </c>
      <c r="M76" s="89" t="e">
        <f>L76/'0_ENTREE'!F75</f>
        <v>#DIV/0!</v>
      </c>
      <c r="N76" s="89" t="e">
        <f>D76</f>
        <v>#DIV/0!</v>
      </c>
      <c r="O76" s="91" t="e">
        <f>(M76-N76)/N76</f>
        <v>#DIV/0!</v>
      </c>
      <c r="Q76" s="195">
        <f>'1_REFERENCE'!AB90/'0_ENTREE'!F75*$L$16/$G$4</f>
        <v>40.114209579787698</v>
      </c>
      <c r="R76" s="195"/>
      <c r="S76" s="407" t="e">
        <f t="shared" ref="S76:S81" si="25">(R76-Q76)/R76</f>
        <v>#DIV/0!</v>
      </c>
    </row>
    <row r="77" spans="1:23" x14ac:dyDescent="0.25">
      <c r="A77" s="205">
        <v>44</v>
      </c>
      <c r="B77" s="505" t="str">
        <f>CONCATENATE("Ratio Chauffage - ",'0_ENTREE'!B76)</f>
        <v>Ratio Chauffage - SO - 287 - T - 81m²</v>
      </c>
      <c r="C77" s="193" t="e">
        <f t="shared" ref="C77:C81" si="26">M77</f>
        <v>#DIV/0!</v>
      </c>
      <c r="D77" s="193" t="e">
        <f>VLOOKUP(A77,'1_REFERENCE'!$A$47:$N$95,$C$6,FALSE)</f>
        <v>#DIV/0!</v>
      </c>
      <c r="E77" s="84">
        <f>'0_ENTREE'!I76</f>
        <v>404</v>
      </c>
      <c r="F77" s="85">
        <f>'0_ENTREE'!J76</f>
        <v>405.9</v>
      </c>
      <c r="G77" s="86">
        <f>'0_ENTREE'!K76</f>
        <v>13.2</v>
      </c>
      <c r="H77" s="87">
        <f>'0_ENTREE'!L76</f>
        <v>13.5</v>
      </c>
      <c r="I77" s="13"/>
      <c r="J77" s="84">
        <f t="shared" ref="J77:J81" si="27">(F77-E77)*$C$22</f>
        <v>22.093199999999737</v>
      </c>
      <c r="K77" s="85">
        <f>J77-(H77-G77)*$C$15-$C$14</f>
        <v>1.5598666666663732</v>
      </c>
      <c r="L77" s="85" t="e">
        <f t="shared" si="24"/>
        <v>#DIV/0!</v>
      </c>
      <c r="M77" s="85" t="e">
        <f>L77/'0_ENTREE'!F76</f>
        <v>#DIV/0!</v>
      </c>
      <c r="N77" s="85" t="e">
        <f t="shared" ref="N77:N81" si="28">D77</f>
        <v>#DIV/0!</v>
      </c>
      <c r="O77" s="87" t="e">
        <f t="shared" ref="O77:O81" si="29">(M77-N77)/N77</f>
        <v>#DIV/0!</v>
      </c>
      <c r="Q77" s="193">
        <f>'1_REFERENCE'!AB91/'0_ENTREE'!F76*$L$16/$G$4</f>
        <v>165.36833315463019</v>
      </c>
      <c r="R77" s="193"/>
      <c r="S77" s="352" t="e">
        <f t="shared" si="25"/>
        <v>#DIV/0!</v>
      </c>
    </row>
    <row r="78" spans="1:23" x14ac:dyDescent="0.25">
      <c r="A78" s="205">
        <v>45</v>
      </c>
      <c r="B78" s="505" t="str">
        <f>CONCATENATE("Ratio Chauffage - ",'0_ENTREE'!B77)</f>
        <v>Ratio Chauffage - SO - 290 - T - 40m²</v>
      </c>
      <c r="C78" s="193" t="e">
        <f t="shared" si="26"/>
        <v>#DIV/0!</v>
      </c>
      <c r="D78" s="193" t="e">
        <f>VLOOKUP(A78,'1_REFERENCE'!$A$47:$N$95,$C$6,FALSE)</f>
        <v>#DIV/0!</v>
      </c>
      <c r="E78" s="84">
        <f>'0_ENTREE'!I77</f>
        <v>78.900000000000006</v>
      </c>
      <c r="F78" s="85">
        <f>'0_ENTREE'!J77</f>
        <v>80.7</v>
      </c>
      <c r="G78" s="86">
        <f>'0_ENTREE'!K77</f>
        <v>0</v>
      </c>
      <c r="H78" s="87">
        <f>'0_ENTREE'!L77</f>
        <v>0</v>
      </c>
      <c r="I78" s="13"/>
      <c r="J78" s="84">
        <f t="shared" si="27"/>
        <v>20.930399999999967</v>
      </c>
      <c r="K78" s="85">
        <f t="shared" ref="K78:K81" si="30">J78-(H78-G78)*$C$15-$C$14</f>
        <v>13.930399999999967</v>
      </c>
      <c r="L78" s="85" t="e">
        <f t="shared" si="24"/>
        <v>#DIV/0!</v>
      </c>
      <c r="M78" s="85" t="e">
        <f>L78/'0_ENTREE'!F77</f>
        <v>#DIV/0!</v>
      </c>
      <c r="N78" s="85" t="e">
        <f t="shared" si="28"/>
        <v>#DIV/0!</v>
      </c>
      <c r="O78" s="87" t="e">
        <f t="shared" si="29"/>
        <v>#DIV/0!</v>
      </c>
      <c r="Q78" s="193">
        <f>'1_REFERENCE'!AB92/'0_ENTREE'!F77*$L$16/$G$4</f>
        <v>125.58931265900517</v>
      </c>
      <c r="R78" s="193"/>
      <c r="S78" s="352" t="e">
        <f t="shared" si="25"/>
        <v>#DIV/0!</v>
      </c>
    </row>
    <row r="79" spans="1:23" x14ac:dyDescent="0.25">
      <c r="A79" s="205">
        <v>46</v>
      </c>
      <c r="B79" s="37" t="str">
        <f>CONCATENATE("Ratio Chauffage - ",'0_ENTREE'!B78)</f>
        <v>Ratio Chauffage - SO - 305 - T - 66m²</v>
      </c>
      <c r="C79" s="193" t="e">
        <f t="shared" si="26"/>
        <v>#DIV/0!</v>
      </c>
      <c r="D79" s="193" t="e">
        <f>VLOOKUP(A79,'1_REFERENCE'!$A$47:$N$95,$C$6,FALSE)</f>
        <v>#DIV/0!</v>
      </c>
      <c r="E79" s="84">
        <f>'0_ENTREE'!I78</f>
        <v>438.7</v>
      </c>
      <c r="F79" s="85">
        <f>'0_ENTREE'!J78</f>
        <v>443.4</v>
      </c>
      <c r="G79" s="86">
        <f>'0_ENTREE'!K78</f>
        <v>0</v>
      </c>
      <c r="H79" s="87">
        <f>'0_ENTREE'!L78</f>
        <v>0</v>
      </c>
      <c r="I79" s="13"/>
      <c r="J79" s="84">
        <f t="shared" si="27"/>
        <v>54.651599999999867</v>
      </c>
      <c r="K79" s="85">
        <f t="shared" si="30"/>
        <v>47.651599999999867</v>
      </c>
      <c r="L79" s="85" t="e">
        <f t="shared" si="24"/>
        <v>#DIV/0!</v>
      </c>
      <c r="M79" s="85" t="e">
        <f>L79/'0_ENTREE'!F78</f>
        <v>#DIV/0!</v>
      </c>
      <c r="N79" s="85" t="e">
        <f t="shared" si="28"/>
        <v>#DIV/0!</v>
      </c>
      <c r="O79" s="87" t="e">
        <f t="shared" si="29"/>
        <v>#DIV/0!</v>
      </c>
      <c r="Q79" s="193">
        <f>'1_REFERENCE'!AB93/'0_ENTREE'!F78*$L$16/$G$4</f>
        <v>145.08261889001426</v>
      </c>
      <c r="R79" s="193"/>
      <c r="S79" s="352" t="e">
        <f t="shared" si="25"/>
        <v>#DIV/0!</v>
      </c>
    </row>
    <row r="80" spans="1:23" x14ac:dyDescent="0.25">
      <c r="A80" s="205">
        <v>47</v>
      </c>
      <c r="B80" s="37" t="str">
        <f>CONCATENATE("Ratio Chauffage - ",'0_ENTREE'!B79)</f>
        <v>Ratio Chauffage - SO - 309 - T - 66m²</v>
      </c>
      <c r="C80" s="193" t="e">
        <f t="shared" si="26"/>
        <v>#DIV/0!</v>
      </c>
      <c r="D80" s="193" t="e">
        <f>VLOOKUP(A80,'1_REFERENCE'!$A$47:$N$95,$C$6,FALSE)</f>
        <v>#DIV/0!</v>
      </c>
      <c r="E80" s="84">
        <f>'0_ENTREE'!I79</f>
        <v>848.8</v>
      </c>
      <c r="F80" s="85">
        <f>'0_ENTREE'!J79</f>
        <v>854</v>
      </c>
      <c r="G80" s="86">
        <f>'0_ENTREE'!K79</f>
        <v>12.7</v>
      </c>
      <c r="H80" s="87">
        <f>'0_ENTREE'!L79</f>
        <v>13.2</v>
      </c>
      <c r="I80" s="13"/>
      <c r="J80" s="84">
        <f t="shared" si="27"/>
        <v>60.465600000000528</v>
      </c>
      <c r="K80" s="85">
        <f t="shared" si="30"/>
        <v>30.910044444444978</v>
      </c>
      <c r="L80" s="85" t="e">
        <f t="shared" si="24"/>
        <v>#DIV/0!</v>
      </c>
      <c r="M80" s="85" t="e">
        <f>L80/'0_ENTREE'!F79</f>
        <v>#DIV/0!</v>
      </c>
      <c r="N80" s="85" t="e">
        <f t="shared" si="28"/>
        <v>#DIV/0!</v>
      </c>
      <c r="O80" s="87" t="e">
        <f t="shared" si="29"/>
        <v>#DIV/0!</v>
      </c>
      <c r="Q80" s="193">
        <f>'1_REFERENCE'!AB94/'0_ENTREE'!F79*$L$16/$G$4</f>
        <v>214.46727384379807</v>
      </c>
      <c r="R80" s="193"/>
      <c r="S80" s="352" t="e">
        <f t="shared" si="25"/>
        <v>#DIV/0!</v>
      </c>
    </row>
    <row r="81" spans="1:20" x14ac:dyDescent="0.25">
      <c r="A81" s="205">
        <v>48</v>
      </c>
      <c r="B81" s="37" t="str">
        <f>CONCATENATE("Ratio Chauffage - ",'0_ENTREE'!B80)</f>
        <v>Ratio Chauffage - SO - 310 - T - 54m²</v>
      </c>
      <c r="C81" s="193" t="e">
        <f t="shared" si="26"/>
        <v>#DIV/0!</v>
      </c>
      <c r="D81" s="193" t="e">
        <f>VLOOKUP(A81,'1_REFERENCE'!$A$47:$N$95,$C$6,FALSE)</f>
        <v>#DIV/0!</v>
      </c>
      <c r="E81" s="84">
        <f>'0_ENTREE'!I80</f>
        <v>700.8</v>
      </c>
      <c r="F81" s="85">
        <f>'0_ENTREE'!J80</f>
        <v>703.5</v>
      </c>
      <c r="G81" s="86">
        <f>'0_ENTREE'!K80</f>
        <v>6.9</v>
      </c>
      <c r="H81" s="87">
        <f>'0_ENTREE'!L80</f>
        <v>7.2</v>
      </c>
      <c r="I81" s="13"/>
      <c r="J81" s="84">
        <f t="shared" si="27"/>
        <v>31.395600000000528</v>
      </c>
      <c r="K81" s="85">
        <f t="shared" si="30"/>
        <v>10.862266666667203</v>
      </c>
      <c r="L81" s="85" t="e">
        <f t="shared" si="24"/>
        <v>#DIV/0!</v>
      </c>
      <c r="M81" s="85" t="e">
        <f>L81/'0_ENTREE'!F80</f>
        <v>#DIV/0!</v>
      </c>
      <c r="N81" s="85" t="e">
        <f t="shared" si="28"/>
        <v>#DIV/0!</v>
      </c>
      <c r="O81" s="87" t="e">
        <f t="shared" si="29"/>
        <v>#DIV/0!</v>
      </c>
      <c r="Q81" s="193">
        <f>'1_REFERENCE'!AB95/'0_ENTREE'!F80*$L$16/$G$4</f>
        <v>295.99145636556807</v>
      </c>
      <c r="R81" s="193"/>
      <c r="S81" s="352" t="e">
        <f t="shared" si="25"/>
        <v>#DIV/0!</v>
      </c>
    </row>
    <row r="82" spans="1:20" s="44" customFormat="1" ht="13.5" thickBot="1" x14ac:dyDescent="0.3">
      <c r="A82" s="205"/>
      <c r="B82" s="69" t="str">
        <f>CONCATENATE("Ratio Chauffage - ",'0_ENTREE'!B81)</f>
        <v>Ratio Chauffage - MOYENNE SO</v>
      </c>
      <c r="C82" s="194" t="e">
        <f>AVERAGE(C76:C81)</f>
        <v>#DIV/0!</v>
      </c>
      <c r="D82" s="194" t="e">
        <f>AVERAGE(D76:D81)</f>
        <v>#DIV/0!</v>
      </c>
      <c r="E82" s="196"/>
      <c r="F82" s="197"/>
      <c r="G82" s="198"/>
      <c r="H82" s="199"/>
      <c r="I82" s="28"/>
      <c r="J82" s="196"/>
      <c r="K82" s="197"/>
      <c r="L82" s="197"/>
      <c r="M82" s="197"/>
      <c r="N82" s="197"/>
      <c r="O82" s="199"/>
      <c r="Q82" s="194"/>
      <c r="R82" s="194"/>
      <c r="S82" s="408"/>
    </row>
    <row r="83" spans="1:20" s="4" customFormat="1" x14ac:dyDescent="0.25"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s="4" customFormat="1" x14ac:dyDescent="0.25"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s="4" customFormat="1" x14ac:dyDescent="0.25"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s="4" customFormat="1" x14ac:dyDescent="0.25"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s="4" customFormat="1" x14ac:dyDescent="0.25"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s="4" customFormat="1" x14ac:dyDescent="0.25"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s="4" customFormat="1" x14ac:dyDescent="0.25"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s="4" customFormat="1" x14ac:dyDescent="0.25"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s="4" customFormat="1" x14ac:dyDescent="0.25"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s="4" customFormat="1" x14ac:dyDescent="0.25"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s="4" customFormat="1" x14ac:dyDescent="0.25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9:20" s="4" customFormat="1" x14ac:dyDescent="0.25"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9:20" s="4" customFormat="1" x14ac:dyDescent="0.25"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9:20" s="4" customFormat="1" x14ac:dyDescent="0.25"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9:20" s="4" customFormat="1" x14ac:dyDescent="0.25"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9:20" s="4" customFormat="1" x14ac:dyDescent="0.25"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9:20" s="4" customFormat="1" x14ac:dyDescent="0.25"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9:20" s="4" customFormat="1" x14ac:dyDescent="0.25"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9:20" s="4" customFormat="1" x14ac:dyDescent="0.25"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9:20" s="4" customFormat="1" x14ac:dyDescent="0.25"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9:20" s="4" customFormat="1" x14ac:dyDescent="0.25"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9:20" s="4" customFormat="1" x14ac:dyDescent="0.25"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9:20" s="4" customFormat="1" x14ac:dyDescent="0.25"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9:20" s="4" customFormat="1" x14ac:dyDescent="0.25"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9:20" s="4" customFormat="1" x14ac:dyDescent="0.25"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9:20" s="4" customFormat="1" x14ac:dyDescent="0.25"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9:20" s="4" customFormat="1" x14ac:dyDescent="0.25"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9:20" s="4" customFormat="1" x14ac:dyDescent="0.25"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9:20" s="4" customFormat="1" x14ac:dyDescent="0.25"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9:20" s="4" customFormat="1" x14ac:dyDescent="0.25"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9:20" s="4" customFormat="1" x14ac:dyDescent="0.25"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9:20" s="4" customFormat="1" x14ac:dyDescent="0.25"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9:20" s="4" customFormat="1" x14ac:dyDescent="0.25"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9:20" s="4" customFormat="1" x14ac:dyDescent="0.25"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9:20" s="4" customFormat="1" x14ac:dyDescent="0.25"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9:20" s="4" customFormat="1" x14ac:dyDescent="0.25"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9:20" s="4" customFormat="1" x14ac:dyDescent="0.25"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9:20" s="4" customFormat="1" x14ac:dyDescent="0.25"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9:20" s="4" customFormat="1" x14ac:dyDescent="0.25"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9:20" s="4" customFormat="1" x14ac:dyDescent="0.25"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9:20" s="4" customFormat="1" x14ac:dyDescent="0.25"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</sheetData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K34:K82">
    <cfRule type="cellIs" dxfId="2" priority="1" operator="lessThan">
      <formula>0</formula>
    </cfRule>
  </conditionalFormatting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59" orientation="landscape" r:id="rId2"/>
  <headerFooter>
    <oddFooter>&amp;L&amp;F&amp;CSOLAIR&amp;R&amp;A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T84"/>
  <sheetViews>
    <sheetView zoomScaleNormal="100" workbookViewId="0">
      <selection sqref="A1:D1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1" width="12.7109375" style="1" customWidth="1"/>
    <col min="12" max="12" width="21.7109375" style="1" customWidth="1"/>
    <col min="13" max="16" width="12.7109375" style="1" customWidth="1"/>
    <col min="17" max="20" width="13.28515625" style="1" customWidth="1"/>
    <col min="21" max="21" width="18.5703125" style="1" customWidth="1"/>
    <col min="22" max="16384" width="11.42578125" style="1"/>
  </cols>
  <sheetData>
    <row r="1" spans="1:18" s="18" customFormat="1" ht="30" customHeight="1" thickBot="1" x14ac:dyDescent="0.3">
      <c r="A1" s="513" t="str">
        <f>CONCATENATE("ENCERTICUS - ",B4," - ",B5," - ",B7)</f>
        <v>ENCERTICUS - TRAITEMENT ELEC - 2014 - S23</v>
      </c>
      <c r="B1" s="514"/>
      <c r="C1" s="514"/>
      <c r="D1" s="515"/>
      <c r="E1" s="25"/>
      <c r="F1" s="173" t="s">
        <v>72</v>
      </c>
      <c r="G1" s="107" t="s">
        <v>73</v>
      </c>
      <c r="H1" s="25"/>
      <c r="I1" s="25"/>
    </row>
    <row r="2" spans="1:18" s="18" customFormat="1" ht="13.5" thickBot="1" x14ac:dyDescent="0.3">
      <c r="E2" s="23"/>
      <c r="F2" s="13"/>
      <c r="G2" s="98"/>
      <c r="H2" s="13"/>
      <c r="I2" s="25"/>
    </row>
    <row r="3" spans="1:18" s="18" customFormat="1" ht="25.5" x14ac:dyDescent="0.25">
      <c r="A3" s="293" t="s">
        <v>9</v>
      </c>
      <c r="B3" s="294" t="s">
        <v>10</v>
      </c>
      <c r="C3" s="329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s="18" customFormat="1" x14ac:dyDescent="0.25">
      <c r="A4" s="92" t="s">
        <v>11</v>
      </c>
      <c r="B4" s="93" t="s">
        <v>243</v>
      </c>
      <c r="C4" s="329"/>
      <c r="E4" s="517" t="str">
        <f>'0_ENTREE'!E4:F4</f>
        <v>DJU Annuel Moyen</v>
      </c>
      <c r="F4" s="517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s="18" customFormat="1" x14ac:dyDescent="0.25">
      <c r="A5" s="92" t="s">
        <v>35</v>
      </c>
      <c r="B5" s="97">
        <f>'0_ENTREE'!B5</f>
        <v>2014</v>
      </c>
      <c r="C5" s="329">
        <f>'0_ENTREE'!C5</f>
        <v>6</v>
      </c>
      <c r="E5" s="517" t="str">
        <f>'0_ENTREE'!E5:F5</f>
        <v>DJU Annuel Réel - 2014</v>
      </c>
      <c r="F5" s="517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s="18" customFormat="1" x14ac:dyDescent="0.25">
      <c r="A6" s="92" t="s">
        <v>36</v>
      </c>
      <c r="B6" s="97" t="str">
        <f>'0_ENTREE'!B6</f>
        <v>Juin</v>
      </c>
      <c r="C6" s="329">
        <f>'0_ENTREE'!C6</f>
        <v>8</v>
      </c>
      <c r="E6" s="517" t="str">
        <f>'0_ENTREE'!E6:F6</f>
        <v>DJU Mensuel Moyen - Juin</v>
      </c>
      <c r="F6" s="517"/>
      <c r="G6" s="323">
        <f>'0_ENTREE'!G6</f>
        <v>0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s="18" customFormat="1" x14ac:dyDescent="0.25">
      <c r="A7" s="92" t="s">
        <v>57</v>
      </c>
      <c r="B7" s="97" t="str">
        <f>'0_ENTREE'!B7</f>
        <v>S23</v>
      </c>
      <c r="C7" s="329">
        <f>'0_ENTREE'!C7</f>
        <v>25</v>
      </c>
      <c r="E7" s="517" t="str">
        <f>'0_ENTREE'!E7:F7</f>
        <v>DJU Mensuel Réel - Juin</v>
      </c>
      <c r="F7" s="517"/>
      <c r="G7" s="323">
        <f>'0_ENTREE'!G7</f>
        <v>0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s="18" customFormat="1" ht="13.5" thickBot="1" x14ac:dyDescent="0.3">
      <c r="A8" s="94" t="s">
        <v>31</v>
      </c>
      <c r="B8" s="100" t="str">
        <f>'0_ENTREE'!B8</f>
        <v>Semaine</v>
      </c>
      <c r="C8" s="329">
        <f>'0_ENTREE'!C8</f>
        <v>0</v>
      </c>
      <c r="E8" s="517" t="str">
        <f>'0_ENTREE'!E8:F8</f>
        <v>DJU Hebdo Moyen - Juin</v>
      </c>
      <c r="F8" s="517"/>
      <c r="G8" s="323">
        <f>'0_ENTREE'!G8</f>
        <v>0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A9" s="13"/>
      <c r="B9" s="16"/>
      <c r="C9" s="13"/>
      <c r="D9" s="18"/>
      <c r="E9" s="517" t="str">
        <f>'0_ENTREE'!E9:F9</f>
        <v>DJU Hebdo Réel - S23</v>
      </c>
      <c r="F9" s="517"/>
      <c r="G9" s="323">
        <f>'0_ENTREE'!G9</f>
        <v>0</v>
      </c>
      <c r="H9" s="18"/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  <c r="R9" s="18"/>
    </row>
    <row r="10" spans="1:18" x14ac:dyDescent="0.25">
      <c r="A10" s="13"/>
      <c r="B10" s="16"/>
      <c r="C10" s="13"/>
      <c r="D10" s="18"/>
      <c r="E10" s="18"/>
      <c r="F10" s="18"/>
      <c r="G10" s="18"/>
      <c r="H10" s="18"/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A11" s="13"/>
      <c r="B11" s="16"/>
      <c r="C11" s="13"/>
      <c r="D11" s="18"/>
      <c r="E11" s="18"/>
      <c r="F11" s="18"/>
      <c r="G11" s="18"/>
      <c r="H11" s="18"/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  <c r="R11" s="18"/>
    </row>
    <row r="12" spans="1:18" ht="25.5" x14ac:dyDescent="0.25">
      <c r="A12" s="13"/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G12" s="9"/>
      <c r="H12" s="9"/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A13" s="13"/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G13" s="9"/>
      <c r="H13" s="9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A14" s="13"/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G14" s="9"/>
      <c r="H14" s="9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A15" s="13"/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G15" s="9"/>
      <c r="H15" s="9"/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A16" s="13"/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G16" s="9"/>
      <c r="H16" s="9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4" x14ac:dyDescent="0.25">
      <c r="A17" s="13"/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  <c r="G17" s="9"/>
      <c r="H17" s="9"/>
      <c r="I17" s="9"/>
      <c r="J17" s="9"/>
      <c r="K17" s="9"/>
      <c r="L17" s="9"/>
      <c r="M17" s="10"/>
      <c r="N17" s="8"/>
    </row>
    <row r="18" spans="1:14" x14ac:dyDescent="0.25">
      <c r="A18" s="13"/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  <c r="G18" s="9"/>
      <c r="H18" s="9"/>
      <c r="I18" s="9"/>
      <c r="J18" s="9"/>
      <c r="K18" s="9"/>
      <c r="L18" s="9"/>
      <c r="M18" s="10"/>
      <c r="N18" s="8"/>
    </row>
    <row r="19" spans="1:14" x14ac:dyDescent="0.25">
      <c r="A19" s="13"/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  <c r="G19" s="9"/>
      <c r="H19" s="9"/>
      <c r="I19" s="9"/>
      <c r="J19" s="9"/>
      <c r="K19" s="9"/>
      <c r="L19" s="9"/>
      <c r="M19" s="10"/>
      <c r="N19" s="8"/>
    </row>
    <row r="20" spans="1:14" ht="25.5" x14ac:dyDescent="0.25">
      <c r="A20" s="13"/>
      <c r="B20" s="298" t="s">
        <v>175</v>
      </c>
      <c r="C20" s="298" t="s">
        <v>53</v>
      </c>
      <c r="D20" s="509" t="s">
        <v>56</v>
      </c>
      <c r="E20" s="509"/>
      <c r="F20" s="298" t="s">
        <v>58</v>
      </c>
      <c r="G20" s="9"/>
      <c r="H20" s="9"/>
      <c r="I20" s="9"/>
      <c r="J20" s="9"/>
      <c r="K20" s="9"/>
      <c r="L20" s="9"/>
      <c r="M20" s="10"/>
      <c r="N20" s="8"/>
    </row>
    <row r="21" spans="1:14" x14ac:dyDescent="0.25">
      <c r="A21" s="13"/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296"/>
      <c r="G21" s="9"/>
      <c r="H21" s="9"/>
      <c r="I21" s="9"/>
      <c r="J21" s="9"/>
      <c r="K21" s="9"/>
      <c r="L21" s="9"/>
      <c r="M21" s="10"/>
      <c r="N21" s="8"/>
    </row>
    <row r="22" spans="1:14" x14ac:dyDescent="0.25">
      <c r="A22" s="13"/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296"/>
      <c r="G22" s="9"/>
      <c r="H22" s="9"/>
      <c r="I22" s="9"/>
      <c r="J22" s="9"/>
      <c r="K22" s="9"/>
      <c r="L22" s="9"/>
      <c r="M22" s="10"/>
      <c r="N22" s="8"/>
    </row>
    <row r="23" spans="1:14" x14ac:dyDescent="0.25">
      <c r="A23" s="13"/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296"/>
      <c r="G23" s="9"/>
      <c r="H23" s="9"/>
      <c r="I23" s="9"/>
      <c r="J23" s="9"/>
      <c r="K23" s="9"/>
      <c r="L23" s="9"/>
      <c r="M23" s="10"/>
      <c r="N23" s="8"/>
    </row>
    <row r="24" spans="1:14" x14ac:dyDescent="0.25">
      <c r="A24" s="13"/>
      <c r="B24" s="27"/>
      <c r="C24" s="295"/>
      <c r="D24" s="512"/>
      <c r="E24" s="512"/>
      <c r="F24" s="296"/>
      <c r="G24" s="9"/>
      <c r="H24" s="9"/>
      <c r="I24" s="9"/>
      <c r="J24" s="9"/>
      <c r="K24" s="9"/>
      <c r="L24" s="9"/>
      <c r="M24" s="10"/>
      <c r="N24" s="8"/>
    </row>
    <row r="25" spans="1:14" x14ac:dyDescent="0.25">
      <c r="A25" s="13"/>
      <c r="B25" s="27" t="str">
        <f>'0_ENTREE'!B25</f>
        <v>Facteur travaux</v>
      </c>
      <c r="C25" s="295">
        <f>'0_ENTREE'!C25</f>
        <v>1</v>
      </c>
      <c r="D25" s="512"/>
      <c r="E25" s="512"/>
      <c r="F25" s="296"/>
      <c r="G25" s="9"/>
      <c r="H25" s="9"/>
      <c r="I25" s="9"/>
      <c r="J25" s="9"/>
      <c r="K25" s="9"/>
      <c r="L25" s="9"/>
      <c r="M25" s="10"/>
      <c r="N25" s="8"/>
    </row>
    <row r="26" spans="1:14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4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4" x14ac:dyDescent="0.25">
      <c r="A28" s="13"/>
      <c r="B28" s="307" t="s">
        <v>290</v>
      </c>
      <c r="C28" s="13"/>
      <c r="D28" s="22"/>
      <c r="G28" s="363"/>
      <c r="H28" s="307" t="s">
        <v>287</v>
      </c>
      <c r="J28" s="9"/>
      <c r="K28" s="9"/>
      <c r="L28" s="10"/>
      <c r="M28" s="8"/>
    </row>
    <row r="29" spans="1:14" x14ac:dyDescent="0.25">
      <c r="A29" s="13"/>
      <c r="B29" s="16"/>
      <c r="C29" s="13"/>
      <c r="D29" s="22"/>
      <c r="G29" s="9"/>
      <c r="H29" s="406" t="s">
        <v>295</v>
      </c>
      <c r="I29" s="406" t="s">
        <v>294</v>
      </c>
      <c r="J29" s="9"/>
      <c r="K29" s="9"/>
      <c r="L29" s="9"/>
      <c r="M29" s="10"/>
      <c r="N29" s="8"/>
    </row>
    <row r="30" spans="1:14" x14ac:dyDescent="0.25">
      <c r="A30" s="13"/>
      <c r="B30" s="16"/>
      <c r="C30" s="13"/>
      <c r="D30" s="22"/>
      <c r="G30" s="9"/>
      <c r="H30" s="9"/>
      <c r="I30" s="9"/>
      <c r="J30" s="9"/>
      <c r="K30" s="10"/>
      <c r="L30" s="8"/>
    </row>
    <row r="31" spans="1:14" s="49" customFormat="1" ht="38.25" x14ac:dyDescent="0.25">
      <c r="A31" s="46"/>
      <c r="B31" s="52" t="s">
        <v>65</v>
      </c>
      <c r="C31" s="53" t="s">
        <v>277</v>
      </c>
      <c r="D31" s="54" t="s">
        <v>164</v>
      </c>
      <c r="E31" s="53" t="s">
        <v>66</v>
      </c>
      <c r="F31" s="55" t="s">
        <v>66</v>
      </c>
      <c r="G31" s="46"/>
      <c r="H31" s="53" t="s">
        <v>286</v>
      </c>
      <c r="I31" s="54" t="s">
        <v>285</v>
      </c>
      <c r="J31" s="410"/>
    </row>
    <row r="32" spans="1:14" s="2" customFormat="1" ht="38.25" x14ac:dyDescent="0.25">
      <c r="A32" s="200" t="s">
        <v>132</v>
      </c>
      <c r="B32" s="42" t="s">
        <v>64</v>
      </c>
      <c r="C32" s="56" t="str">
        <f>CONCATENATE(C31," - ",B7)</f>
        <v>ELECTRICTE - S23</v>
      </c>
      <c r="D32" s="57" t="str">
        <f>CONCATENATE(D31," - ",$B$7)</f>
        <v>Ratio ELECTRICTE réf - S23</v>
      </c>
      <c r="E32" s="72" t="str">
        <f>'0_ENTREE'!M31</f>
        <v>INDICE EDF [N-1]</v>
      </c>
      <c r="F32" s="75" t="str">
        <f>'0_ENTREE'!N31</f>
        <v>INDICE EDF [N]</v>
      </c>
      <c r="G32" s="14"/>
      <c r="H32" s="56" t="str">
        <f>CONCATENATE(H31)</f>
        <v>ARBRE BASE 12/13</v>
      </c>
      <c r="I32" s="57" t="str">
        <f>CONCATENATE(I31)</f>
        <v>ARBRE BASE REFERENCE</v>
      </c>
      <c r="J32" s="75"/>
      <c r="L32" s="3" t="s">
        <v>316</v>
      </c>
      <c r="M32" s="3"/>
    </row>
    <row r="33" spans="1:13" s="3" customFormat="1" ht="13.5" thickBot="1" x14ac:dyDescent="0.3">
      <c r="A33" s="201"/>
      <c r="B33" s="43"/>
      <c r="C33" s="58" t="s">
        <v>274</v>
      </c>
      <c r="D33" s="59" t="s">
        <v>274</v>
      </c>
      <c r="E33" s="76" t="s">
        <v>4</v>
      </c>
      <c r="F33" s="79" t="s">
        <v>4</v>
      </c>
      <c r="G33" s="15"/>
      <c r="H33" s="58" t="s">
        <v>274</v>
      </c>
      <c r="I33" s="59" t="s">
        <v>274</v>
      </c>
      <c r="J33" s="79" t="s">
        <v>28</v>
      </c>
      <c r="L33" s="1"/>
      <c r="M33" s="1"/>
    </row>
    <row r="34" spans="1:13" x14ac:dyDescent="0.25">
      <c r="A34" s="202">
        <v>1</v>
      </c>
      <c r="B34" s="45" t="str">
        <f>CONCATENATE("Ratio Electricité - ",'0_ENTREE'!B33)</f>
        <v>Ratio Electricité - GC - 274 - T4 - 83m²</v>
      </c>
      <c r="C34" s="477">
        <f>(F34-E34)</f>
        <v>55</v>
      </c>
      <c r="D34" s="478">
        <f>'1_REFERENCE'!C103</f>
        <v>54.399999999999864</v>
      </c>
      <c r="E34" s="101">
        <f>'0_ENTREE'!M33</f>
        <v>1415.1</v>
      </c>
      <c r="F34" s="102">
        <f>'0_ENTREE'!N33</f>
        <v>1470.1</v>
      </c>
      <c r="G34" s="13"/>
      <c r="H34" s="400">
        <v>2798</v>
      </c>
      <c r="I34" s="401">
        <f>C18*52</f>
        <v>2726</v>
      </c>
      <c r="J34" s="407">
        <f>(I34-H34)/I34</f>
        <v>-2.6412325752017608E-2</v>
      </c>
    </row>
    <row r="35" spans="1:13" x14ac:dyDescent="0.25">
      <c r="A35" s="202">
        <v>2</v>
      </c>
      <c r="B35" s="37" t="str">
        <f>CONCATENATE("Ratio Electricité - ",'0_ENTREE'!B34)</f>
        <v>Ratio Electricité - GC - 277 - T2 - 53m²</v>
      </c>
      <c r="C35" s="479">
        <f t="shared" ref="C35:C46" si="0">(F35-E35)</f>
        <v>31.5</v>
      </c>
      <c r="D35" s="479">
        <f>'1_REFERENCE'!C104</f>
        <v>40</v>
      </c>
      <c r="E35" s="103">
        <f>'0_ENTREE'!M34</f>
        <v>1013.5</v>
      </c>
      <c r="F35" s="104">
        <f>'0_ENTREE'!N34</f>
        <v>1045</v>
      </c>
      <c r="G35" s="13"/>
      <c r="H35" s="402">
        <v>2764</v>
      </c>
      <c r="I35" s="402">
        <f>I34</f>
        <v>2726</v>
      </c>
      <c r="J35" s="352">
        <f t="shared" ref="J35:J46" si="1">(I35-H35)/I35</f>
        <v>-1.3939838591342627E-2</v>
      </c>
    </row>
    <row r="36" spans="1:13" x14ac:dyDescent="0.25">
      <c r="A36" s="202">
        <v>3</v>
      </c>
      <c r="B36" s="37" t="str">
        <f>CONCATENATE("Ratio Electricité - ",'0_ENTREE'!B35)</f>
        <v>Ratio Electricité - GC - 281 - T3 - 71m²</v>
      </c>
      <c r="C36" s="479">
        <f t="shared" si="0"/>
        <v>36.700000000000045</v>
      </c>
      <c r="D36" s="479">
        <f>'1_REFERENCE'!C105</f>
        <v>36.200000000000045</v>
      </c>
      <c r="E36" s="103">
        <f>'0_ENTREE'!M35</f>
        <v>1083.2</v>
      </c>
      <c r="F36" s="104">
        <f>'0_ENTREE'!N35</f>
        <v>1119.9000000000001</v>
      </c>
      <c r="G36" s="13"/>
      <c r="H36" s="402">
        <v>766</v>
      </c>
      <c r="I36" s="402">
        <f t="shared" ref="I36:I46" si="2">I35</f>
        <v>2726</v>
      </c>
      <c r="J36" s="352">
        <f t="shared" si="1"/>
        <v>0.71900220102714596</v>
      </c>
    </row>
    <row r="37" spans="1:13" x14ac:dyDescent="0.25">
      <c r="A37" s="202">
        <v>4</v>
      </c>
      <c r="B37" s="37" t="str">
        <f>CONCATENATE("Ratio Electricité - ",'0_ENTREE'!B36)</f>
        <v>Ratio Electricité - GC - 283 - T3 - 70m²</v>
      </c>
      <c r="C37" s="479">
        <f t="shared" si="0"/>
        <v>28</v>
      </c>
      <c r="D37" s="479">
        <f>'1_REFERENCE'!C106</f>
        <v>27.200000000000045</v>
      </c>
      <c r="E37" s="103">
        <f>'0_ENTREE'!M36</f>
        <v>771.5</v>
      </c>
      <c r="F37" s="104">
        <f>'0_ENTREE'!N36</f>
        <v>799.5</v>
      </c>
      <c r="G37" s="13"/>
      <c r="H37" s="402">
        <v>1599</v>
      </c>
      <c r="I37" s="402">
        <f t="shared" si="2"/>
        <v>2726</v>
      </c>
      <c r="J37" s="352">
        <f t="shared" si="1"/>
        <v>0.41342626559060897</v>
      </c>
    </row>
    <row r="38" spans="1:13" x14ac:dyDescent="0.25">
      <c r="A38" s="202">
        <v>5</v>
      </c>
      <c r="B38" s="37" t="str">
        <f>CONCATENATE("Ratio Electricité - ",'0_ENTREE'!B37)</f>
        <v>Ratio Electricité - GC - 285 - T3 - 64m²</v>
      </c>
      <c r="C38" s="479">
        <f t="shared" si="0"/>
        <v>37</v>
      </c>
      <c r="D38" s="479">
        <f>'1_REFERENCE'!C107</f>
        <v>39</v>
      </c>
      <c r="E38" s="103">
        <f>'0_ENTREE'!M37</f>
        <v>853</v>
      </c>
      <c r="F38" s="104">
        <f>'0_ENTREE'!N37</f>
        <v>890</v>
      </c>
      <c r="G38" s="13"/>
      <c r="H38" s="402">
        <v>2436</v>
      </c>
      <c r="I38" s="402">
        <f t="shared" si="2"/>
        <v>2726</v>
      </c>
      <c r="J38" s="352">
        <f t="shared" si="1"/>
        <v>0.10638297872340426</v>
      </c>
    </row>
    <row r="39" spans="1:13" x14ac:dyDescent="0.25">
      <c r="A39" s="202">
        <v>6</v>
      </c>
      <c r="B39" s="37" t="str">
        <f>CONCATENATE("Ratio Electricité - ",'0_ENTREE'!B38)</f>
        <v>Ratio Electricité - GC - 286 - T3 - 68m²</v>
      </c>
      <c r="C39" s="479">
        <f t="shared" si="0"/>
        <v>20.600000000000023</v>
      </c>
      <c r="D39" s="479">
        <f>'1_REFERENCE'!C108</f>
        <v>23.799999999999955</v>
      </c>
      <c r="E39" s="103">
        <f>'0_ENTREE'!M38</f>
        <v>925.5</v>
      </c>
      <c r="F39" s="104">
        <f>'0_ENTREE'!N38</f>
        <v>946.1</v>
      </c>
      <c r="G39" s="13"/>
      <c r="H39" s="402">
        <v>3108</v>
      </c>
      <c r="I39" s="402">
        <f t="shared" si="2"/>
        <v>2726</v>
      </c>
      <c r="J39" s="352">
        <f t="shared" si="1"/>
        <v>-0.1401320616287601</v>
      </c>
    </row>
    <row r="40" spans="1:13" x14ac:dyDescent="0.25">
      <c r="A40" s="202">
        <v>7</v>
      </c>
      <c r="B40" s="37" t="str">
        <f>CONCATENATE("Ratio Electricité - ",'0_ENTREE'!B39)</f>
        <v>Ratio Electricité - GC - 289 - T3 - 76m²</v>
      </c>
      <c r="C40" s="479">
        <f t="shared" si="0"/>
        <v>25.399999999999977</v>
      </c>
      <c r="D40" s="479">
        <f>'1_REFERENCE'!C109</f>
        <v>23.799999999999955</v>
      </c>
      <c r="E40" s="103">
        <f>'0_ENTREE'!M39</f>
        <v>659</v>
      </c>
      <c r="F40" s="104">
        <f>'0_ENTREE'!N39</f>
        <v>684.4</v>
      </c>
      <c r="G40" s="13"/>
      <c r="H40" s="402">
        <v>1310</v>
      </c>
      <c r="I40" s="402">
        <f t="shared" si="2"/>
        <v>2726</v>
      </c>
      <c r="J40" s="352">
        <f t="shared" si="1"/>
        <v>0.51944240645634632</v>
      </c>
    </row>
    <row r="41" spans="1:13" x14ac:dyDescent="0.25">
      <c r="A41" s="202">
        <v>8</v>
      </c>
      <c r="B41" s="37" t="str">
        <f>CONCATENATE("Ratio Electricité - ",'0_ENTREE'!B40)</f>
        <v>Ratio Electricité - GC - 303 - T4 - 81m²</v>
      </c>
      <c r="C41" s="479">
        <f t="shared" si="0"/>
        <v>73.299999999999955</v>
      </c>
      <c r="D41" s="479">
        <f>'1_REFERENCE'!C110</f>
        <v>93</v>
      </c>
      <c r="E41" s="103">
        <f>'0_ENTREE'!M40</f>
        <v>1856.9</v>
      </c>
      <c r="F41" s="104">
        <f>'0_ENTREE'!N40</f>
        <v>1930.2</v>
      </c>
      <c r="G41" s="13"/>
      <c r="H41" s="402">
        <v>3170</v>
      </c>
      <c r="I41" s="402">
        <f t="shared" si="2"/>
        <v>2726</v>
      </c>
      <c r="J41" s="352">
        <f t="shared" si="1"/>
        <v>-0.16287600880410857</v>
      </c>
    </row>
    <row r="42" spans="1:13" x14ac:dyDescent="0.25">
      <c r="A42" s="202">
        <v>9</v>
      </c>
      <c r="B42" s="37" t="str">
        <f>CONCATENATE("Ratio Electricité - ",'0_ENTREE'!B41)</f>
        <v>Ratio Electricité - GC - 304 - T3 - 66m²</v>
      </c>
      <c r="C42" s="479">
        <f t="shared" si="0"/>
        <v>23.5</v>
      </c>
      <c r="D42" s="479">
        <f>'1_REFERENCE'!C111</f>
        <v>21.400000000000091</v>
      </c>
      <c r="E42" s="103">
        <f>'0_ENTREE'!M41</f>
        <v>868.2</v>
      </c>
      <c r="F42" s="104">
        <f>'0_ENTREE'!N41</f>
        <v>891.7</v>
      </c>
      <c r="G42" s="13"/>
      <c r="H42" s="402">
        <v>1835</v>
      </c>
      <c r="I42" s="402">
        <f t="shared" si="2"/>
        <v>2726</v>
      </c>
      <c r="J42" s="352">
        <f t="shared" si="1"/>
        <v>0.32685253118121788</v>
      </c>
    </row>
    <row r="43" spans="1:13" x14ac:dyDescent="0.25">
      <c r="A43" s="202">
        <v>10</v>
      </c>
      <c r="B43" s="505" t="str">
        <f>CONCATENATE("Ratio Electricité - ",'0_ENTREE'!B42)</f>
        <v>Ratio Electricité - GC - 306 - T3 - 66m²</v>
      </c>
      <c r="C43" s="479">
        <f t="shared" si="0"/>
        <v>20.200000000000045</v>
      </c>
      <c r="D43" s="479">
        <f>'1_REFERENCE'!C112</f>
        <v>19.5</v>
      </c>
      <c r="E43" s="103">
        <f>'0_ENTREE'!M42</f>
        <v>685.4</v>
      </c>
      <c r="F43" s="104">
        <f>'0_ENTREE'!N42</f>
        <v>705.6</v>
      </c>
      <c r="G43" s="13"/>
      <c r="H43" s="402">
        <v>1214</v>
      </c>
      <c r="I43" s="402">
        <f t="shared" si="2"/>
        <v>2726</v>
      </c>
      <c r="J43" s="352">
        <f t="shared" si="1"/>
        <v>0.55465884079236982</v>
      </c>
    </row>
    <row r="44" spans="1:13" x14ac:dyDescent="0.25">
      <c r="A44" s="202">
        <v>11</v>
      </c>
      <c r="B44" s="37" t="str">
        <f>CONCATENATE("Ratio Electricité - ",'0_ENTREE'!B43)</f>
        <v>Ratio Electricité - GC - 307 - T3 - 66m²</v>
      </c>
      <c r="C44" s="479">
        <f t="shared" si="0"/>
        <v>45.900000000000091</v>
      </c>
      <c r="D44" s="479">
        <f>'1_REFERENCE'!C113</f>
        <v>56.900000000000091</v>
      </c>
      <c r="E44" s="103">
        <f>'0_ENTREE'!M43</f>
        <v>1553</v>
      </c>
      <c r="F44" s="104">
        <f>'0_ENTREE'!N43</f>
        <v>1598.9</v>
      </c>
      <c r="G44" s="13"/>
      <c r="H44" s="402">
        <v>5247</v>
      </c>
      <c r="I44" s="402">
        <f t="shared" si="2"/>
        <v>2726</v>
      </c>
      <c r="J44" s="352">
        <f t="shared" si="1"/>
        <v>-0.92479823917828319</v>
      </c>
    </row>
    <row r="45" spans="1:13" x14ac:dyDescent="0.25">
      <c r="A45" s="202">
        <v>12</v>
      </c>
      <c r="B45" s="37" t="str">
        <f>CONCATENATE("Ratio Electricité - ",'0_ENTREE'!B44)</f>
        <v>Ratio Electricité - GC - 308 - T3 - 66m²</v>
      </c>
      <c r="C45" s="479">
        <f t="shared" si="0"/>
        <v>22.199999999999818</v>
      </c>
      <c r="D45" s="479">
        <f>'1_REFERENCE'!C114</f>
        <v>25.100000000000136</v>
      </c>
      <c r="E45" s="103">
        <f>'0_ENTREE'!M44</f>
        <v>1026.4000000000001</v>
      </c>
      <c r="F45" s="104">
        <f>'0_ENTREE'!N44</f>
        <v>1048.5999999999999</v>
      </c>
      <c r="G45" s="13"/>
      <c r="H45" s="402">
        <v>129</v>
      </c>
      <c r="I45" s="402">
        <f t="shared" si="2"/>
        <v>2726</v>
      </c>
      <c r="J45" s="352">
        <f t="shared" si="1"/>
        <v>0.95267791636096844</v>
      </c>
    </row>
    <row r="46" spans="1:13" x14ac:dyDescent="0.25">
      <c r="A46" s="202">
        <v>13</v>
      </c>
      <c r="B46" s="37" t="str">
        <f>CONCATENATE("Ratio Electricité - ",'0_ENTREE'!B45)</f>
        <v>Ratio Electricité - GC - 314 - T4 - 75m²</v>
      </c>
      <c r="C46" s="479">
        <f t="shared" si="0"/>
        <v>113.20000000000027</v>
      </c>
      <c r="D46" s="479">
        <f>'1_REFERENCE'!C115</f>
        <v>120.29999999999973</v>
      </c>
      <c r="E46" s="103">
        <f>'0_ENTREE'!M45</f>
        <v>3209.6</v>
      </c>
      <c r="F46" s="104">
        <f>'0_ENTREE'!N45</f>
        <v>3322.8</v>
      </c>
      <c r="G46" s="13"/>
      <c r="H46" s="402">
        <v>5336</v>
      </c>
      <c r="I46" s="402">
        <f t="shared" si="2"/>
        <v>2726</v>
      </c>
      <c r="J46" s="352">
        <f t="shared" si="1"/>
        <v>-0.95744680851063835</v>
      </c>
      <c r="L46" s="44"/>
      <c r="M46" s="44"/>
    </row>
    <row r="47" spans="1:13" s="44" customFormat="1" ht="13.5" thickBot="1" x14ac:dyDescent="0.3">
      <c r="A47" s="202">
        <v>14</v>
      </c>
      <c r="B47" s="208" t="str">
        <f>CONCATENATE("Ratio Electricité - ",'0_ENTREE'!B46)</f>
        <v>Ratio Electricité - MOYENNE GC</v>
      </c>
      <c r="C47" s="480">
        <f>AVERAGE(C34:C46)</f>
        <v>40.961538461538481</v>
      </c>
      <c r="D47" s="480">
        <f>AVERAGE(D34:D46)</f>
        <v>44.661538461538456</v>
      </c>
      <c r="E47" s="206"/>
      <c r="F47" s="207"/>
      <c r="G47" s="28"/>
      <c r="H47" s="403"/>
      <c r="I47" s="403">
        <f>AVERAGE(I34:I46)</f>
        <v>2726</v>
      </c>
      <c r="J47" s="408"/>
      <c r="L47" s="1"/>
      <c r="M47" s="1"/>
    </row>
    <row r="48" spans="1:13" x14ac:dyDescent="0.25">
      <c r="A48" s="202">
        <v>15</v>
      </c>
      <c r="B48" s="45" t="str">
        <f>CONCATENATE("Ratio Electricité - ",'0_ENTREE'!B47)</f>
        <v>Ratio Electricité - GE2.1 - 275 - T3 - 74m²</v>
      </c>
      <c r="C48" s="481">
        <f>(F48-E48)</f>
        <v>55</v>
      </c>
      <c r="D48" s="481">
        <f>'1_REFERENCE'!C117</f>
        <v>59.100000000000136</v>
      </c>
      <c r="E48" s="105">
        <f>'0_ENTREE'!M47</f>
        <v>1566.9</v>
      </c>
      <c r="F48" s="106">
        <f>'0_ENTREE'!N47</f>
        <v>1621.9</v>
      </c>
      <c r="G48" s="13"/>
      <c r="H48" s="404">
        <v>3871</v>
      </c>
      <c r="I48" s="404">
        <f t="shared" ref="I48:I60" si="3">I47</f>
        <v>2726</v>
      </c>
      <c r="J48" s="407">
        <f t="shared" ref="J48:J60" si="4">(I48-H48)/I48</f>
        <v>-0.42002934702861333</v>
      </c>
    </row>
    <row r="49" spans="1:14" x14ac:dyDescent="0.25">
      <c r="A49" s="202">
        <v>16</v>
      </c>
      <c r="B49" s="37" t="str">
        <f>CONCATENATE("Ratio Electricité - ",'0_ENTREE'!B48)</f>
        <v>Ratio Electricité - GE2.1 - 278 - T2 - 57m²</v>
      </c>
      <c r="C49" s="479">
        <f t="shared" ref="C49:C60" si="5">(F49-E49)</f>
        <v>3</v>
      </c>
      <c r="D49" s="479">
        <f>'1_REFERENCE'!C118</f>
        <v>3.8999999999999773</v>
      </c>
      <c r="E49" s="103">
        <f>'0_ENTREE'!M48</f>
        <v>325.5</v>
      </c>
      <c r="F49" s="104">
        <f>'0_ENTREE'!N48</f>
        <v>328.5</v>
      </c>
      <c r="G49" s="13"/>
      <c r="H49" s="402">
        <v>115</v>
      </c>
      <c r="I49" s="402">
        <f t="shared" si="3"/>
        <v>2726</v>
      </c>
      <c r="J49" s="352">
        <f t="shared" si="4"/>
        <v>0.95781364636830524</v>
      </c>
    </row>
    <row r="50" spans="1:14" x14ac:dyDescent="0.25">
      <c r="A50" s="202">
        <v>17</v>
      </c>
      <c r="B50" s="37" t="str">
        <f>CONCATENATE("Ratio Electricité - ",'0_ENTREE'!B49)</f>
        <v>Ratio Electricité - GE2.1 - 280 - T3 - 66m²</v>
      </c>
      <c r="C50" s="479">
        <f t="shared" si="5"/>
        <v>0.39999999999999991</v>
      </c>
      <c r="D50" s="479">
        <f>'1_REFERENCE'!C119</f>
        <v>0.10000000000000009</v>
      </c>
      <c r="E50" s="103">
        <f>'0_ENTREE'!M49</f>
        <v>2.5</v>
      </c>
      <c r="F50" s="104">
        <f>'0_ENTREE'!N49</f>
        <v>2.9</v>
      </c>
      <c r="G50" s="13"/>
      <c r="H50" s="402"/>
      <c r="I50" s="402">
        <f t="shared" si="3"/>
        <v>2726</v>
      </c>
      <c r="J50" s="352">
        <f t="shared" si="4"/>
        <v>1</v>
      </c>
    </row>
    <row r="51" spans="1:14" x14ac:dyDescent="0.25">
      <c r="A51" s="202">
        <v>18</v>
      </c>
      <c r="B51" s="37" t="str">
        <f>CONCATENATE("Ratio Electricité - ",'0_ENTREE'!B50)</f>
        <v>Ratio Electricité - GE2.1 - 282 - T4 - 78m²</v>
      </c>
      <c r="C51" s="479">
        <f t="shared" si="5"/>
        <v>29.299999999999955</v>
      </c>
      <c r="D51" s="479">
        <f>'1_REFERENCE'!C120</f>
        <v>25.899999999999977</v>
      </c>
      <c r="E51" s="103">
        <f>'0_ENTREE'!M50</f>
        <v>729.1</v>
      </c>
      <c r="F51" s="104">
        <f>'0_ENTREE'!N50</f>
        <v>758.4</v>
      </c>
      <c r="G51" s="13"/>
      <c r="H51" s="402">
        <v>1870</v>
      </c>
      <c r="I51" s="402">
        <f t="shared" si="3"/>
        <v>2726</v>
      </c>
      <c r="J51" s="352">
        <f t="shared" si="4"/>
        <v>0.31401320616287604</v>
      </c>
    </row>
    <row r="52" spans="1:14" x14ac:dyDescent="0.25">
      <c r="A52" s="202">
        <v>19</v>
      </c>
      <c r="B52" s="37" t="str">
        <f>CONCATENATE("Ratio Electricité - ",'0_ENTREE'!B51)</f>
        <v>Ratio Electricité - GE2.1 - 292 - T3 - 63m²</v>
      </c>
      <c r="C52" s="479">
        <f t="shared" si="5"/>
        <v>35.5</v>
      </c>
      <c r="D52" s="479">
        <f>'1_REFERENCE'!C121</f>
        <v>34.199999999999932</v>
      </c>
      <c r="E52" s="103">
        <f>'0_ENTREE'!M51</f>
        <v>848.9</v>
      </c>
      <c r="F52" s="104">
        <f>'0_ENTREE'!N51</f>
        <v>884.4</v>
      </c>
      <c r="G52" s="13"/>
      <c r="H52" s="402">
        <v>2024</v>
      </c>
      <c r="I52" s="402">
        <f t="shared" si="3"/>
        <v>2726</v>
      </c>
      <c r="J52" s="352">
        <f t="shared" si="4"/>
        <v>0.2575201760821717</v>
      </c>
    </row>
    <row r="53" spans="1:14" x14ac:dyDescent="0.25">
      <c r="A53" s="202">
        <v>20</v>
      </c>
      <c r="B53" s="37" t="str">
        <f>CONCATENATE("Ratio Electricité - ",'0_ENTREE'!B52)</f>
        <v>Ratio Electricité - GE2.1 - 293 - T3 - 63m²</v>
      </c>
      <c r="C53" s="479">
        <f t="shared" si="5"/>
        <v>25.699999999999989</v>
      </c>
      <c r="D53" s="479">
        <f>'1_REFERENCE'!C122</f>
        <v>33.899999999999977</v>
      </c>
      <c r="E53" s="103">
        <f>'0_ENTREE'!M52</f>
        <v>477.7</v>
      </c>
      <c r="F53" s="104">
        <f>'0_ENTREE'!N52</f>
        <v>503.4</v>
      </c>
      <c r="G53" s="13"/>
      <c r="H53" s="402">
        <v>1331</v>
      </c>
      <c r="I53" s="402">
        <f t="shared" si="3"/>
        <v>2726</v>
      </c>
      <c r="J53" s="352">
        <f t="shared" si="4"/>
        <v>0.51173881144534117</v>
      </c>
    </row>
    <row r="54" spans="1:14" x14ac:dyDescent="0.25">
      <c r="A54" s="202">
        <v>21</v>
      </c>
      <c r="B54" s="37" t="str">
        <f>CONCATENATE("Ratio Electricité - ",'0_ENTREE'!B53)</f>
        <v>Ratio Electricité - GE2.1 - 295 - T3 - 63m²</v>
      </c>
      <c r="C54" s="479">
        <f t="shared" si="5"/>
        <v>48.599999999999909</v>
      </c>
      <c r="D54" s="479">
        <f>'1_REFERENCE'!C123</f>
        <v>49.299999999999955</v>
      </c>
      <c r="E54" s="103">
        <f>'0_ENTREE'!M53</f>
        <v>1103.5</v>
      </c>
      <c r="F54" s="104">
        <f>'0_ENTREE'!N53</f>
        <v>1152.0999999999999</v>
      </c>
      <c r="G54" s="13"/>
      <c r="H54" s="402">
        <v>2572</v>
      </c>
      <c r="I54" s="402">
        <f t="shared" si="3"/>
        <v>2726</v>
      </c>
      <c r="J54" s="352">
        <f t="shared" si="4"/>
        <v>5.6493030080704332E-2</v>
      </c>
    </row>
    <row r="55" spans="1:14" x14ac:dyDescent="0.25">
      <c r="A55" s="202">
        <v>22</v>
      </c>
      <c r="B55" s="37" t="str">
        <f>CONCATENATE("Ratio Electricité - ",'0_ENTREE'!B54)</f>
        <v>Ratio Electricité - GE2.1 - 296 - T4 - 78m²</v>
      </c>
      <c r="C55" s="479">
        <f t="shared" si="5"/>
        <v>27.700000000000045</v>
      </c>
      <c r="D55" s="479">
        <f>'1_REFERENCE'!C124</f>
        <v>31.100000000000023</v>
      </c>
      <c r="E55" s="103">
        <f>'0_ENTREE'!M54</f>
        <v>678.9</v>
      </c>
      <c r="F55" s="104">
        <f>'0_ENTREE'!N54</f>
        <v>706.6</v>
      </c>
      <c r="G55" s="13"/>
      <c r="H55" s="402">
        <v>1390</v>
      </c>
      <c r="I55" s="402">
        <f t="shared" si="3"/>
        <v>2726</v>
      </c>
      <c r="J55" s="352">
        <f t="shared" si="4"/>
        <v>0.4900953778429934</v>
      </c>
    </row>
    <row r="56" spans="1:14" x14ac:dyDescent="0.25">
      <c r="A56" s="202">
        <v>23</v>
      </c>
      <c r="B56" s="37" t="str">
        <f>CONCATENATE("Ratio Electricité - ",'0_ENTREE'!B55)</f>
        <v>Ratio Electricité - GE2.1 - 297 - T4 - 79m²</v>
      </c>
      <c r="C56" s="479">
        <f t="shared" si="5"/>
        <v>58.899999999999864</v>
      </c>
      <c r="D56" s="479">
        <f>'1_REFERENCE'!C125</f>
        <v>60</v>
      </c>
      <c r="E56" s="103">
        <f>'0_ENTREE'!M55</f>
        <v>1717.7</v>
      </c>
      <c r="F56" s="104">
        <f>'0_ENTREE'!N55</f>
        <v>1776.6</v>
      </c>
      <c r="G56" s="13"/>
      <c r="H56" s="402">
        <v>3066</v>
      </c>
      <c r="I56" s="402">
        <f t="shared" si="3"/>
        <v>2726</v>
      </c>
      <c r="J56" s="352">
        <f t="shared" si="4"/>
        <v>-0.12472487160674982</v>
      </c>
    </row>
    <row r="57" spans="1:14" x14ac:dyDescent="0.25">
      <c r="A57" s="202">
        <v>24</v>
      </c>
      <c r="B57" s="37" t="str">
        <f>CONCATENATE("Ratio Electricité - ",'0_ENTREE'!B56)</f>
        <v>Ratio Electricité - GE2.1 - 299 - T4 - 79m²</v>
      </c>
      <c r="C57" s="479">
        <f t="shared" si="5"/>
        <v>22.299999999999955</v>
      </c>
      <c r="D57" s="479">
        <f>'1_REFERENCE'!C126</f>
        <v>5.2000000000000455</v>
      </c>
      <c r="E57" s="103">
        <f>'0_ENTREE'!M56</f>
        <v>836.1</v>
      </c>
      <c r="F57" s="104">
        <f>'0_ENTREE'!N56</f>
        <v>858.4</v>
      </c>
      <c r="G57" s="13"/>
      <c r="H57" s="402">
        <v>1708</v>
      </c>
      <c r="I57" s="402">
        <f t="shared" si="3"/>
        <v>2726</v>
      </c>
      <c r="J57" s="352">
        <f t="shared" si="4"/>
        <v>0.3734409391049156</v>
      </c>
    </row>
    <row r="58" spans="1:14" x14ac:dyDescent="0.25">
      <c r="A58" s="202">
        <v>25</v>
      </c>
      <c r="B58" s="37" t="str">
        <f>CONCATENATE("Ratio Electricité - ",'0_ENTREE'!B57)</f>
        <v>Ratio Electricité - GE2.1 - 300 - T5 - 93m²</v>
      </c>
      <c r="C58" s="479">
        <f t="shared" si="5"/>
        <v>49</v>
      </c>
      <c r="D58" s="479">
        <f>'1_REFERENCE'!C127</f>
        <v>58.199999999999818</v>
      </c>
      <c r="E58" s="103">
        <f>'0_ENTREE'!M57</f>
        <v>1531.6</v>
      </c>
      <c r="F58" s="104">
        <f>'0_ENTREE'!N57</f>
        <v>1580.6</v>
      </c>
      <c r="G58" s="13"/>
      <c r="H58" s="402">
        <v>3119</v>
      </c>
      <c r="I58" s="402">
        <f t="shared" si="3"/>
        <v>2726</v>
      </c>
      <c r="J58" s="352">
        <f t="shared" si="4"/>
        <v>-0.14416727806309612</v>
      </c>
    </row>
    <row r="59" spans="1:14" x14ac:dyDescent="0.25">
      <c r="A59" s="202">
        <v>26</v>
      </c>
      <c r="B59" s="37" t="str">
        <f>CONCATENATE("Ratio Electricité - ",'0_ENTREE'!B58)</f>
        <v>Ratio Electricité - GE2.1 - 302 - T5 - 93m²</v>
      </c>
      <c r="C59" s="479">
        <f t="shared" si="5"/>
        <v>51.799999999999955</v>
      </c>
      <c r="D59" s="479">
        <f>'1_REFERENCE'!C128</f>
        <v>48.799999999999955</v>
      </c>
      <c r="E59" s="103">
        <f>'0_ENTREE'!M58</f>
        <v>1326.3</v>
      </c>
      <c r="F59" s="104">
        <f>'0_ENTREE'!N58</f>
        <v>1378.1</v>
      </c>
      <c r="G59" s="13"/>
      <c r="H59" s="402">
        <v>2329</v>
      </c>
      <c r="I59" s="402">
        <f t="shared" si="3"/>
        <v>2726</v>
      </c>
      <c r="J59" s="352">
        <f t="shared" si="4"/>
        <v>0.14563462949376377</v>
      </c>
    </row>
    <row r="60" spans="1:14" x14ac:dyDescent="0.25">
      <c r="A60" s="202">
        <v>27</v>
      </c>
      <c r="B60" s="37" t="str">
        <f>CONCATENATE("Ratio Electricité - ",'0_ENTREE'!B59)</f>
        <v>Ratio Electricité - GE2.1 - 312 - T4 - 75m²</v>
      </c>
      <c r="C60" s="479">
        <f t="shared" si="5"/>
        <v>31.799999999999272</v>
      </c>
      <c r="D60" s="479">
        <f>'1_REFERENCE'!C129</f>
        <v>30.299999999999272</v>
      </c>
      <c r="E60" s="103">
        <f>'0_ENTREE'!M59</f>
        <v>30617.3</v>
      </c>
      <c r="F60" s="104">
        <f>'0_ENTREE'!N59</f>
        <v>30649.1</v>
      </c>
      <c r="G60" s="13"/>
      <c r="H60" s="402">
        <v>1413</v>
      </c>
      <c r="I60" s="402">
        <f t="shared" si="3"/>
        <v>2726</v>
      </c>
      <c r="J60" s="352">
        <f t="shared" si="4"/>
        <v>0.48165810711665447</v>
      </c>
      <c r="L60" s="44"/>
      <c r="M60" s="44"/>
    </row>
    <row r="61" spans="1:14" s="44" customFormat="1" ht="13.5" thickBot="1" x14ac:dyDescent="0.3">
      <c r="A61" s="202">
        <v>28</v>
      </c>
      <c r="B61" s="208" t="str">
        <f>CONCATENATE("Ratio Electricité - ",'0_ENTREE'!B60)</f>
        <v>Ratio Electricité - MOYENNE GE2.1</v>
      </c>
      <c r="C61" s="480">
        <f>AVERAGE(C48:C60)</f>
        <v>33.769230769230688</v>
      </c>
      <c r="D61" s="480">
        <f>AVERAGE(D48:D60)</f>
        <v>33.846153846153776</v>
      </c>
      <c r="E61" s="206"/>
      <c r="F61" s="207"/>
      <c r="G61" s="28"/>
      <c r="H61" s="403"/>
      <c r="I61" s="403">
        <f>AVERAGE(I48:I60)</f>
        <v>2726</v>
      </c>
      <c r="J61" s="408"/>
      <c r="L61" s="1"/>
      <c r="M61" s="1"/>
    </row>
    <row r="62" spans="1:14" ht="14.25" customHeight="1" x14ac:dyDescent="0.25">
      <c r="A62" s="202">
        <v>29</v>
      </c>
      <c r="B62" s="45" t="str">
        <f>CONCATENATE("Ratio Electricité - ",'0_ENTREE'!B61)</f>
        <v>Ratio Electricité - GE2.2 - 271 - T3 - 74m²</v>
      </c>
      <c r="C62" s="481">
        <f>(F62-E62)</f>
        <v>31.800000000000068</v>
      </c>
      <c r="D62" s="481">
        <f>'1_REFERENCE'!C131</f>
        <v>26.199999999999932</v>
      </c>
      <c r="E62" s="105">
        <f>'0_ENTREE'!M61</f>
        <v>743.3</v>
      </c>
      <c r="F62" s="106">
        <f>'0_ENTREE'!N61</f>
        <v>775.1</v>
      </c>
      <c r="G62" s="13"/>
      <c r="H62" s="404">
        <v>1560</v>
      </c>
      <c r="I62" s="404">
        <f t="shared" ref="I62:I74" si="6">I61</f>
        <v>2726</v>
      </c>
      <c r="J62" s="407">
        <f t="shared" ref="J62:J74" si="7">(I62-H62)/I62</f>
        <v>0.42773294203961848</v>
      </c>
      <c r="M62" s="453" t="s">
        <v>313</v>
      </c>
      <c r="N62" s="463" t="s">
        <v>328</v>
      </c>
    </row>
    <row r="63" spans="1:14" ht="14.25" customHeight="1" x14ac:dyDescent="0.25">
      <c r="A63" s="202">
        <v>30</v>
      </c>
      <c r="B63" s="37" t="str">
        <f>CONCATENATE("Ratio Electricité - ",'0_ENTREE'!B62)</f>
        <v>Ratio Electricité - GE2.2 - 272 - T3 - 74m²</v>
      </c>
      <c r="C63" s="479">
        <f t="shared" ref="C63:C74" si="8">(F63-E63)</f>
        <v>72.700000000000273</v>
      </c>
      <c r="D63" s="479">
        <f>'1_REFERENCE'!C132</f>
        <v>78.5</v>
      </c>
      <c r="E63" s="103">
        <f>'0_ENTREE'!M62</f>
        <v>2893.1</v>
      </c>
      <c r="F63" s="104">
        <f>'0_ENTREE'!N62</f>
        <v>2965.8</v>
      </c>
      <c r="G63" s="13"/>
      <c r="H63" s="402">
        <v>1618</v>
      </c>
      <c r="I63" s="402">
        <f t="shared" si="6"/>
        <v>2726</v>
      </c>
      <c r="J63" s="352">
        <f t="shared" si="7"/>
        <v>0.40645634629493765</v>
      </c>
      <c r="L63" s="449" t="s">
        <v>307</v>
      </c>
      <c r="N63" s="463">
        <v>5</v>
      </c>
    </row>
    <row r="64" spans="1:14" ht="14.25" customHeight="1" x14ac:dyDescent="0.25">
      <c r="A64" s="202">
        <v>31</v>
      </c>
      <c r="B64" s="37" t="str">
        <f>CONCATENATE("Ratio Electricité - ",'0_ENTREE'!B63)</f>
        <v>Ratio Electricité - GE2.2 - 273 - T3 - 74m²</v>
      </c>
      <c r="C64" s="479">
        <f t="shared" si="8"/>
        <v>54.799999999999955</v>
      </c>
      <c r="D64" s="479">
        <f>'1_REFERENCE'!C133</f>
        <v>55.299999999999955</v>
      </c>
      <c r="E64" s="103">
        <f>'0_ENTREE'!M63</f>
        <v>1471.2</v>
      </c>
      <c r="F64" s="104">
        <f>'0_ENTREE'!N63</f>
        <v>1526</v>
      </c>
      <c r="G64" s="13"/>
      <c r="H64" s="402">
        <v>2760</v>
      </c>
      <c r="I64" s="402">
        <f t="shared" si="6"/>
        <v>2726</v>
      </c>
      <c r="J64" s="352">
        <f t="shared" si="7"/>
        <v>-1.2472487160674981E-2</v>
      </c>
      <c r="L64" s="450" t="s">
        <v>306</v>
      </c>
      <c r="M64" s="1">
        <v>1</v>
      </c>
      <c r="N64" s="463">
        <v>10</v>
      </c>
    </row>
    <row r="65" spans="1:14" ht="14.25" customHeight="1" x14ac:dyDescent="0.25">
      <c r="A65" s="202">
        <v>32</v>
      </c>
      <c r="B65" s="37" t="str">
        <f>CONCATENATE("Ratio Electricité - ",'0_ENTREE'!B64)</f>
        <v>Ratio Electricité - GE2.2 - 276 - T4 - 83m²</v>
      </c>
      <c r="C65" s="479">
        <f t="shared" si="8"/>
        <v>85.699999999999818</v>
      </c>
      <c r="D65" s="479">
        <f>'1_REFERENCE'!C134</f>
        <v>89.299999999999955</v>
      </c>
      <c r="E65" s="103">
        <f>'0_ENTREE'!M64</f>
        <v>2071.5</v>
      </c>
      <c r="F65" s="104">
        <f>'0_ENTREE'!N64</f>
        <v>2157.1999999999998</v>
      </c>
      <c r="G65" s="13"/>
      <c r="H65" s="402">
        <v>4622</v>
      </c>
      <c r="I65" s="402">
        <f t="shared" si="6"/>
        <v>2726</v>
      </c>
      <c r="J65" s="352">
        <f t="shared" si="7"/>
        <v>-0.69552457813646373</v>
      </c>
      <c r="L65" s="450" t="s">
        <v>305</v>
      </c>
      <c r="M65" s="1">
        <v>2</v>
      </c>
      <c r="N65" s="463">
        <v>15</v>
      </c>
    </row>
    <row r="66" spans="1:14" ht="14.25" customHeight="1" x14ac:dyDescent="0.25">
      <c r="A66" s="202">
        <v>33</v>
      </c>
      <c r="B66" s="37" t="str">
        <f>CONCATENATE("Ratio Electricité - ",'0_ENTREE'!B65)</f>
        <v>Ratio Electricité - GE2.2 - 279 - T3 - 70m²</v>
      </c>
      <c r="C66" s="479">
        <f t="shared" si="8"/>
        <v>41.700000000000045</v>
      </c>
      <c r="D66" s="479">
        <f>'1_REFERENCE'!C135</f>
        <v>39.299999999999955</v>
      </c>
      <c r="E66" s="103">
        <f>'0_ENTREE'!M65</f>
        <v>1082.5999999999999</v>
      </c>
      <c r="F66" s="104">
        <f>'0_ENTREE'!N65</f>
        <v>1124.3</v>
      </c>
      <c r="G66" s="13"/>
      <c r="H66" s="402">
        <v>2961</v>
      </c>
      <c r="I66" s="402">
        <f t="shared" si="6"/>
        <v>2726</v>
      </c>
      <c r="J66" s="352">
        <f t="shared" si="7"/>
        <v>-8.6206896551724144E-2</v>
      </c>
      <c r="L66" s="450" t="s">
        <v>303</v>
      </c>
      <c r="M66" s="1">
        <v>1</v>
      </c>
      <c r="N66" s="463">
        <v>20</v>
      </c>
    </row>
    <row r="67" spans="1:14" ht="14.25" customHeight="1" x14ac:dyDescent="0.25">
      <c r="A67" s="202">
        <v>34</v>
      </c>
      <c r="B67" s="505" t="str">
        <f>CONCATENATE("Ratio Electricité - ",'0_ENTREE'!B66)</f>
        <v>Ratio Electricité - GE2.2 - 288 - T3 - 68m²</v>
      </c>
      <c r="C67" s="479">
        <f t="shared" si="8"/>
        <v>35.099999999999909</v>
      </c>
      <c r="D67" s="479">
        <f>'1_REFERENCE'!C136</f>
        <v>36.300000000000068</v>
      </c>
      <c r="E67" s="103">
        <f>'0_ENTREE'!M66</f>
        <v>743.7</v>
      </c>
      <c r="F67" s="104">
        <f>'0_ENTREE'!N66</f>
        <v>778.8</v>
      </c>
      <c r="G67" s="13"/>
      <c r="H67" s="402">
        <v>443</v>
      </c>
      <c r="I67" s="402">
        <f t="shared" si="6"/>
        <v>2726</v>
      </c>
      <c r="J67" s="352">
        <f t="shared" si="7"/>
        <v>0.83749082905355832</v>
      </c>
      <c r="L67" s="450" t="s">
        <v>304</v>
      </c>
      <c r="M67" s="1">
        <v>2</v>
      </c>
      <c r="N67" s="463">
        <v>25</v>
      </c>
    </row>
    <row r="68" spans="1:14" ht="14.25" customHeight="1" x14ac:dyDescent="0.25">
      <c r="A68" s="202">
        <v>35</v>
      </c>
      <c r="B68" s="37" t="str">
        <f>CONCATENATE("Ratio Electricité - ",'0_ENTREE'!B67)</f>
        <v>Ratio Electricité - GE2.2 - 291 - T3 - 62m²</v>
      </c>
      <c r="C68" s="479">
        <f t="shared" si="8"/>
        <v>18.799999999999955</v>
      </c>
      <c r="D68" s="479">
        <f>'1_REFERENCE'!C137</f>
        <v>12.599999999999909</v>
      </c>
      <c r="E68" s="103">
        <f>'0_ENTREE'!M67</f>
        <v>1269.3</v>
      </c>
      <c r="F68" s="104">
        <f>'0_ENTREE'!N67</f>
        <v>1288.0999999999999</v>
      </c>
      <c r="G68" s="13"/>
      <c r="H68" s="402">
        <v>2433</v>
      </c>
      <c r="I68" s="402">
        <f t="shared" si="6"/>
        <v>2726</v>
      </c>
      <c r="J68" s="352">
        <f t="shared" si="7"/>
        <v>0.10748349229640498</v>
      </c>
      <c r="L68" s="451" t="s">
        <v>308</v>
      </c>
      <c r="M68" s="1">
        <v>1</v>
      </c>
      <c r="N68" s="463">
        <v>30</v>
      </c>
    </row>
    <row r="69" spans="1:14" x14ac:dyDescent="0.25">
      <c r="A69" s="202">
        <v>36</v>
      </c>
      <c r="B69" s="37" t="str">
        <f>CONCATENATE("Ratio Electricité - ",'0_ENTREE'!B68)</f>
        <v>Ratio Electricité - GE2.2 - 294 - T3 - 63m²</v>
      </c>
      <c r="C69" s="479">
        <f t="shared" si="8"/>
        <v>59</v>
      </c>
      <c r="D69" s="479">
        <f>'1_REFERENCE'!C138</f>
        <v>56.700000000000273</v>
      </c>
      <c r="E69" s="103">
        <f>'0_ENTREE'!M68</f>
        <v>3124.8</v>
      </c>
      <c r="F69" s="104">
        <f>'0_ENTREE'!N68</f>
        <v>3183.8</v>
      </c>
      <c r="G69" s="13"/>
      <c r="H69" s="402">
        <v>5370</v>
      </c>
      <c r="I69" s="402">
        <f t="shared" si="6"/>
        <v>2726</v>
      </c>
      <c r="J69" s="352">
        <f t="shared" si="7"/>
        <v>-0.9699192956713133</v>
      </c>
      <c r="L69" s="452" t="s">
        <v>309</v>
      </c>
      <c r="M69" s="1">
        <v>1</v>
      </c>
      <c r="N69" s="463">
        <v>35</v>
      </c>
    </row>
    <row r="70" spans="1:14" x14ac:dyDescent="0.25">
      <c r="A70" s="202">
        <v>37</v>
      </c>
      <c r="B70" s="37" t="str">
        <f>CONCATENATE("Ratio Electricité - ",'0_ENTREE'!B69)</f>
        <v>Ratio Electricité - GE2.2 - 298 - T5 - 93m²</v>
      </c>
      <c r="C70" s="479">
        <f t="shared" si="8"/>
        <v>70.700000000000045</v>
      </c>
      <c r="D70" s="479">
        <f>'1_REFERENCE'!C139</f>
        <v>74.599999999999909</v>
      </c>
      <c r="E70" s="103">
        <f>'0_ENTREE'!M69</f>
        <v>1896</v>
      </c>
      <c r="F70" s="104">
        <f>'0_ENTREE'!N69</f>
        <v>1966.7</v>
      </c>
      <c r="G70" s="13"/>
      <c r="H70" s="402">
        <v>3805</v>
      </c>
      <c r="I70" s="402">
        <f t="shared" si="6"/>
        <v>2726</v>
      </c>
      <c r="J70" s="352">
        <f t="shared" si="7"/>
        <v>-0.39581804842259721</v>
      </c>
      <c r="L70" s="452" t="s">
        <v>310</v>
      </c>
      <c r="M70" s="1">
        <v>4</v>
      </c>
      <c r="N70" s="463">
        <v>40</v>
      </c>
    </row>
    <row r="71" spans="1:14" x14ac:dyDescent="0.25">
      <c r="A71" s="202">
        <v>38</v>
      </c>
      <c r="B71" s="37" t="str">
        <f>CONCATENATE("Ratio Electricité - ",'0_ENTREE'!B70)</f>
        <v>Ratio Electricité - GE2.2 - 301 - T4 - 79m²</v>
      </c>
      <c r="C71" s="479">
        <f t="shared" si="8"/>
        <v>65</v>
      </c>
      <c r="D71" s="479">
        <f>'1_REFERENCE'!C140</f>
        <v>76.400000000000091</v>
      </c>
      <c r="E71" s="103">
        <f>'0_ENTREE'!M70</f>
        <v>1911.4</v>
      </c>
      <c r="F71" s="104">
        <f>'0_ENTREE'!N70</f>
        <v>1976.4</v>
      </c>
      <c r="G71" s="13"/>
      <c r="H71" s="402">
        <v>4283</v>
      </c>
      <c r="I71" s="402">
        <f t="shared" si="6"/>
        <v>2726</v>
      </c>
      <c r="J71" s="352">
        <f t="shared" si="7"/>
        <v>-0.57116654438738079</v>
      </c>
      <c r="L71" s="452" t="s">
        <v>311</v>
      </c>
      <c r="N71" s="463">
        <v>45</v>
      </c>
    </row>
    <row r="72" spans="1:14" x14ac:dyDescent="0.25">
      <c r="A72" s="202">
        <v>39</v>
      </c>
      <c r="B72" s="37" t="str">
        <f>CONCATENATE("Ratio Electricité - ",'0_ENTREE'!B71)</f>
        <v>Ratio Electricité - GE2.2 - 311 - T4 - 74m²</v>
      </c>
      <c r="C72" s="479">
        <f t="shared" si="8"/>
        <v>36</v>
      </c>
      <c r="D72" s="479">
        <f>'1_REFERENCE'!C141</f>
        <v>32.799999999999955</v>
      </c>
      <c r="E72" s="103">
        <f>'0_ENTREE'!M71</f>
        <v>953.8</v>
      </c>
      <c r="F72" s="104">
        <f>'0_ENTREE'!N71</f>
        <v>989.8</v>
      </c>
      <c r="G72" s="13"/>
      <c r="H72" s="402">
        <v>2012</v>
      </c>
      <c r="I72" s="402">
        <f t="shared" si="6"/>
        <v>2726</v>
      </c>
      <c r="J72" s="352">
        <f t="shared" si="7"/>
        <v>0.26192223037417461</v>
      </c>
      <c r="L72" s="452" t="s">
        <v>312</v>
      </c>
      <c r="M72" s="1">
        <v>1</v>
      </c>
      <c r="N72" s="463">
        <v>50</v>
      </c>
    </row>
    <row r="73" spans="1:14" x14ac:dyDescent="0.25">
      <c r="A73" s="202">
        <v>40</v>
      </c>
      <c r="B73" s="37" t="str">
        <f>CONCATENATE("Ratio Electricité - ",'0_ENTREE'!B72)</f>
        <v>Ratio Electricité - GE2.2 - 313 - T4 - 75m²</v>
      </c>
      <c r="C73" s="479">
        <f t="shared" si="8"/>
        <v>25.799999999999955</v>
      </c>
      <c r="D73" s="479">
        <f>'1_REFERENCE'!C142</f>
        <v>28.200000000000045</v>
      </c>
      <c r="E73" s="103">
        <f>'0_ENTREE'!M72</f>
        <v>788.6</v>
      </c>
      <c r="F73" s="104">
        <f>'0_ENTREE'!N72</f>
        <v>814.4</v>
      </c>
      <c r="G73" s="13"/>
      <c r="H73" s="402">
        <v>1772</v>
      </c>
      <c r="I73" s="402">
        <f t="shared" si="6"/>
        <v>2726</v>
      </c>
      <c r="J73" s="352">
        <f t="shared" si="7"/>
        <v>0.34996331621423332</v>
      </c>
      <c r="L73" s="451" t="s">
        <v>302</v>
      </c>
      <c r="N73" s="463">
        <v>55</v>
      </c>
    </row>
    <row r="74" spans="1:14" x14ac:dyDescent="0.25">
      <c r="A74" s="202">
        <v>41</v>
      </c>
      <c r="B74" s="37" t="str">
        <f>CONCATENATE("Ratio Electricité - ",'0_ENTREE'!B73)</f>
        <v>Ratio Electricité - GE2.2 - 315 - T4 - 75m²</v>
      </c>
      <c r="C74" s="479">
        <f t="shared" si="8"/>
        <v>49.799999999999955</v>
      </c>
      <c r="D74" s="479">
        <f>'1_REFERENCE'!C143</f>
        <v>53.100000000000136</v>
      </c>
      <c r="E74" s="103">
        <f>'0_ENTREE'!M73</f>
        <v>1262.2</v>
      </c>
      <c r="F74" s="104">
        <f>'0_ENTREE'!N73</f>
        <v>1312</v>
      </c>
      <c r="G74" s="13"/>
      <c r="H74" s="402">
        <v>2575</v>
      </c>
      <c r="I74" s="402">
        <f t="shared" si="6"/>
        <v>2726</v>
      </c>
      <c r="J74" s="352">
        <f t="shared" si="7"/>
        <v>5.5392516507703597E-2</v>
      </c>
    </row>
    <row r="75" spans="1:14" s="44" customFormat="1" ht="13.5" thickBot="1" x14ac:dyDescent="0.3">
      <c r="A75" s="202">
        <v>42</v>
      </c>
      <c r="B75" s="208" t="str">
        <f>CONCATENATE("Ratio Electricité - ",'0_ENTREE'!B74)</f>
        <v>Ratio Electricité - MOYENNE GE2.2</v>
      </c>
      <c r="C75" s="480">
        <f>AVERAGE(C62:C74)</f>
        <v>49.761538461538457</v>
      </c>
      <c r="D75" s="480">
        <f>AVERAGE(D62:D74)</f>
        <v>50.715384615384629</v>
      </c>
      <c r="E75" s="206"/>
      <c r="F75" s="207"/>
      <c r="G75" s="28"/>
      <c r="H75" s="403"/>
      <c r="I75" s="403">
        <f>AVERAGE(I62:I74)</f>
        <v>2726</v>
      </c>
      <c r="J75" s="408"/>
    </row>
    <row r="76" spans="1:14" x14ac:dyDescent="0.25">
      <c r="A76" s="202">
        <v>43</v>
      </c>
      <c r="B76" s="45" t="str">
        <f>CONCATENATE("Ratio Electricité - ",'0_ENTREE'!B75)</f>
        <v>Ratio Electricité - SO - 284 - T - 64m²</v>
      </c>
      <c r="C76" s="481">
        <f t="shared" ref="C76:C81" si="9">(F76-E76)</f>
        <v>63.400000000000091</v>
      </c>
      <c r="D76" s="481">
        <f>'1_REFERENCE'!C145</f>
        <v>64</v>
      </c>
      <c r="E76" s="105">
        <f>'0_ENTREE'!M75</f>
        <v>2250</v>
      </c>
      <c r="F76" s="106">
        <f>'0_ENTREE'!N75</f>
        <v>2313.4</v>
      </c>
      <c r="G76" s="13"/>
      <c r="H76" s="404">
        <v>3030</v>
      </c>
      <c r="I76" s="404">
        <f t="shared" ref="I76:I81" si="10">I75</f>
        <v>2726</v>
      </c>
      <c r="J76" s="407">
        <f t="shared" ref="J76:J81" si="11">(I76-H76)/I76</f>
        <v>-0.11151870873074102</v>
      </c>
    </row>
    <row r="77" spans="1:14" x14ac:dyDescent="0.25">
      <c r="A77" s="202">
        <v>44</v>
      </c>
      <c r="B77" s="505" t="str">
        <f>CONCATENATE("Ratio Electricité - ",'0_ENTREE'!B76)</f>
        <v>Ratio Electricité - SO - 287 - T - 81m²</v>
      </c>
      <c r="C77" s="479">
        <f t="shared" si="9"/>
        <v>35.600000000000136</v>
      </c>
      <c r="D77" s="479">
        <f>'1_REFERENCE'!C146</f>
        <v>34.399999999999864</v>
      </c>
      <c r="E77" s="103">
        <f>'0_ENTREE'!M76</f>
        <v>1079.5999999999999</v>
      </c>
      <c r="F77" s="104">
        <f>'0_ENTREE'!N76</f>
        <v>1115.2</v>
      </c>
      <c r="G77" s="13"/>
      <c r="H77" s="402">
        <v>1081</v>
      </c>
      <c r="I77" s="402">
        <f t="shared" si="10"/>
        <v>2726</v>
      </c>
      <c r="J77" s="352">
        <f t="shared" si="11"/>
        <v>0.60344827586206895</v>
      </c>
    </row>
    <row r="78" spans="1:14" x14ac:dyDescent="0.25">
      <c r="A78" s="202">
        <v>45</v>
      </c>
      <c r="B78" s="505" t="str">
        <f>CONCATENATE("Ratio Electricité - ",'0_ENTREE'!B77)</f>
        <v>Ratio Electricité - SO - 290 - T - 40m²</v>
      </c>
      <c r="C78" s="479">
        <f t="shared" si="9"/>
        <v>26.799999999999955</v>
      </c>
      <c r="D78" s="479">
        <f>'1_REFERENCE'!C147</f>
        <v>23</v>
      </c>
      <c r="E78" s="103">
        <f>'0_ENTREE'!M77</f>
        <v>534.5</v>
      </c>
      <c r="F78" s="104">
        <f>'0_ENTREE'!N77</f>
        <v>561.29999999999995</v>
      </c>
      <c r="G78" s="13"/>
      <c r="H78" s="402">
        <v>1188</v>
      </c>
      <c r="I78" s="402">
        <f t="shared" si="10"/>
        <v>2726</v>
      </c>
      <c r="J78" s="352">
        <f t="shared" si="11"/>
        <v>0.56419662509170942</v>
      </c>
    </row>
    <row r="79" spans="1:14" x14ac:dyDescent="0.25">
      <c r="A79" s="202">
        <v>46</v>
      </c>
      <c r="B79" s="37" t="str">
        <f>CONCATENATE("Ratio Electricité - ",'0_ENTREE'!B78)</f>
        <v>Ratio Electricité - SO - 305 - T - 66m²</v>
      </c>
      <c r="C79" s="479">
        <f t="shared" si="9"/>
        <v>43.799999999999955</v>
      </c>
      <c r="D79" s="479">
        <f>'1_REFERENCE'!C148</f>
        <v>40.700000000000045</v>
      </c>
      <c r="E79" s="103">
        <f>'0_ENTREE'!M78</f>
        <v>1035</v>
      </c>
      <c r="F79" s="104">
        <f>'0_ENTREE'!N78</f>
        <v>1078.8</v>
      </c>
      <c r="G79" s="13"/>
      <c r="H79" s="402">
        <v>2028</v>
      </c>
      <c r="I79" s="402">
        <f t="shared" si="10"/>
        <v>2726</v>
      </c>
      <c r="J79" s="352">
        <f t="shared" si="11"/>
        <v>0.25605282465150403</v>
      </c>
    </row>
    <row r="80" spans="1:14" x14ac:dyDescent="0.25">
      <c r="A80" s="202">
        <v>47</v>
      </c>
      <c r="B80" s="37" t="str">
        <f>CONCATENATE("Ratio Electricité - ",'0_ENTREE'!B79)</f>
        <v>Ratio Electricité - SO - 309 - T - 66m²</v>
      </c>
      <c r="C80" s="479">
        <f t="shared" si="9"/>
        <v>17</v>
      </c>
      <c r="D80" s="479">
        <f>'1_REFERENCE'!C149</f>
        <v>19.5</v>
      </c>
      <c r="E80" s="103">
        <f>'0_ENTREE'!M79</f>
        <v>605.79999999999995</v>
      </c>
      <c r="F80" s="104">
        <f>'0_ENTREE'!N79</f>
        <v>622.79999999999995</v>
      </c>
      <c r="G80" s="13"/>
      <c r="H80" s="402">
        <v>1241</v>
      </c>
      <c r="I80" s="402">
        <f t="shared" si="10"/>
        <v>2726</v>
      </c>
      <c r="J80" s="352">
        <f t="shared" si="11"/>
        <v>0.54475421863536322</v>
      </c>
    </row>
    <row r="81" spans="1:20" x14ac:dyDescent="0.25">
      <c r="A81" s="202">
        <v>48</v>
      </c>
      <c r="B81" s="37" t="str">
        <f>CONCATENATE("Ratio Electricité - ",'0_ENTREE'!B80)</f>
        <v>Ratio Electricité - SO - 310 - T - 54m²</v>
      </c>
      <c r="C81" s="479">
        <f t="shared" si="9"/>
        <v>15.299999999999955</v>
      </c>
      <c r="D81" s="479">
        <f>'1_REFERENCE'!C150</f>
        <v>35.200000000000045</v>
      </c>
      <c r="E81" s="103">
        <f>'0_ENTREE'!M80</f>
        <v>1460.8</v>
      </c>
      <c r="F81" s="104">
        <f>'0_ENTREE'!N80</f>
        <v>1476.1</v>
      </c>
      <c r="G81" s="13"/>
      <c r="H81" s="402">
        <v>1420</v>
      </c>
      <c r="I81" s="402">
        <f t="shared" si="10"/>
        <v>2726</v>
      </c>
      <c r="J81" s="352">
        <f t="shared" si="11"/>
        <v>0.47909024211298606</v>
      </c>
    </row>
    <row r="82" spans="1:20" s="44" customFormat="1" ht="13.5" thickBot="1" x14ac:dyDescent="0.3">
      <c r="A82" s="202">
        <v>49</v>
      </c>
      <c r="B82" s="208" t="str">
        <f>CONCATENATE("Ratio Electricité - ",'0_ENTREE'!B81)</f>
        <v>Ratio Electricité - MOYENNE SO</v>
      </c>
      <c r="C82" s="480">
        <f>AVERAGE(C76:C81)</f>
        <v>33.650000000000013</v>
      </c>
      <c r="D82" s="480">
        <f>AVERAGE(D76:D81)</f>
        <v>36.133333333333326</v>
      </c>
      <c r="E82" s="206"/>
      <c r="F82" s="207"/>
      <c r="G82" s="28"/>
      <c r="H82" s="403"/>
      <c r="I82" s="403">
        <f>AVERAGE(I69:I81)</f>
        <v>2726</v>
      </c>
      <c r="J82" s="408"/>
    </row>
    <row r="83" spans="1:20" s="4" customFormat="1" x14ac:dyDescent="0.25">
      <c r="A83" s="12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</sheetData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C34:C82">
    <cfRule type="cellIs" dxfId="1" priority="1" operator="lessThan">
      <formula>0</formula>
    </cfRule>
  </conditionalFormatting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88" orientation="landscape" r:id="rId2"/>
  <headerFooter>
    <oddFooter>&amp;L&amp;F&amp;CSOLAIR&amp;R&amp;A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T87"/>
  <sheetViews>
    <sheetView topLeftCell="A10" zoomScaleNormal="100" workbookViewId="0">
      <selection activeCell="F33" sqref="F33"/>
    </sheetView>
  </sheetViews>
  <sheetFormatPr baseColWidth="10" defaultRowHeight="12.75" x14ac:dyDescent="0.25"/>
  <cols>
    <col min="1" max="1" width="15.7109375" style="1" customWidth="1"/>
    <col min="2" max="2" width="40.7109375" style="1" customWidth="1"/>
    <col min="3" max="16" width="12.7109375" style="1" customWidth="1"/>
    <col min="17" max="17" width="16.7109375" style="1" customWidth="1"/>
    <col min="18" max="20" width="13.28515625" style="1" customWidth="1"/>
    <col min="21" max="21" width="18.5703125" style="1" customWidth="1"/>
    <col min="22" max="16384" width="11.42578125" style="1"/>
  </cols>
  <sheetData>
    <row r="1" spans="1:18" s="18" customFormat="1" ht="30" customHeight="1" thickBot="1" x14ac:dyDescent="0.3">
      <c r="A1" s="513" t="str">
        <f>CONCATENATE("ENCERTICUS - ",B4," - ",B5," - ",B7)</f>
        <v>ENCERTICUS - TRAITEMENT EAU - 2014 - S23</v>
      </c>
      <c r="B1" s="514"/>
      <c r="C1" s="514"/>
      <c r="D1" s="515"/>
      <c r="E1" s="25"/>
      <c r="F1" s="173" t="s">
        <v>72</v>
      </c>
      <c r="G1" s="107" t="s">
        <v>73</v>
      </c>
      <c r="H1" s="25"/>
      <c r="I1" s="25"/>
    </row>
    <row r="2" spans="1:18" s="18" customFormat="1" ht="13.5" thickBot="1" x14ac:dyDescent="0.3">
      <c r="E2" s="23"/>
      <c r="F2" s="13"/>
      <c r="G2" s="98"/>
      <c r="H2" s="13"/>
      <c r="I2" s="25"/>
    </row>
    <row r="3" spans="1:18" s="18" customFormat="1" ht="25.5" x14ac:dyDescent="0.25">
      <c r="A3" s="293" t="s">
        <v>9</v>
      </c>
      <c r="B3" s="294" t="s">
        <v>10</v>
      </c>
      <c r="C3" s="329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s="18" customFormat="1" x14ac:dyDescent="0.25">
      <c r="A4" s="92" t="s">
        <v>11</v>
      </c>
      <c r="B4" s="93" t="s">
        <v>242</v>
      </c>
      <c r="C4" s="329"/>
      <c r="E4" s="517" t="str">
        <f>'0_ENTREE'!E4:F4</f>
        <v>DJU Annuel Moyen</v>
      </c>
      <c r="F4" s="517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s="18" customFormat="1" x14ac:dyDescent="0.25">
      <c r="A5" s="92" t="s">
        <v>35</v>
      </c>
      <c r="B5" s="97">
        <f>'0_ENTREE'!B5</f>
        <v>2014</v>
      </c>
      <c r="C5" s="329">
        <f>'0_ENTREE'!C5</f>
        <v>6</v>
      </c>
      <c r="E5" s="517" t="str">
        <f>'0_ENTREE'!E5:F5</f>
        <v>DJU Annuel Réel - 2014</v>
      </c>
      <c r="F5" s="517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s="18" customFormat="1" x14ac:dyDescent="0.25">
      <c r="A6" s="92" t="s">
        <v>36</v>
      </c>
      <c r="B6" s="97" t="str">
        <f>'0_ENTREE'!B6</f>
        <v>Juin</v>
      </c>
      <c r="C6" s="329">
        <f>'0_ENTREE'!C6</f>
        <v>8</v>
      </c>
      <c r="E6" s="517" t="str">
        <f>'0_ENTREE'!E6:F6</f>
        <v>DJU Mensuel Moyen - Juin</v>
      </c>
      <c r="F6" s="517"/>
      <c r="G6" s="323">
        <f>'0_ENTREE'!G6</f>
        <v>0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s="18" customFormat="1" x14ac:dyDescent="0.25">
      <c r="A7" s="92" t="s">
        <v>57</v>
      </c>
      <c r="B7" s="97" t="str">
        <f>'0_ENTREE'!B7</f>
        <v>S23</v>
      </c>
      <c r="C7" s="329">
        <f>'0_ENTREE'!C7</f>
        <v>25</v>
      </c>
      <c r="E7" s="517" t="str">
        <f>'0_ENTREE'!E7:F7</f>
        <v>DJU Mensuel Réel - Juin</v>
      </c>
      <c r="F7" s="517"/>
      <c r="G7" s="323">
        <f>'0_ENTREE'!G7</f>
        <v>0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s="18" customFormat="1" ht="13.5" thickBot="1" x14ac:dyDescent="0.3">
      <c r="A8" s="94" t="s">
        <v>31</v>
      </c>
      <c r="B8" s="100" t="str">
        <f>'0_ENTREE'!B8</f>
        <v>Semaine</v>
      </c>
      <c r="C8" s="329">
        <f>'0_ENTREE'!C8</f>
        <v>0</v>
      </c>
      <c r="E8" s="517" t="str">
        <f>'0_ENTREE'!E8:F8</f>
        <v>DJU Hebdo Moyen - Juin</v>
      </c>
      <c r="F8" s="517"/>
      <c r="G8" s="323">
        <f>'0_ENTREE'!G8</f>
        <v>0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A9" s="13"/>
      <c r="B9" s="16"/>
      <c r="C9" s="13"/>
      <c r="D9" s="18"/>
      <c r="E9" s="517" t="str">
        <f>'0_ENTREE'!E9:F9</f>
        <v>DJU Hebdo Réel - S23</v>
      </c>
      <c r="F9" s="517"/>
      <c r="G9" s="323">
        <f>'0_ENTREE'!G9</f>
        <v>0</v>
      </c>
      <c r="H9" s="18"/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  <c r="R9" s="18"/>
    </row>
    <row r="10" spans="1:18" x14ac:dyDescent="0.25">
      <c r="A10" s="13"/>
      <c r="B10" s="16"/>
      <c r="C10" s="13"/>
      <c r="D10" s="18"/>
      <c r="E10" s="18"/>
      <c r="F10" s="18"/>
      <c r="G10" s="18"/>
      <c r="H10" s="18"/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A11" s="13"/>
      <c r="B11" s="16"/>
      <c r="C11" s="13"/>
      <c r="D11" s="18"/>
      <c r="E11" s="18"/>
      <c r="F11" s="18"/>
      <c r="G11" s="18"/>
      <c r="H11" s="18"/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  <c r="R11" s="18"/>
    </row>
    <row r="12" spans="1:18" ht="25.5" x14ac:dyDescent="0.25">
      <c r="A12" s="13"/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G12" s="9"/>
      <c r="H12" s="9"/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A13" s="13"/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G13" s="9"/>
      <c r="H13" s="9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A14" s="13"/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G14" s="9"/>
      <c r="H14" s="9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A15" s="13"/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G15" s="9"/>
      <c r="H15" s="9"/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A16" s="13"/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G16" s="9"/>
      <c r="H16" s="9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5" x14ac:dyDescent="0.25">
      <c r="A17" s="13"/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  <c r="G17" s="9"/>
      <c r="H17" s="9"/>
      <c r="I17" s="9"/>
      <c r="J17" s="9"/>
      <c r="K17" s="9"/>
      <c r="L17" s="9"/>
      <c r="M17" s="10"/>
      <c r="N17" s="8"/>
    </row>
    <row r="18" spans="1:15" x14ac:dyDescent="0.25">
      <c r="A18" s="13"/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  <c r="G18" s="9"/>
      <c r="H18" s="9"/>
      <c r="I18" s="9"/>
      <c r="J18" s="9"/>
      <c r="K18" s="9"/>
      <c r="L18" s="9"/>
      <c r="M18" s="10"/>
      <c r="N18" s="8"/>
    </row>
    <row r="19" spans="1:15" x14ac:dyDescent="0.25">
      <c r="A19" s="13"/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  <c r="G19" s="9"/>
      <c r="H19" s="9"/>
      <c r="I19" s="9"/>
      <c r="J19" s="9"/>
      <c r="K19" s="9"/>
      <c r="L19" s="9"/>
      <c r="M19" s="10"/>
      <c r="N19" s="8"/>
    </row>
    <row r="20" spans="1:15" ht="25.5" x14ac:dyDescent="0.25">
      <c r="A20" s="13"/>
      <c r="B20" s="298" t="s">
        <v>175</v>
      </c>
      <c r="C20" s="298" t="s">
        <v>53</v>
      </c>
      <c r="D20" s="509" t="s">
        <v>56</v>
      </c>
      <c r="E20" s="509"/>
      <c r="F20" s="298" t="s">
        <v>58</v>
      </c>
      <c r="G20" s="9"/>
      <c r="H20" s="9"/>
      <c r="I20" s="9"/>
      <c r="J20" s="9"/>
      <c r="K20" s="9"/>
      <c r="L20" s="9"/>
      <c r="M20" s="10"/>
      <c r="N20" s="8"/>
    </row>
    <row r="21" spans="1:15" x14ac:dyDescent="0.25">
      <c r="A21" s="13"/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296"/>
      <c r="G21" s="9"/>
      <c r="H21" s="9"/>
      <c r="I21" s="9"/>
      <c r="J21" s="9"/>
      <c r="K21" s="9"/>
      <c r="L21" s="9"/>
      <c r="M21" s="10"/>
      <c r="N21" s="8"/>
    </row>
    <row r="22" spans="1:15" x14ac:dyDescent="0.25">
      <c r="A22" s="13"/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296"/>
      <c r="G22" s="9"/>
      <c r="H22" s="9"/>
      <c r="I22" s="9"/>
      <c r="J22" s="9"/>
      <c r="K22" s="9"/>
      <c r="L22" s="9"/>
      <c r="M22" s="10"/>
      <c r="N22" s="8"/>
    </row>
    <row r="23" spans="1:15" x14ac:dyDescent="0.25">
      <c r="A23" s="13"/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296"/>
      <c r="G23" s="9"/>
      <c r="H23" s="9"/>
      <c r="I23" s="9"/>
      <c r="J23" s="9"/>
      <c r="K23" s="9"/>
      <c r="L23" s="9"/>
      <c r="M23" s="10"/>
      <c r="N23" s="8"/>
    </row>
    <row r="24" spans="1:15" x14ac:dyDescent="0.25">
      <c r="A24" s="13"/>
      <c r="B24" s="27"/>
      <c r="C24" s="295"/>
      <c r="D24" s="512"/>
      <c r="E24" s="512"/>
      <c r="F24" s="296"/>
      <c r="G24" s="9"/>
      <c r="H24" s="9"/>
      <c r="I24" s="9"/>
      <c r="J24" s="9"/>
      <c r="K24" s="9"/>
      <c r="L24" s="9"/>
      <c r="M24" s="10"/>
      <c r="N24" s="8"/>
    </row>
    <row r="25" spans="1:15" x14ac:dyDescent="0.25">
      <c r="A25" s="13"/>
      <c r="B25" s="27" t="str">
        <f>'0_ENTREE'!B25</f>
        <v>Facteur travaux</v>
      </c>
      <c r="C25" s="295">
        <f>'0_ENTREE'!C25</f>
        <v>1</v>
      </c>
      <c r="D25" s="512"/>
      <c r="E25" s="512"/>
      <c r="F25" s="296"/>
      <c r="G25" s="9"/>
      <c r="H25" s="9"/>
      <c r="I25" s="9"/>
      <c r="J25" s="9"/>
      <c r="K25" s="9"/>
      <c r="L25" s="9"/>
      <c r="M25" s="10"/>
      <c r="N25" s="8"/>
    </row>
    <row r="26" spans="1:15" x14ac:dyDescent="0.25">
      <c r="A26" s="13"/>
      <c r="B26" s="16"/>
      <c r="C26" s="13"/>
      <c r="D26" s="22"/>
      <c r="G26" s="9"/>
      <c r="H26" s="9"/>
      <c r="I26" s="9"/>
      <c r="J26" s="9"/>
      <c r="K26" s="9"/>
      <c r="L26" s="9"/>
      <c r="M26" s="10"/>
      <c r="N26" s="8"/>
    </row>
    <row r="27" spans="1:15" x14ac:dyDescent="0.25">
      <c r="A27" s="13"/>
      <c r="B27" s="16"/>
      <c r="C27" s="13"/>
      <c r="D27" s="22"/>
      <c r="G27" s="9"/>
      <c r="H27" s="9"/>
      <c r="I27" s="9"/>
      <c r="J27" s="9"/>
      <c r="K27" s="9"/>
      <c r="L27" s="9"/>
      <c r="M27" s="10"/>
      <c r="N27" s="8"/>
    </row>
    <row r="28" spans="1:15" x14ac:dyDescent="0.25">
      <c r="A28" s="13"/>
      <c r="B28" s="307" t="s">
        <v>296</v>
      </c>
      <c r="C28" s="13"/>
      <c r="D28" s="22"/>
      <c r="G28" s="9"/>
      <c r="H28" s="9"/>
      <c r="I28" s="9"/>
      <c r="J28" s="9"/>
      <c r="K28" s="9"/>
      <c r="L28" s="9"/>
      <c r="M28" s="307" t="s">
        <v>287</v>
      </c>
    </row>
    <row r="29" spans="1:15" x14ac:dyDescent="0.25">
      <c r="A29" s="13"/>
      <c r="B29" s="16"/>
      <c r="C29" s="13"/>
      <c r="D29" s="22"/>
      <c r="G29" s="9"/>
      <c r="H29" s="9"/>
      <c r="I29" s="9"/>
      <c r="J29" s="9"/>
      <c r="K29" s="9"/>
      <c r="L29" s="9"/>
      <c r="M29" s="406" t="s">
        <v>297</v>
      </c>
      <c r="N29" s="406" t="s">
        <v>298</v>
      </c>
    </row>
    <row r="30" spans="1:15" x14ac:dyDescent="0.25">
      <c r="A30" s="13"/>
      <c r="B30" s="16"/>
      <c r="C30" s="13"/>
      <c r="D30" s="22"/>
      <c r="G30" s="9"/>
      <c r="H30" s="9"/>
      <c r="I30" s="9"/>
      <c r="J30" s="9"/>
      <c r="K30" s="8"/>
      <c r="M30" s="453" t="s">
        <v>315</v>
      </c>
    </row>
    <row r="31" spans="1:15" s="49" customFormat="1" ht="25.5" x14ac:dyDescent="0.25">
      <c r="A31" s="46"/>
      <c r="B31" s="277" t="s">
        <v>69</v>
      </c>
      <c r="C31" s="278" t="s">
        <v>278</v>
      </c>
      <c r="D31" s="279" t="s">
        <v>163</v>
      </c>
      <c r="E31" s="284" t="s">
        <v>27</v>
      </c>
      <c r="F31" s="285" t="s">
        <v>27</v>
      </c>
      <c r="H31" s="357" t="s">
        <v>147</v>
      </c>
      <c r="I31" s="358" t="s">
        <v>275</v>
      </c>
      <c r="J31" s="432" t="s">
        <v>63</v>
      </c>
      <c r="K31" s="433" t="s">
        <v>63</v>
      </c>
      <c r="M31" s="278" t="s">
        <v>287</v>
      </c>
      <c r="N31" s="279" t="s">
        <v>288</v>
      </c>
      <c r="O31" s="285"/>
    </row>
    <row r="32" spans="1:15" s="2" customFormat="1" ht="25.5" x14ac:dyDescent="0.25">
      <c r="A32" s="203" t="s">
        <v>132</v>
      </c>
      <c r="B32" s="280" t="s">
        <v>64</v>
      </c>
      <c r="C32" s="281" t="str">
        <f>CONCATENATE(C31," - ",B7)</f>
        <v>EAU - S23</v>
      </c>
      <c r="D32" s="282" t="str">
        <f>CONCATENATE(D31," - ",B7)</f>
        <v>Ratio EAU réf - S23</v>
      </c>
      <c r="E32" s="72" t="str">
        <f>'0_ENTREE'!O31</f>
        <v>INDICE EAU
[N-1]</v>
      </c>
      <c r="F32" s="75" t="str">
        <f>'0_ENTREE'!P31</f>
        <v>INDICE EAU
[N]</v>
      </c>
      <c r="H32" s="359" t="str">
        <f>CONCATENATE(H31," - ",B7)</f>
        <v>ECS - S23</v>
      </c>
      <c r="I32" s="360" t="str">
        <f>CONCATENATE(I31," - ",B7)</f>
        <v>Ratio ECS réf - S23</v>
      </c>
      <c r="J32" s="74" t="str">
        <f>'0_ENTREE'!K31</f>
        <v>INDICE [N-1]</v>
      </c>
      <c r="K32" s="75" t="str">
        <f>'0_ENTREE'!L31</f>
        <v>INDICE [N]</v>
      </c>
      <c r="M32" s="281" t="str">
        <f>CONCATENATE(M31)</f>
        <v>ARBRE DE BASE</v>
      </c>
      <c r="N32" s="282" t="str">
        <f>CONCATENATE(N31)</f>
        <v>ARBRE BASE réf</v>
      </c>
      <c r="O32" s="75"/>
    </row>
    <row r="33" spans="1:17" s="3" customFormat="1" ht="26.25" thickBot="1" x14ac:dyDescent="0.3">
      <c r="A33" s="204"/>
      <c r="B33" s="283"/>
      <c r="C33" s="265" t="s">
        <v>279</v>
      </c>
      <c r="D33" s="249" t="s">
        <v>279</v>
      </c>
      <c r="E33" s="76" t="s">
        <v>33</v>
      </c>
      <c r="F33" s="79" t="s">
        <v>33</v>
      </c>
      <c r="H33" s="361" t="s">
        <v>22</v>
      </c>
      <c r="I33" s="362" t="s">
        <v>22</v>
      </c>
      <c r="J33" s="78" t="s">
        <v>33</v>
      </c>
      <c r="K33" s="79" t="s">
        <v>33</v>
      </c>
      <c r="M33" s="265" t="s">
        <v>289</v>
      </c>
      <c r="N33" s="249" t="s">
        <v>289</v>
      </c>
      <c r="O33" s="79" t="s">
        <v>301</v>
      </c>
      <c r="Q33" s="3" t="s">
        <v>314</v>
      </c>
    </row>
    <row r="34" spans="1:17" x14ac:dyDescent="0.25">
      <c r="A34" s="205">
        <v>1</v>
      </c>
      <c r="B34" s="45" t="str">
        <f>CONCATENATE("Ratio Eau - ",'0_ENTREE'!B33)</f>
        <v>Ratio Eau - GC - 274 - T4 - 83m²</v>
      </c>
      <c r="C34" s="210">
        <f>((F34-E34)*1000)</f>
        <v>2400.0000000000055</v>
      </c>
      <c r="D34" s="211">
        <f>'1_REFERENCE'!E103</f>
        <v>1899.9999999999986</v>
      </c>
      <c r="E34" s="80">
        <f>'0_ENTREE'!O33</f>
        <v>38.299999999999997</v>
      </c>
      <c r="F34" s="364">
        <f>'0_ENTREE'!P33</f>
        <v>40.700000000000003</v>
      </c>
      <c r="H34" s="427">
        <f>(K34-J34)*$C$15/'0_ENTREE'!F33</f>
        <v>0.43480589022757732</v>
      </c>
      <c r="I34" s="482">
        <f>'1_REFERENCE'!G103</f>
        <v>0.32610441767068249</v>
      </c>
      <c r="J34" s="132">
        <f>'2_CHAUFFAGE'!G34</f>
        <v>15.5</v>
      </c>
      <c r="K34" s="83">
        <f>'2_CHAUFFAGE'!H34</f>
        <v>16.3</v>
      </c>
      <c r="M34" s="490">
        <v>106.73</v>
      </c>
      <c r="N34" s="491">
        <f>($C$19*52)/1000*'0_ENTREE'!G33</f>
        <v>109.2</v>
      </c>
      <c r="O34" s="487">
        <f>(N34-M34)/N34</f>
        <v>2.2619047619047608E-2</v>
      </c>
    </row>
    <row r="35" spans="1:17" x14ac:dyDescent="0.25">
      <c r="A35" s="205">
        <v>2</v>
      </c>
      <c r="B35" s="37" t="str">
        <f>CONCATENATE("Ratio Eau - ",'0_ENTREE'!B34)</f>
        <v>Ratio Eau - GC - 277 - T2 - 53m²</v>
      </c>
      <c r="C35" s="212">
        <f>((F35-E35)*1000)</f>
        <v>500</v>
      </c>
      <c r="D35" s="212">
        <f>'1_REFERENCE'!E104</f>
        <v>1100.0000000000014</v>
      </c>
      <c r="E35" s="84">
        <f>'0_ENTREE'!O34</f>
        <v>22.6</v>
      </c>
      <c r="F35" s="365">
        <f>'0_ENTREE'!P34</f>
        <v>23.1</v>
      </c>
      <c r="H35" s="483">
        <f>(K35-J35)*$C$15/'0_ENTREE'!F34</f>
        <v>0.17023060796645642</v>
      </c>
      <c r="I35" s="484">
        <f>'1_REFERENCE'!G104</f>
        <v>0.34046121593291429</v>
      </c>
      <c r="J35" s="133">
        <f>'2_CHAUFFAGE'!G35</f>
        <v>9.8000000000000007</v>
      </c>
      <c r="K35" s="87">
        <f>'2_CHAUFFAGE'!H35</f>
        <v>10</v>
      </c>
      <c r="M35" s="492">
        <v>66.47</v>
      </c>
      <c r="N35" s="493">
        <f>($C$19*52)/1000*'0_ENTREE'!G34</f>
        <v>54.6</v>
      </c>
      <c r="O35" s="488">
        <f t="shared" ref="O35:O46" si="0">(N35-M35)/N35</f>
        <v>-0.21739926739926735</v>
      </c>
    </row>
    <row r="36" spans="1:17" x14ac:dyDescent="0.25">
      <c r="A36" s="205">
        <v>3</v>
      </c>
      <c r="B36" s="37" t="str">
        <f>CONCATENATE("Ratio Eau - ",'0_ENTREE'!B35)</f>
        <v>Ratio Eau - GC - 281 - T3 - 71m²</v>
      </c>
      <c r="C36" s="212">
        <f t="shared" ref="C36:C46" si="1">((F36-E36)*1000)</f>
        <v>2000</v>
      </c>
      <c r="D36" s="212">
        <f>'1_REFERENCE'!E105</f>
        <v>2800.0000000000041</v>
      </c>
      <c r="E36" s="84">
        <f>'0_ENTREE'!O35</f>
        <v>46.6</v>
      </c>
      <c r="F36" s="365">
        <f>'0_ENTREE'!P35</f>
        <v>48.6</v>
      </c>
      <c r="H36" s="483">
        <f>(K36-J36)*$C$15/'0_ENTREE'!F35</f>
        <v>0.63536776212832546</v>
      </c>
      <c r="I36" s="484">
        <f>'1_REFERENCE'!G105</f>
        <v>1.0801251956181528</v>
      </c>
      <c r="J36" s="133">
        <f>'2_CHAUFFAGE'!G36</f>
        <v>27.8</v>
      </c>
      <c r="K36" s="87">
        <f>'2_CHAUFFAGE'!H36</f>
        <v>28.8</v>
      </c>
      <c r="M36" s="492">
        <v>31.12</v>
      </c>
      <c r="N36" s="493">
        <f>($C$19*52)/1000*'0_ENTREE'!G35</f>
        <v>109.2</v>
      </c>
      <c r="O36" s="488">
        <f t="shared" si="0"/>
        <v>0.71501831501831503</v>
      </c>
    </row>
    <row r="37" spans="1:17" x14ac:dyDescent="0.25">
      <c r="A37" s="205">
        <v>4</v>
      </c>
      <c r="B37" s="37" t="str">
        <f>CONCATENATE("Ratio Eau - ",'0_ENTREE'!B36)</f>
        <v>Ratio Eau - GC - 283 - T3 - 70m²</v>
      </c>
      <c r="C37" s="212">
        <f t="shared" si="1"/>
        <v>1199.9999999999993</v>
      </c>
      <c r="D37" s="212">
        <f>'1_REFERENCE'!E106</f>
        <v>1000</v>
      </c>
      <c r="E37" s="84">
        <f>'0_ENTREE'!O36</f>
        <v>22.2</v>
      </c>
      <c r="F37" s="365">
        <f>'0_ENTREE'!P36</f>
        <v>23.4</v>
      </c>
      <c r="H37" s="483">
        <f>(K37-J37)*$C$15/'0_ENTREE'!F36</f>
        <v>0.128888888888889</v>
      </c>
      <c r="I37" s="484">
        <f>'1_REFERENCE'!G106</f>
        <v>0.19333333333333322</v>
      </c>
      <c r="J37" s="133">
        <f>'2_CHAUFFAGE'!G37</f>
        <v>7.7</v>
      </c>
      <c r="K37" s="87">
        <f>'2_CHAUFFAGE'!H37</f>
        <v>7.9</v>
      </c>
      <c r="M37" s="492">
        <v>49.85</v>
      </c>
      <c r="N37" s="493">
        <f>($C$19*52)/1000*'0_ENTREE'!G36</f>
        <v>109.2</v>
      </c>
      <c r="O37" s="488">
        <f t="shared" si="0"/>
        <v>0.54349816849816845</v>
      </c>
    </row>
    <row r="38" spans="1:17" x14ac:dyDescent="0.25">
      <c r="A38" s="205">
        <v>5</v>
      </c>
      <c r="B38" s="37" t="str">
        <f>CONCATENATE("Ratio Eau - ",'0_ENTREE'!B37)</f>
        <v>Ratio Eau - GC - 285 - T3 - 64m²</v>
      </c>
      <c r="C38" s="212">
        <f t="shared" si="1"/>
        <v>1600.0000000000014</v>
      </c>
      <c r="D38" s="212">
        <f>'1_REFERENCE'!E107</f>
        <v>1299.9999999999973</v>
      </c>
      <c r="E38" s="84">
        <f>'0_ENTREE'!O37</f>
        <v>23.9</v>
      </c>
      <c r="F38" s="365">
        <f>'0_ENTREE'!P37</f>
        <v>25.5</v>
      </c>
      <c r="H38" s="483">
        <f>(K38-J38)*$C$15/'0_ENTREE'!F37</f>
        <v>-0.35243055555555552</v>
      </c>
      <c r="I38" s="484">
        <f>'1_REFERENCE'!G107</f>
        <v>-0.21145833336615596</v>
      </c>
      <c r="J38" s="133">
        <f>'2_CHAUFFAGE'!G38</f>
        <v>999993.5</v>
      </c>
      <c r="K38" s="87">
        <f>'2_CHAUFFAGE'!H38</f>
        <v>999993</v>
      </c>
      <c r="M38" s="492">
        <v>84.43</v>
      </c>
      <c r="N38" s="493">
        <f>($C$19*52)/1000*'0_ENTREE'!G37</f>
        <v>163.80000000000001</v>
      </c>
      <c r="O38" s="488">
        <f t="shared" si="0"/>
        <v>0.48455433455433455</v>
      </c>
    </row>
    <row r="39" spans="1:17" x14ac:dyDescent="0.25">
      <c r="A39" s="205">
        <v>6</v>
      </c>
      <c r="B39" s="37" t="str">
        <f>CONCATENATE("Ratio Eau - ",'0_ENTREE'!B38)</f>
        <v>Ratio Eau - GC - 286 - T3 - 68m²</v>
      </c>
      <c r="C39" s="212">
        <f t="shared" si="1"/>
        <v>3500</v>
      </c>
      <c r="D39" s="212">
        <f>'1_REFERENCE'!E108</f>
        <v>3100.0000000000014</v>
      </c>
      <c r="E39" s="84">
        <f>'0_ENTREE'!O38</f>
        <v>67</v>
      </c>
      <c r="F39" s="365">
        <f>'0_ENTREE'!P38</f>
        <v>70.5</v>
      </c>
      <c r="H39" s="483">
        <f>(K39-J39)*$C$15/'0_ENTREE'!F38</f>
        <v>0.92875816993464178</v>
      </c>
      <c r="I39" s="484">
        <f>'1_REFERENCE'!G108</f>
        <v>0.86241830065359526</v>
      </c>
      <c r="J39" s="133">
        <f>'2_CHAUFFAGE'!G39</f>
        <v>28.2</v>
      </c>
      <c r="K39" s="87">
        <f>'2_CHAUFFAGE'!H39</f>
        <v>29.6</v>
      </c>
      <c r="M39" s="492">
        <v>76.459999999999994</v>
      </c>
      <c r="N39" s="493">
        <f>($C$19*52)/1000*'0_ENTREE'!G38</f>
        <v>163.80000000000001</v>
      </c>
      <c r="O39" s="488">
        <f t="shared" si="0"/>
        <v>0.53321123321123332</v>
      </c>
    </row>
    <row r="40" spans="1:17" x14ac:dyDescent="0.25">
      <c r="A40" s="205">
        <v>7</v>
      </c>
      <c r="B40" s="37" t="str">
        <f>CONCATENATE("Ratio Eau - ",'0_ENTREE'!B39)</f>
        <v>Ratio Eau - GC - 289 - T3 - 76m²</v>
      </c>
      <c r="C40" s="212">
        <f t="shared" si="1"/>
        <v>500</v>
      </c>
      <c r="D40" s="212">
        <f>'1_REFERENCE'!E109</f>
        <v>500</v>
      </c>
      <c r="E40" s="84">
        <f>'0_ENTREE'!O39</f>
        <v>12.8</v>
      </c>
      <c r="F40" s="365">
        <f>'0_ENTREE'!P39</f>
        <v>13.3</v>
      </c>
      <c r="H40" s="483">
        <f>(K40-J40)*$C$15/'0_ENTREE'!F39</f>
        <v>5.9356725146199142E-2</v>
      </c>
      <c r="I40" s="484">
        <f>'1_REFERENCE'!G109</f>
        <v>0.11871345029239724</v>
      </c>
      <c r="J40" s="133">
        <f>'2_CHAUFFAGE'!G40</f>
        <v>5.0999999999999996</v>
      </c>
      <c r="K40" s="87">
        <f>'2_CHAUFFAGE'!H40</f>
        <v>5.2</v>
      </c>
      <c r="M40" s="492">
        <v>44.22</v>
      </c>
      <c r="N40" s="493">
        <f>($C$19*52)/1000*'0_ENTREE'!G39</f>
        <v>54.6</v>
      </c>
      <c r="O40" s="488">
        <f t="shared" si="0"/>
        <v>0.19010989010989016</v>
      </c>
    </row>
    <row r="41" spans="1:17" x14ac:dyDescent="0.25">
      <c r="A41" s="205">
        <v>8</v>
      </c>
      <c r="B41" s="37" t="str">
        <f>CONCATENATE("Ratio Eau - ",'0_ENTREE'!B40)</f>
        <v>Ratio Eau - GC - 303 - T4 - 81m²</v>
      </c>
      <c r="C41" s="212">
        <f t="shared" si="1"/>
        <v>2100.0000000000014</v>
      </c>
      <c r="D41" s="212">
        <f>'1_REFERENCE'!E110</f>
        <v>2799.9999999999973</v>
      </c>
      <c r="E41" s="84">
        <f>'0_ENTREE'!O40</f>
        <v>39.799999999999997</v>
      </c>
      <c r="F41" s="365">
        <f>'0_ENTREE'!P40</f>
        <v>41.9</v>
      </c>
      <c r="H41" s="483">
        <f>(K41-J41)*$C$15/'0_ENTREE'!F40</f>
        <v>0.22277091906721555</v>
      </c>
      <c r="I41" s="484">
        <f>'1_REFERENCE'!G110</f>
        <v>0.33415637860082281</v>
      </c>
      <c r="J41" s="133">
        <f>'2_CHAUFFAGE'!G41</f>
        <v>11.1</v>
      </c>
      <c r="K41" s="87">
        <f>'2_CHAUFFAGE'!H41</f>
        <v>11.5</v>
      </c>
      <c r="M41" s="492">
        <v>102.72</v>
      </c>
      <c r="N41" s="493">
        <f>($C$19*52)/1000*'0_ENTREE'!G40</f>
        <v>54.6</v>
      </c>
      <c r="O41" s="488">
        <f t="shared" si="0"/>
        <v>-0.8813186813186813</v>
      </c>
    </row>
    <row r="42" spans="1:17" x14ac:dyDescent="0.25">
      <c r="A42" s="205">
        <v>9</v>
      </c>
      <c r="B42" s="37" t="str">
        <f>CONCATENATE("Ratio Eau - ",'0_ENTREE'!B41)</f>
        <v>Ratio Eau - GC - 304 - T3 - 66m²</v>
      </c>
      <c r="C42" s="212">
        <f t="shared" si="1"/>
        <v>1799.9999999999973</v>
      </c>
      <c r="D42" s="212">
        <f>'1_REFERENCE'!E111</f>
        <v>1899.9999999999986</v>
      </c>
      <c r="E42" s="84">
        <f>'0_ENTREE'!O41</f>
        <v>65.3</v>
      </c>
      <c r="F42" s="365">
        <f>'0_ENTREE'!P41</f>
        <v>67.099999999999994</v>
      </c>
      <c r="H42" s="483">
        <f>(K42-J42)*$C$15/'0_ENTREE'!F41</f>
        <v>0.47845117845118035</v>
      </c>
      <c r="I42" s="484">
        <f>'1_REFERENCE'!G111</f>
        <v>0.61515151515151412</v>
      </c>
      <c r="J42" s="133">
        <f>'2_CHAUFFAGE'!G42</f>
        <v>34.9</v>
      </c>
      <c r="K42" s="87">
        <f>'2_CHAUFFAGE'!H42</f>
        <v>35.6</v>
      </c>
      <c r="M42" s="492">
        <v>143.33000000000001</v>
      </c>
      <c r="N42" s="493">
        <f>($C$19*52)/1000*'0_ENTREE'!G41</f>
        <v>54.6</v>
      </c>
      <c r="O42" s="488">
        <f t="shared" si="0"/>
        <v>-1.6250915750915753</v>
      </c>
    </row>
    <row r="43" spans="1:17" x14ac:dyDescent="0.25">
      <c r="A43" s="205">
        <v>10</v>
      </c>
      <c r="B43" s="505" t="str">
        <f>CONCATENATE("Ratio Eau - ",'0_ENTREE'!B42)</f>
        <v>Ratio Eau - GC - 306 - T3 - 66m²</v>
      </c>
      <c r="C43" s="212">
        <f t="shared" si="1"/>
        <v>1600.0000000000014</v>
      </c>
      <c r="D43" s="212">
        <f>'1_REFERENCE'!E112</f>
        <v>1100.0000000000014</v>
      </c>
      <c r="E43" s="84">
        <f>'0_ENTREE'!O42</f>
        <v>21.5</v>
      </c>
      <c r="F43" s="365">
        <f>'0_ENTREE'!P42</f>
        <v>23.1</v>
      </c>
      <c r="H43" s="483">
        <f>(K43-J43)*$C$15/'0_ENTREE'!F42</f>
        <v>0.20505050505050551</v>
      </c>
      <c r="I43" s="484">
        <f>'1_REFERENCE'!G112</f>
        <v>0.27340067340067359</v>
      </c>
      <c r="J43" s="133">
        <f>'2_CHAUFFAGE'!G43</f>
        <v>9</v>
      </c>
      <c r="K43" s="87">
        <f>'2_CHAUFFAGE'!H43</f>
        <v>9.3000000000000007</v>
      </c>
      <c r="M43" s="492">
        <v>48.61</v>
      </c>
      <c r="N43" s="493">
        <f>($C$19*52)/1000*'0_ENTREE'!G42</f>
        <v>109.2</v>
      </c>
      <c r="O43" s="488">
        <f t="shared" si="0"/>
        <v>0.55485347985347988</v>
      </c>
    </row>
    <row r="44" spans="1:17" x14ac:dyDescent="0.25">
      <c r="A44" s="205">
        <v>11</v>
      </c>
      <c r="B44" s="37" t="str">
        <f>CONCATENATE("Ratio Eau - ",'0_ENTREE'!B43)</f>
        <v>Ratio Eau - GC - 307 - T3 - 66m²</v>
      </c>
      <c r="C44" s="212">
        <f t="shared" si="1"/>
        <v>3400.0000000000055</v>
      </c>
      <c r="D44" s="212">
        <f>'1_REFERENCE'!E113</f>
        <v>3099.9999999999945</v>
      </c>
      <c r="E44" s="84">
        <f>'0_ENTREE'!O43</f>
        <v>74</v>
      </c>
      <c r="F44" s="365">
        <f>'0_ENTREE'!P43</f>
        <v>77.400000000000006</v>
      </c>
      <c r="H44" s="483">
        <f>(K44-J44)*$C$15/'0_ENTREE'!F43</f>
        <v>0</v>
      </c>
      <c r="I44" s="484">
        <f>'1_REFERENCE'!G113</f>
        <v>0</v>
      </c>
      <c r="J44" s="133">
        <f>'2_CHAUFFAGE'!G44</f>
        <v>0</v>
      </c>
      <c r="K44" s="87">
        <f>'2_CHAUFFAGE'!H44</f>
        <v>0</v>
      </c>
      <c r="M44" s="492">
        <v>128.09</v>
      </c>
      <c r="N44" s="493">
        <f>($C$19*52)/1000*'0_ENTREE'!G43</f>
        <v>163.80000000000001</v>
      </c>
      <c r="O44" s="488">
        <f t="shared" si="0"/>
        <v>0.21800976800976804</v>
      </c>
    </row>
    <row r="45" spans="1:17" x14ac:dyDescent="0.25">
      <c r="A45" s="205">
        <v>12</v>
      </c>
      <c r="B45" s="37" t="str">
        <f>CONCATENATE("Ratio Eau - ",'0_ENTREE'!B44)</f>
        <v>Ratio Eau - GC - 308 - T3 - 66m²</v>
      </c>
      <c r="C45" s="212">
        <f t="shared" si="1"/>
        <v>1500</v>
      </c>
      <c r="D45" s="212">
        <f>'1_REFERENCE'!E114</f>
        <v>2699.9999999999991</v>
      </c>
      <c r="E45" s="84">
        <f>'0_ENTREE'!O44</f>
        <v>34.5</v>
      </c>
      <c r="F45" s="365">
        <f>'0_ENTREE'!P44</f>
        <v>36</v>
      </c>
      <c r="H45" s="483">
        <f>(K45-J45)*$C$15/'0_ENTREE'!F44</f>
        <v>0.34175084175084169</v>
      </c>
      <c r="I45" s="484">
        <f>'1_REFERENCE'!G114</f>
        <v>0.68350168350168339</v>
      </c>
      <c r="J45" s="133">
        <f>'2_CHAUFFAGE'!G45</f>
        <v>12.7</v>
      </c>
      <c r="K45" s="87">
        <f>'2_CHAUFFAGE'!H45</f>
        <v>13.2</v>
      </c>
      <c r="M45" s="492">
        <v>110.62</v>
      </c>
      <c r="N45" s="493">
        <f>($C$19*52)/1000*'0_ENTREE'!G44</f>
        <v>109.2</v>
      </c>
      <c r="O45" s="488">
        <f t="shared" si="0"/>
        <v>-1.3003663003663018E-2</v>
      </c>
    </row>
    <row r="46" spans="1:17" x14ac:dyDescent="0.25">
      <c r="A46" s="205">
        <v>13</v>
      </c>
      <c r="B46" s="37" t="str">
        <f>CONCATENATE("Ratio Eau - ",'0_ENTREE'!B45)</f>
        <v>Ratio Eau - GC - 314 - T4 - 75m²</v>
      </c>
      <c r="C46" s="212">
        <f t="shared" si="1"/>
        <v>4400.0000000000055</v>
      </c>
      <c r="D46" s="212">
        <f>'1_REFERENCE'!E115</f>
        <v>4899.9999999999918</v>
      </c>
      <c r="E46" s="84">
        <f>'0_ENTREE'!O45</f>
        <v>82.3</v>
      </c>
      <c r="F46" s="365">
        <f>'0_ENTREE'!P45</f>
        <v>86.7</v>
      </c>
      <c r="H46" s="483">
        <f>(K46-J46)*$C$15/'0_ENTREE'!F45</f>
        <v>1.3232592592592609</v>
      </c>
      <c r="I46" s="484">
        <f>'1_REFERENCE'!G115</f>
        <v>1.5638518518518527</v>
      </c>
      <c r="J46" s="133">
        <f>'2_CHAUFFAGE'!G46</f>
        <v>40.4</v>
      </c>
      <c r="K46" s="87">
        <f>'2_CHAUFFAGE'!H46</f>
        <v>42.6</v>
      </c>
      <c r="M46" s="492">
        <v>186.2</v>
      </c>
      <c r="N46" s="493">
        <f>($C$19*52)/1000*'0_ENTREE'!G45</f>
        <v>273</v>
      </c>
      <c r="O46" s="488">
        <f t="shared" si="0"/>
        <v>0.31794871794871798</v>
      </c>
    </row>
    <row r="47" spans="1:17" s="44" customFormat="1" ht="13.5" thickBot="1" x14ac:dyDescent="0.3">
      <c r="A47" s="205">
        <v>14</v>
      </c>
      <c r="B47" s="287" t="str">
        <f>CONCATENATE("Ratio Eau - ",'0_ENTREE'!B46)</f>
        <v>Ratio Eau - MOYENNE GC</v>
      </c>
      <c r="C47" s="286">
        <f>AVERAGE(C34:C46)</f>
        <v>2038.4615384615395</v>
      </c>
      <c r="D47" s="286">
        <f t="shared" ref="D47" si="2">AVERAGE(D34:D46)</f>
        <v>2169.2307692307681</v>
      </c>
      <c r="E47" s="196"/>
      <c r="F47" s="366"/>
      <c r="H47" s="485">
        <f>AVERAGE(H34:H46)</f>
        <v>0.35202001479350287</v>
      </c>
      <c r="I47" s="486">
        <f t="shared" ref="I47" si="3">AVERAGE(I34:I46)</f>
        <v>0.47536612943395889</v>
      </c>
      <c r="J47" s="209"/>
      <c r="K47" s="199"/>
      <c r="M47" s="494"/>
      <c r="N47" s="495"/>
      <c r="O47" s="489"/>
    </row>
    <row r="48" spans="1:17" x14ac:dyDescent="0.25">
      <c r="A48" s="205">
        <v>15</v>
      </c>
      <c r="B48" s="45" t="str">
        <f>CONCATENATE("Ratio Eau - ",'0_ENTREE'!B47)</f>
        <v>Ratio Eau - GE2.1 - 275 - T3 - 74m²</v>
      </c>
      <c r="C48" s="213">
        <f t="shared" ref="C48:C60" si="4">((F48-E48)*1000)</f>
        <v>2300.0000000000041</v>
      </c>
      <c r="D48" s="211">
        <f>'1_REFERENCE'!E117</f>
        <v>2699.9999999999959</v>
      </c>
      <c r="E48" s="80">
        <f>'0_ENTREE'!O47</f>
        <v>34.9</v>
      </c>
      <c r="F48" s="364">
        <f>'0_ENTREE'!P47</f>
        <v>37.200000000000003</v>
      </c>
      <c r="H48" s="427">
        <f>(K48-J48)*$C$15/'0_ENTREE'!F47</f>
        <v>0.60960960960960953</v>
      </c>
      <c r="I48" s="482">
        <f>'1_REFERENCE'!G117</f>
        <v>0.91441441441441429</v>
      </c>
      <c r="J48" s="132">
        <f>'2_CHAUFFAGE'!G48</f>
        <v>18.5</v>
      </c>
      <c r="K48" s="83">
        <f>'2_CHAUFFAGE'!H48</f>
        <v>19.5</v>
      </c>
      <c r="M48" s="496">
        <v>71.650000000000006</v>
      </c>
      <c r="N48" s="491">
        <f>($C$19*52)/1000*'0_ENTREE'!G47</f>
        <v>109.2</v>
      </c>
      <c r="O48" s="487">
        <f t="shared" ref="O48:O60" si="5">(N48-M48)/N48</f>
        <v>0.34386446886446881</v>
      </c>
    </row>
    <row r="49" spans="1:19" x14ac:dyDescent="0.25">
      <c r="A49" s="205">
        <v>16</v>
      </c>
      <c r="B49" s="37" t="str">
        <f>CONCATENATE("Ratio Eau - ",'0_ENTREE'!B48)</f>
        <v>Ratio Eau - GE2.1 - 278 - T2 - 57m²</v>
      </c>
      <c r="C49" s="212">
        <f t="shared" si="4"/>
        <v>400.00000000000034</v>
      </c>
      <c r="D49" s="212">
        <f>'1_REFERENCE'!E118</f>
        <v>300.00000000000068</v>
      </c>
      <c r="E49" s="84">
        <f>'0_ENTREE'!O48</f>
        <v>9.5</v>
      </c>
      <c r="F49" s="365">
        <f>'0_ENTREE'!P48</f>
        <v>9.9</v>
      </c>
      <c r="H49" s="483">
        <f>(K49-J49)*$C$15/'0_ENTREE'!F48</f>
        <v>7.9142300194931833E-2</v>
      </c>
      <c r="I49" s="484">
        <f>'1_REFERENCE'!G118</f>
        <v>7.9142300194931833E-2</v>
      </c>
      <c r="J49" s="133">
        <f>'2_CHAUFFAGE'!G49</f>
        <v>2.6</v>
      </c>
      <c r="K49" s="87">
        <f>'2_CHAUFFAGE'!H49</f>
        <v>2.7</v>
      </c>
      <c r="M49" s="492">
        <v>20.49</v>
      </c>
      <c r="N49" s="493">
        <f>($C$19*52)/1000*'0_ENTREE'!G48</f>
        <v>54.6</v>
      </c>
      <c r="O49" s="488">
        <f t="shared" si="5"/>
        <v>0.62472527472527473</v>
      </c>
    </row>
    <row r="50" spans="1:19" x14ac:dyDescent="0.25">
      <c r="A50" s="205">
        <v>17</v>
      </c>
      <c r="B50" s="37" t="str">
        <f>CONCATENATE("Ratio Eau - ",'0_ENTREE'!B49)</f>
        <v>Ratio Eau - GE2.1 - 280 - T3 - 66m²</v>
      </c>
      <c r="C50" s="212">
        <f t="shared" si="4"/>
        <v>300.00000000000006</v>
      </c>
      <c r="D50" s="212">
        <f>'1_REFERENCE'!E119</f>
        <v>0</v>
      </c>
      <c r="E50" s="84">
        <f>'0_ENTREE'!O49</f>
        <v>1.3</v>
      </c>
      <c r="F50" s="365">
        <f>'0_ENTREE'!P49</f>
        <v>1.6</v>
      </c>
      <c r="H50" s="483">
        <f>(K50-J50)*$C$15/'0_ENTREE'!F49</f>
        <v>6.8350168350168369E-2</v>
      </c>
      <c r="I50" s="484">
        <f>'1_REFERENCE'!G119</f>
        <v>0</v>
      </c>
      <c r="J50" s="133">
        <f>'2_CHAUFFAGE'!G50</f>
        <v>0.3</v>
      </c>
      <c r="K50" s="87">
        <f>'2_CHAUFFAGE'!H50</f>
        <v>0.4</v>
      </c>
      <c r="M50" s="492">
        <v>58.2</v>
      </c>
      <c r="N50" s="493">
        <f>($C$19*52)/1000*'0_ENTREE'!G49</f>
        <v>163.80000000000001</v>
      </c>
      <c r="O50" s="488">
        <f t="shared" si="5"/>
        <v>0.64468864468864473</v>
      </c>
    </row>
    <row r="51" spans="1:19" x14ac:dyDescent="0.25">
      <c r="A51" s="205">
        <v>18</v>
      </c>
      <c r="B51" s="37" t="str">
        <f>CONCATENATE("Ratio Eau - ",'0_ENTREE'!B50)</f>
        <v>Ratio Eau - GE2.1 - 282 - T4 - 78m²</v>
      </c>
      <c r="C51" s="212">
        <f t="shared" si="4"/>
        <v>699.99999999999932</v>
      </c>
      <c r="D51" s="212">
        <f>'1_REFERENCE'!E120</f>
        <v>599.99999999999966</v>
      </c>
      <c r="E51" s="84">
        <f>'0_ENTREE'!O50</f>
        <v>14.5</v>
      </c>
      <c r="F51" s="365">
        <f>'0_ENTREE'!P50</f>
        <v>15.2</v>
      </c>
      <c r="H51" s="483">
        <f>(K51-J51)*$C$15/'0_ENTREE'!F50</f>
        <v>0.17350427350427339</v>
      </c>
      <c r="I51" s="484">
        <f>'1_REFERENCE'!G120</f>
        <v>0.17350427350427389</v>
      </c>
      <c r="J51" s="133">
        <f>'2_CHAUFFAGE'!G51</f>
        <v>6.4</v>
      </c>
      <c r="K51" s="87">
        <f>'2_CHAUFFAGE'!H51</f>
        <v>6.7</v>
      </c>
      <c r="M51" s="492">
        <v>47.54</v>
      </c>
      <c r="N51" s="493">
        <f>($C$19*52)/1000*'0_ENTREE'!G50</f>
        <v>163.80000000000001</v>
      </c>
      <c r="O51" s="488">
        <f t="shared" si="5"/>
        <v>0.7097680097680098</v>
      </c>
    </row>
    <row r="52" spans="1:19" x14ac:dyDescent="0.25">
      <c r="A52" s="205">
        <v>19</v>
      </c>
      <c r="B52" s="37" t="str">
        <f>CONCATENATE("Ratio Eau - ",'0_ENTREE'!B51)</f>
        <v>Ratio Eau - GE2.1 - 292 - T3 - 63m²</v>
      </c>
      <c r="C52" s="212">
        <f t="shared" si="4"/>
        <v>1000</v>
      </c>
      <c r="D52" s="212">
        <f>'1_REFERENCE'!E121</f>
        <v>899.99999999999864</v>
      </c>
      <c r="E52" s="84">
        <f>'0_ENTREE'!O51</f>
        <v>18.5</v>
      </c>
      <c r="F52" s="365">
        <f>'0_ENTREE'!P51</f>
        <v>19.5</v>
      </c>
      <c r="H52" s="483">
        <f>(K52-J52)*$C$15/'0_ENTREE'!F51</f>
        <v>0.28641975308641998</v>
      </c>
      <c r="I52" s="484">
        <f>'1_REFERENCE'!G121</f>
        <v>0.28641975308641998</v>
      </c>
      <c r="J52" s="133">
        <f>'2_CHAUFFAGE'!G52</f>
        <v>9.1</v>
      </c>
      <c r="K52" s="87">
        <f>'2_CHAUFFAGE'!H52</f>
        <v>9.5</v>
      </c>
      <c r="M52" s="492">
        <v>55.44</v>
      </c>
      <c r="N52" s="493">
        <f>($C$19*52)/1000*'0_ENTREE'!G51</f>
        <v>54.6</v>
      </c>
      <c r="O52" s="488">
        <f t="shared" si="5"/>
        <v>-1.5384615384615316E-2</v>
      </c>
    </row>
    <row r="53" spans="1:19" x14ac:dyDescent="0.25">
      <c r="A53" s="205">
        <v>20</v>
      </c>
      <c r="B53" s="37" t="str">
        <f>CONCATENATE("Ratio Eau - ",'0_ENTREE'!B52)</f>
        <v>Ratio Eau - GE2.1 - 293 - T3 - 63m²</v>
      </c>
      <c r="C53" s="212">
        <f t="shared" si="4"/>
        <v>2699.9999999999959</v>
      </c>
      <c r="D53" s="212">
        <f>'1_REFERENCE'!E122</f>
        <v>3100.0000000000014</v>
      </c>
      <c r="E53" s="84">
        <f>'0_ENTREE'!O52</f>
        <v>40.6</v>
      </c>
      <c r="F53" s="365">
        <f>'0_ENTREE'!P52</f>
        <v>43.3</v>
      </c>
      <c r="H53" s="483">
        <f>(K53-J53)*$C$15/'0_ENTREE'!F52</f>
        <v>0.57283950617283996</v>
      </c>
      <c r="I53" s="484">
        <f>'1_REFERENCE'!G122</f>
        <v>0.93086419753086469</v>
      </c>
      <c r="J53" s="133">
        <f>'2_CHAUFFAGE'!G53</f>
        <v>18.2</v>
      </c>
      <c r="K53" s="87">
        <f>'2_CHAUFFAGE'!H53</f>
        <v>19</v>
      </c>
      <c r="M53" s="492">
        <v>84.36</v>
      </c>
      <c r="N53" s="493">
        <f>($C$19*52)/1000*'0_ENTREE'!G52</f>
        <v>109.2</v>
      </c>
      <c r="O53" s="488">
        <f t="shared" si="5"/>
        <v>0.2274725274725275</v>
      </c>
    </row>
    <row r="54" spans="1:19" x14ac:dyDescent="0.25">
      <c r="A54" s="205">
        <v>21</v>
      </c>
      <c r="B54" s="37" t="str">
        <f>CONCATENATE("Ratio Eau - ",'0_ENTREE'!B53)</f>
        <v>Ratio Eau - GE2.1 - 295 - T3 - 63m²</v>
      </c>
      <c r="C54" s="212">
        <f t="shared" si="4"/>
        <v>4100.0000000000082</v>
      </c>
      <c r="D54" s="212">
        <f>'1_REFERENCE'!E123</f>
        <v>3700.0000000000027</v>
      </c>
      <c r="E54" s="84">
        <f>'0_ENTREE'!O53</f>
        <v>78.8</v>
      </c>
      <c r="F54" s="365">
        <f>'0_ENTREE'!P53</f>
        <v>82.9</v>
      </c>
      <c r="H54" s="483">
        <f>(K54-J54)*$C$15/'0_ENTREE'!F53</f>
        <v>1.1456790123456799</v>
      </c>
      <c r="I54" s="484">
        <f>'1_REFERENCE'!G123</f>
        <v>1.145679012345675</v>
      </c>
      <c r="J54" s="133">
        <f>'2_CHAUFFAGE'!G54</f>
        <v>38.299999999999997</v>
      </c>
      <c r="K54" s="87">
        <f>'2_CHAUFFAGE'!H54</f>
        <v>39.9</v>
      </c>
      <c r="M54" s="492">
        <v>158.44</v>
      </c>
      <c r="N54" s="493">
        <f>($C$19*52)/1000*'0_ENTREE'!G53</f>
        <v>109.2</v>
      </c>
      <c r="O54" s="488">
        <f t="shared" si="5"/>
        <v>-0.45091575091575087</v>
      </c>
    </row>
    <row r="55" spans="1:19" x14ac:dyDescent="0.25">
      <c r="A55" s="205">
        <v>22</v>
      </c>
      <c r="B55" s="37" t="str">
        <f>CONCATENATE("Ratio Eau - ",'0_ENTREE'!B54)</f>
        <v>Ratio Eau - GE2.1 - 296 - T4 - 78m²</v>
      </c>
      <c r="C55" s="212">
        <f t="shared" si="4"/>
        <v>1000</v>
      </c>
      <c r="D55" s="212">
        <f>'1_REFERENCE'!E124</f>
        <v>1199.9999999999957</v>
      </c>
      <c r="E55" s="84">
        <f>'0_ENTREE'!O54</f>
        <v>35.299999999999997</v>
      </c>
      <c r="F55" s="365">
        <f>'0_ENTREE'!P54</f>
        <v>36.299999999999997</v>
      </c>
      <c r="H55" s="483">
        <f>(K55-J55)*$C$15/'0_ENTREE'!F54</f>
        <v>0.28917378917378916</v>
      </c>
      <c r="I55" s="484">
        <f>'1_REFERENCE'!G124</f>
        <v>0.34700854700854677</v>
      </c>
      <c r="J55" s="133">
        <f>'2_CHAUFFAGE'!G55</f>
        <v>10.7</v>
      </c>
      <c r="K55" s="87">
        <f>'2_CHAUFFAGE'!H55</f>
        <v>11.2</v>
      </c>
      <c r="M55" s="492">
        <v>82.05</v>
      </c>
      <c r="N55" s="493">
        <f>($C$19*52)/1000*'0_ENTREE'!G54</f>
        <v>218.4</v>
      </c>
      <c r="O55" s="488">
        <f t="shared" si="5"/>
        <v>0.62431318681318693</v>
      </c>
    </row>
    <row r="56" spans="1:19" x14ac:dyDescent="0.25">
      <c r="A56" s="205">
        <v>23</v>
      </c>
      <c r="B56" s="37" t="str">
        <f>CONCATENATE("Ratio Eau - ",'0_ENTREE'!B55)</f>
        <v>Ratio Eau - GE2.1 - 297 - T4 - 79m²</v>
      </c>
      <c r="C56" s="212">
        <f t="shared" si="4"/>
        <v>4599.9999999999945</v>
      </c>
      <c r="D56" s="212">
        <f>'1_REFERENCE'!E125</f>
        <v>5000</v>
      </c>
      <c r="E56" s="84">
        <f>'0_ENTREE'!O55</f>
        <v>110.5</v>
      </c>
      <c r="F56" s="365">
        <f>'0_ENTREE'!P55</f>
        <v>115.1</v>
      </c>
      <c r="H56" s="483">
        <f>(K56-J56)*$C$15/'0_ENTREE'!F55</f>
        <v>0.91364275668073203</v>
      </c>
      <c r="I56" s="484">
        <f>'1_REFERENCE'!G125</f>
        <v>1.256258790436003</v>
      </c>
      <c r="J56" s="133">
        <f>'2_CHAUFFAGE'!G56</f>
        <v>53.3</v>
      </c>
      <c r="K56" s="87">
        <f>'2_CHAUFFAGE'!H56</f>
        <v>54.9</v>
      </c>
      <c r="M56" s="492">
        <v>201.16</v>
      </c>
      <c r="N56" s="493">
        <f>($C$19*52)/1000*'0_ENTREE'!G55</f>
        <v>54.6</v>
      </c>
      <c r="O56" s="488">
        <f t="shared" si="5"/>
        <v>-2.684249084249084</v>
      </c>
    </row>
    <row r="57" spans="1:19" x14ac:dyDescent="0.25">
      <c r="A57" s="205">
        <v>24</v>
      </c>
      <c r="B57" s="37" t="str">
        <f>CONCATENATE("Ratio Eau - ",'0_ENTREE'!B56)</f>
        <v>Ratio Eau - GE2.1 - 299 - T4 - 79m²</v>
      </c>
      <c r="C57" s="212">
        <f t="shared" si="4"/>
        <v>800.00000000000068</v>
      </c>
      <c r="D57" s="212">
        <f>'1_REFERENCE'!E126</f>
        <v>0</v>
      </c>
      <c r="E57" s="84">
        <f>'0_ENTREE'!O56</f>
        <v>28.5</v>
      </c>
      <c r="F57" s="365">
        <f>'0_ENTREE'!P56</f>
        <v>29.3</v>
      </c>
      <c r="H57" s="483">
        <f>(K57-J57)*$C$15/'0_ENTREE'!F56</f>
        <v>0.11420534458509203</v>
      </c>
      <c r="I57" s="484">
        <f>'1_REFERENCE'!G126</f>
        <v>0</v>
      </c>
      <c r="J57" s="133">
        <f>'2_CHAUFFAGE'!G57</f>
        <v>14.1</v>
      </c>
      <c r="K57" s="87">
        <f>'2_CHAUFFAGE'!H57</f>
        <v>14.3</v>
      </c>
      <c r="M57" s="492">
        <v>70.180000000000007</v>
      </c>
      <c r="N57" s="493">
        <f>($C$19*52)/1000*'0_ENTREE'!G56</f>
        <v>163.80000000000001</v>
      </c>
      <c r="O57" s="488">
        <f t="shared" si="5"/>
        <v>0.57155067155067152</v>
      </c>
    </row>
    <row r="58" spans="1:19" x14ac:dyDescent="0.25">
      <c r="A58" s="205">
        <v>25</v>
      </c>
      <c r="B58" s="37" t="str">
        <f>CONCATENATE("Ratio Eau - ",'0_ENTREE'!B57)</f>
        <v>Ratio Eau - GE2.1 - 300 - T5 - 93m²</v>
      </c>
      <c r="C58" s="212">
        <f t="shared" si="4"/>
        <v>2500</v>
      </c>
      <c r="D58" s="212">
        <f>'1_REFERENCE'!E127</f>
        <v>2399.9999999999986</v>
      </c>
      <c r="E58" s="84">
        <f>'0_ENTREE'!O57</f>
        <v>53.9</v>
      </c>
      <c r="F58" s="365">
        <f>'0_ENTREE'!P57</f>
        <v>56.4</v>
      </c>
      <c r="H58" s="483">
        <f>(K58-J58)*$C$15/'0_ENTREE'!F57</f>
        <v>0.48506571087216244</v>
      </c>
      <c r="I58" s="484">
        <f>'1_REFERENCE'!G127</f>
        <v>0.53357228195937945</v>
      </c>
      <c r="J58" s="133">
        <f>'2_CHAUFFAGE'!G58</f>
        <v>26.3</v>
      </c>
      <c r="K58" s="87">
        <f>'2_CHAUFFAGE'!H58</f>
        <v>27.3</v>
      </c>
      <c r="M58" s="492">
        <v>98.08</v>
      </c>
      <c r="N58" s="493">
        <f>($C$19*52)/1000*'0_ENTREE'!G57</f>
        <v>218.4</v>
      </c>
      <c r="O58" s="488">
        <f t="shared" si="5"/>
        <v>0.55091575091575096</v>
      </c>
    </row>
    <row r="59" spans="1:19" x14ac:dyDescent="0.25">
      <c r="A59" s="205">
        <v>26</v>
      </c>
      <c r="B59" s="37" t="str">
        <f>CONCATENATE("Ratio Eau - ",'0_ENTREE'!B58)</f>
        <v>Ratio Eau - GE2.1 - 302 - T5 - 93m²</v>
      </c>
      <c r="C59" s="212">
        <f t="shared" si="4"/>
        <v>2100.0000000000014</v>
      </c>
      <c r="D59" s="212">
        <f>'1_REFERENCE'!E128</f>
        <v>1899.9999999999986</v>
      </c>
      <c r="E59" s="84">
        <f>'0_ENTREE'!O58</f>
        <v>42.8</v>
      </c>
      <c r="F59" s="365">
        <f>'0_ENTREE'!P58</f>
        <v>44.9</v>
      </c>
      <c r="H59" s="483">
        <f>(K59-J59)*$C$15/'0_ENTREE'!F58</f>
        <v>0.29103942652329812</v>
      </c>
      <c r="I59" s="484">
        <f>'1_REFERENCE'!G128</f>
        <v>0.29103942652329812</v>
      </c>
      <c r="J59" s="133">
        <f>'2_CHAUFFAGE'!G59</f>
        <v>17</v>
      </c>
      <c r="K59" s="87">
        <f>'2_CHAUFFAGE'!H59</f>
        <v>17.600000000000001</v>
      </c>
      <c r="M59" s="492">
        <v>86.01</v>
      </c>
      <c r="N59" s="493">
        <f>($C$19*52)/1000*'0_ENTREE'!G58</f>
        <v>163.80000000000001</v>
      </c>
      <c r="O59" s="488">
        <f t="shared" si="5"/>
        <v>0.47490842490842489</v>
      </c>
    </row>
    <row r="60" spans="1:19" x14ac:dyDescent="0.25">
      <c r="A60" s="205">
        <v>27</v>
      </c>
      <c r="B60" s="37" t="str">
        <f>CONCATENATE("Ratio Eau - ",'0_ENTREE'!B59)</f>
        <v>Ratio Eau - GE2.1 - 312 - T4 - 75m²</v>
      </c>
      <c r="C60" s="212">
        <f t="shared" si="4"/>
        <v>1100.0000000000014</v>
      </c>
      <c r="D60" s="212">
        <f>'1_REFERENCE'!E129</f>
        <v>799.99999999999716</v>
      </c>
      <c r="E60" s="84">
        <f>'0_ENTREE'!O59</f>
        <v>46.8</v>
      </c>
      <c r="F60" s="365">
        <f>'0_ENTREE'!P59</f>
        <v>47.9</v>
      </c>
      <c r="H60" s="483">
        <f>(K60-J60)*$C$15/'0_ENTREE'!F59</f>
        <v>0.3007407407407407</v>
      </c>
      <c r="I60" s="484">
        <f>'1_REFERENCE'!G129</f>
        <v>0.24059259259259386</v>
      </c>
      <c r="J60" s="133">
        <f>'2_CHAUFFAGE'!G60</f>
        <v>25.1</v>
      </c>
      <c r="K60" s="87">
        <f>'2_CHAUFFAGE'!H60</f>
        <v>25.6</v>
      </c>
      <c r="M60" s="492">
        <v>82.52</v>
      </c>
      <c r="N60" s="493">
        <f>($C$19*52)/1000*'0_ENTREE'!G59</f>
        <v>109.2</v>
      </c>
      <c r="O60" s="488">
        <f t="shared" si="5"/>
        <v>0.24432234432234437</v>
      </c>
    </row>
    <row r="61" spans="1:19" s="44" customFormat="1" ht="13.5" thickBot="1" x14ac:dyDescent="0.3">
      <c r="A61" s="205">
        <v>28</v>
      </c>
      <c r="B61" s="287" t="str">
        <f>CONCATENATE("Ratio Eau - ",'0_ENTREE'!B60)</f>
        <v>Ratio Eau - MOYENNE GE2.1</v>
      </c>
      <c r="C61" s="286">
        <f>AVERAGE(C48:C60)</f>
        <v>1815.3846153846155</v>
      </c>
      <c r="D61" s="286">
        <f t="shared" ref="D61" si="6">AVERAGE(D48:D60)</f>
        <v>1738.4615384615379</v>
      </c>
      <c r="E61" s="196"/>
      <c r="F61" s="366"/>
      <c r="H61" s="485">
        <f>AVERAGE(H48:H60)</f>
        <v>0.40995479937228751</v>
      </c>
      <c r="I61" s="486">
        <f t="shared" ref="I61" si="7">AVERAGE(I48:I60)</f>
        <v>0.47680735304587701</v>
      </c>
      <c r="J61" s="209"/>
      <c r="K61" s="199"/>
      <c r="M61" s="494"/>
      <c r="N61" s="495"/>
      <c r="O61" s="489"/>
    </row>
    <row r="62" spans="1:19" x14ac:dyDescent="0.25">
      <c r="A62" s="205">
        <v>29</v>
      </c>
      <c r="B62" s="45" t="str">
        <f>CONCATENATE("Ratio Eau - ",'0_ENTREE'!B61)</f>
        <v>Ratio Eau - GE2.2 - 271 - T3 - 74m²</v>
      </c>
      <c r="C62" s="213">
        <f t="shared" ref="C62:C74" si="8">((F62-E62)*1000)</f>
        <v>1800.0000000000043</v>
      </c>
      <c r="D62" s="211">
        <f>'1_REFERENCE'!E131</f>
        <v>1399.9999999999986</v>
      </c>
      <c r="E62" s="80">
        <f>'0_ENTREE'!O61</f>
        <v>38.799999999999997</v>
      </c>
      <c r="F62" s="364">
        <f>'0_ENTREE'!P61</f>
        <v>40.6</v>
      </c>
      <c r="H62" s="427">
        <f>(K62-J62)*$C$15/'0_ENTREE'!F61</f>
        <v>0.73153153153153105</v>
      </c>
      <c r="I62" s="482">
        <f>'1_REFERENCE'!G131</f>
        <v>0.54864864864864771</v>
      </c>
      <c r="J62" s="132">
        <f>'2_CHAUFFAGE'!G62</f>
        <v>26.7</v>
      </c>
      <c r="K62" s="83">
        <f>'2_CHAUFFAGE'!H62</f>
        <v>27.9</v>
      </c>
      <c r="M62" s="496">
        <v>75.14</v>
      </c>
      <c r="N62" s="491">
        <f>($C$19*52)/1000*'0_ENTREE'!G61</f>
        <v>109.2</v>
      </c>
      <c r="O62" s="487">
        <f t="shared" ref="O62:O74" si="9">(N62-M62)/N62</f>
        <v>0.31190476190476191</v>
      </c>
    </row>
    <row r="63" spans="1:19" x14ac:dyDescent="0.25">
      <c r="A63" s="205">
        <v>30</v>
      </c>
      <c r="B63" s="37" t="str">
        <f>CONCATENATE("Ratio Eau - ",'0_ENTREE'!B62)</f>
        <v>Ratio Eau - GE2.2 - 272 - T3 - 74m²</v>
      </c>
      <c r="C63" s="212">
        <f t="shared" si="8"/>
        <v>1799.9999999999973</v>
      </c>
      <c r="D63" s="212">
        <f>'1_REFERENCE'!E132</f>
        <v>1899.9999999999986</v>
      </c>
      <c r="E63" s="84">
        <f>'0_ENTREE'!O62</f>
        <v>42</v>
      </c>
      <c r="F63" s="365">
        <f>'0_ENTREE'!P62</f>
        <v>43.8</v>
      </c>
      <c r="H63" s="483">
        <f>(K63-J63)*$C$15/'0_ENTREE'!F62</f>
        <v>6.0960960960961007E-2</v>
      </c>
      <c r="I63" s="484">
        <f>'1_REFERENCE'!G132</f>
        <v>0.12192192192192175</v>
      </c>
      <c r="J63" s="133">
        <f>'2_CHAUFFAGE'!G63</f>
        <v>3.9</v>
      </c>
      <c r="K63" s="87">
        <f>'2_CHAUFFAGE'!H63</f>
        <v>4</v>
      </c>
      <c r="M63" s="492">
        <v>128.03</v>
      </c>
      <c r="N63" s="493">
        <f>($C$19*52)/1000*'0_ENTREE'!G62</f>
        <v>54.6</v>
      </c>
      <c r="O63" s="488">
        <f t="shared" si="9"/>
        <v>-1.344871794871795</v>
      </c>
      <c r="R63" s="453" t="s">
        <v>313</v>
      </c>
      <c r="S63" s="463" t="s">
        <v>328</v>
      </c>
    </row>
    <row r="64" spans="1:19" x14ac:dyDescent="0.25">
      <c r="A64" s="205">
        <v>31</v>
      </c>
      <c r="B64" s="37" t="str">
        <f>CONCATENATE("Ratio Eau - ",'0_ENTREE'!B63)</f>
        <v>Ratio Eau - GE2.2 - 273 - T3 - 74m²</v>
      </c>
      <c r="C64" s="212">
        <f t="shared" si="8"/>
        <v>2000</v>
      </c>
      <c r="D64" s="212">
        <f>'1_REFERENCE'!E133</f>
        <v>2500</v>
      </c>
      <c r="E64" s="84">
        <f>'0_ENTREE'!O63</f>
        <v>38.200000000000003</v>
      </c>
      <c r="F64" s="365">
        <f>'0_ENTREE'!P63</f>
        <v>40.200000000000003</v>
      </c>
      <c r="H64" s="483">
        <f>(K64-J64)*$C$15/'0_ENTREE'!F63</f>
        <v>0.54864864864864771</v>
      </c>
      <c r="I64" s="484">
        <f>'1_REFERENCE'!G133</f>
        <v>0.54864864864864993</v>
      </c>
      <c r="J64" s="133">
        <f>'2_CHAUFFAGE'!G64</f>
        <v>18.8</v>
      </c>
      <c r="K64" s="87">
        <f>'2_CHAUFFAGE'!H64</f>
        <v>19.7</v>
      </c>
      <c r="M64" s="492">
        <v>91.22</v>
      </c>
      <c r="N64" s="493">
        <f>($C$19*52)/1000*'0_ENTREE'!G63</f>
        <v>109.2</v>
      </c>
      <c r="O64" s="488">
        <f t="shared" si="9"/>
        <v>0.16465201465201468</v>
      </c>
      <c r="Q64" s="449" t="s">
        <v>307</v>
      </c>
      <c r="R64" s="1">
        <v>4</v>
      </c>
      <c r="S64" s="463">
        <v>5</v>
      </c>
    </row>
    <row r="65" spans="1:19" ht="13.5" customHeight="1" x14ac:dyDescent="0.25">
      <c r="A65" s="205">
        <v>32</v>
      </c>
      <c r="B65" s="37" t="str">
        <f>CONCATENATE("Ratio Eau - ",'0_ENTREE'!B64)</f>
        <v>Ratio Eau - GE2.2 - 276 - T4 - 83m²</v>
      </c>
      <c r="C65" s="212">
        <f t="shared" si="8"/>
        <v>2100.0000000000014</v>
      </c>
      <c r="D65" s="212">
        <f>'1_REFERENCE'!E134</f>
        <v>2299.9999999999973</v>
      </c>
      <c r="E65" s="84">
        <f>'0_ENTREE'!O64</f>
        <v>41.9</v>
      </c>
      <c r="F65" s="365">
        <f>'0_ENTREE'!P64</f>
        <v>44</v>
      </c>
      <c r="H65" s="483">
        <f>(K65-J65)*$C$15/'0_ENTREE'!F64</f>
        <v>0.38045515394912943</v>
      </c>
      <c r="I65" s="484">
        <f>'1_REFERENCE'!G134</f>
        <v>0.43480589022757732</v>
      </c>
      <c r="J65" s="133">
        <f>'2_CHAUFFAGE'!G65</f>
        <v>18.7</v>
      </c>
      <c r="K65" s="87">
        <f>'2_CHAUFFAGE'!H65</f>
        <v>19.399999999999999</v>
      </c>
      <c r="M65" s="492">
        <v>95.5</v>
      </c>
      <c r="N65" s="493">
        <f>($C$19*52)/1000*'0_ENTREE'!G64</f>
        <v>109.2</v>
      </c>
      <c r="O65" s="488">
        <f t="shared" si="9"/>
        <v>0.12545787545787548</v>
      </c>
      <c r="Q65" s="450" t="s">
        <v>306</v>
      </c>
      <c r="S65" s="463">
        <v>10</v>
      </c>
    </row>
    <row r="66" spans="1:19" x14ac:dyDescent="0.25">
      <c r="A66" s="205">
        <v>33</v>
      </c>
      <c r="B66" s="37" t="str">
        <f>CONCATENATE("Ratio Eau - ",'0_ENTREE'!B65)</f>
        <v>Ratio Eau - GE2.2 - 279 - T3 - 70m²</v>
      </c>
      <c r="C66" s="212">
        <f t="shared" si="8"/>
        <v>1800.0000000000007</v>
      </c>
      <c r="D66" s="212">
        <f>'1_REFERENCE'!E135</f>
        <v>1300.0000000000007</v>
      </c>
      <c r="E66" s="84">
        <f>'0_ENTREE'!O65</f>
        <v>28</v>
      </c>
      <c r="F66" s="365">
        <f>'0_ENTREE'!P65</f>
        <v>29.8</v>
      </c>
      <c r="H66" s="483">
        <f>(K66-J66)*$C$15/'0_ENTREE'!F65</f>
        <v>0.57999999999999896</v>
      </c>
      <c r="I66" s="484">
        <f>'1_REFERENCE'!G135</f>
        <v>0.38666666666666755</v>
      </c>
      <c r="J66" s="133">
        <f>'2_CHAUFFAGE'!G66</f>
        <v>15.3</v>
      </c>
      <c r="K66" s="87">
        <f>'2_CHAUFFAGE'!H66</f>
        <v>16.2</v>
      </c>
      <c r="M66" s="492">
        <v>16.690000000000001</v>
      </c>
      <c r="N66" s="493">
        <f>($C$19*52)/1000*'0_ENTREE'!G65</f>
        <v>109.2</v>
      </c>
      <c r="O66" s="488">
        <f t="shared" si="9"/>
        <v>0.84716117216117215</v>
      </c>
      <c r="Q66" s="450" t="s">
        <v>305</v>
      </c>
      <c r="S66" s="463">
        <v>15</v>
      </c>
    </row>
    <row r="67" spans="1:19" x14ac:dyDescent="0.25">
      <c r="A67" s="205">
        <v>34</v>
      </c>
      <c r="B67" s="505" t="str">
        <f>CONCATENATE("Ratio Eau - ",'0_ENTREE'!B66)</f>
        <v>Ratio Eau - GE2.2 - 288 - T3 - 68m²</v>
      </c>
      <c r="C67" s="212">
        <f t="shared" si="8"/>
        <v>900.00000000000216</v>
      </c>
      <c r="D67" s="212">
        <f>'1_REFERENCE'!E136</f>
        <v>1000</v>
      </c>
      <c r="E67" s="84">
        <f>'0_ENTREE'!O66</f>
        <v>18.899999999999999</v>
      </c>
      <c r="F67" s="365">
        <f>'0_ENTREE'!P66</f>
        <v>19.8</v>
      </c>
      <c r="H67" s="483">
        <f>(K67-J67)*$C$15/'0_ENTREE'!F66</f>
        <v>6.6339869281045516E-2</v>
      </c>
      <c r="I67" s="484">
        <f>'1_REFERENCE'!G136</f>
        <v>6.6339869281045807E-2</v>
      </c>
      <c r="J67" s="133">
        <f>'2_CHAUFFAGE'!G67</f>
        <v>3.7</v>
      </c>
      <c r="K67" s="87">
        <f>'2_CHAUFFAGE'!H67</f>
        <v>3.8</v>
      </c>
      <c r="M67" s="492">
        <v>34.770000000000003</v>
      </c>
      <c r="N67" s="493">
        <f>($C$19*52)/1000*'0_ENTREE'!G66</f>
        <v>218.4</v>
      </c>
      <c r="O67" s="488">
        <f t="shared" si="9"/>
        <v>0.84079670329670331</v>
      </c>
      <c r="Q67" s="450" t="s">
        <v>303</v>
      </c>
      <c r="S67" s="463">
        <v>20</v>
      </c>
    </row>
    <row r="68" spans="1:19" x14ac:dyDescent="0.25">
      <c r="A68" s="205">
        <v>35</v>
      </c>
      <c r="B68" s="37" t="str">
        <f>CONCATENATE("Ratio Eau - ",'0_ENTREE'!B67)</f>
        <v>Ratio Eau - GE2.2 - 291 - T3 - 62m²</v>
      </c>
      <c r="C68" s="212">
        <f t="shared" si="8"/>
        <v>399.99999999999858</v>
      </c>
      <c r="D68" s="212">
        <f>'1_REFERENCE'!E137</f>
        <v>100.00000000000142</v>
      </c>
      <c r="E68" s="84">
        <f>'0_ENTREE'!O67</f>
        <v>31.3</v>
      </c>
      <c r="F68" s="365">
        <f>'0_ENTREE'!P67</f>
        <v>31.7</v>
      </c>
      <c r="H68" s="483">
        <f>(K68-J68)*$C$15/'0_ENTREE'!F67</f>
        <v>0</v>
      </c>
      <c r="I68" s="484">
        <f>'1_REFERENCE'!G137</f>
        <v>0</v>
      </c>
      <c r="J68" s="133">
        <f>'2_CHAUFFAGE'!G68</f>
        <v>0</v>
      </c>
      <c r="K68" s="87">
        <f>'2_CHAUFFAGE'!H68</f>
        <v>0</v>
      </c>
      <c r="M68" s="492">
        <v>79.739999999999995</v>
      </c>
      <c r="N68" s="493">
        <f>($C$19*52)/1000*'0_ENTREE'!G67</f>
        <v>109.2</v>
      </c>
      <c r="O68" s="488">
        <f t="shared" si="9"/>
        <v>0.26978021978021982</v>
      </c>
      <c r="Q68" s="450" t="s">
        <v>304</v>
      </c>
      <c r="S68" s="463">
        <v>25</v>
      </c>
    </row>
    <row r="69" spans="1:19" x14ac:dyDescent="0.25">
      <c r="A69" s="205">
        <v>36</v>
      </c>
      <c r="B69" s="37" t="str">
        <f>CONCATENATE("Ratio Eau - ",'0_ENTREE'!B68)</f>
        <v>Ratio Eau - GE2.2 - 294 - T3 - 63m²</v>
      </c>
      <c r="C69" s="212">
        <f t="shared" si="8"/>
        <v>1399.9999999999986</v>
      </c>
      <c r="D69" s="212">
        <f>'1_REFERENCE'!E138</f>
        <v>1199.9999999999993</v>
      </c>
      <c r="E69" s="84">
        <f>'0_ENTREE'!O68</f>
        <v>31.9</v>
      </c>
      <c r="F69" s="365">
        <f>'0_ENTREE'!P68</f>
        <v>33.299999999999997</v>
      </c>
      <c r="H69" s="483">
        <f>(K69-J69)*$C$15/'0_ENTREE'!F68</f>
        <v>0.28641975308641998</v>
      </c>
      <c r="I69" s="484">
        <f>'1_REFERENCE'!G138</f>
        <v>7.160493827160469E-2</v>
      </c>
      <c r="J69" s="133">
        <f>'2_CHAUFFAGE'!G69</f>
        <v>8.1999999999999993</v>
      </c>
      <c r="K69" s="87">
        <f>'2_CHAUFFAGE'!H69</f>
        <v>8.6</v>
      </c>
      <c r="M69" s="492">
        <v>117.39</v>
      </c>
      <c r="N69" s="493">
        <f>($C$19*52)/1000*'0_ENTREE'!G68</f>
        <v>54.6</v>
      </c>
      <c r="O69" s="488">
        <f t="shared" si="9"/>
        <v>-1.1499999999999999</v>
      </c>
      <c r="Q69" s="451" t="s">
        <v>308</v>
      </c>
      <c r="S69" s="463">
        <v>30</v>
      </c>
    </row>
    <row r="70" spans="1:19" x14ac:dyDescent="0.25">
      <c r="A70" s="205">
        <v>37</v>
      </c>
      <c r="B70" s="37" t="str">
        <f>CONCATENATE("Ratio Eau - ",'0_ENTREE'!B69)</f>
        <v>Ratio Eau - GE2.2 - 298 - T5 - 93m²</v>
      </c>
      <c r="C70" s="212">
        <f t="shared" si="8"/>
        <v>4700.0000000000027</v>
      </c>
      <c r="D70" s="212">
        <f>'1_REFERENCE'!E139</f>
        <v>5299.9999999999973</v>
      </c>
      <c r="E70" s="84">
        <f>'0_ENTREE'!O69</f>
        <v>88.7</v>
      </c>
      <c r="F70" s="365">
        <f>'0_ENTREE'!P69</f>
        <v>93.4</v>
      </c>
      <c r="H70" s="483">
        <f>(K70-J70)*$C$15/'0_ENTREE'!F69</f>
        <v>0.6305854241338098</v>
      </c>
      <c r="I70" s="484">
        <f>'1_REFERENCE'!G139</f>
        <v>0.87311827956989452</v>
      </c>
      <c r="J70" s="133">
        <f>'2_CHAUFFAGE'!G70</f>
        <v>38.200000000000003</v>
      </c>
      <c r="K70" s="87">
        <f>'2_CHAUFFAGE'!H70</f>
        <v>39.5</v>
      </c>
      <c r="M70" s="492">
        <v>184.51</v>
      </c>
      <c r="N70" s="493">
        <f>($C$19*52)/1000*'0_ENTREE'!G69</f>
        <v>54.6</v>
      </c>
      <c r="O70" s="488">
        <f t="shared" si="9"/>
        <v>-2.3793040293040293</v>
      </c>
      <c r="Q70" s="452" t="s">
        <v>309</v>
      </c>
      <c r="R70" s="1">
        <v>3</v>
      </c>
      <c r="S70" s="463">
        <v>35</v>
      </c>
    </row>
    <row r="71" spans="1:19" x14ac:dyDescent="0.25">
      <c r="A71" s="205">
        <v>38</v>
      </c>
      <c r="B71" s="37" t="str">
        <f>CONCATENATE("Ratio Eau - ",'0_ENTREE'!B70)</f>
        <v>Ratio Eau - GE2.2 - 301 - T4 - 79m²</v>
      </c>
      <c r="C71" s="212">
        <f t="shared" si="8"/>
        <v>1500</v>
      </c>
      <c r="D71" s="212">
        <f>'1_REFERENCE'!E140</f>
        <v>2699.9999999999959</v>
      </c>
      <c r="E71" s="84">
        <f>'0_ENTREE'!O70</f>
        <v>43.3</v>
      </c>
      <c r="F71" s="365">
        <f>'0_ENTREE'!P70</f>
        <v>44.8</v>
      </c>
      <c r="H71" s="483">
        <f>(K71-J71)*$C$15/'0_ENTREE'!F70</f>
        <v>0.28551336146272854</v>
      </c>
      <c r="I71" s="484">
        <f>'1_REFERENCE'!G140</f>
        <v>0.45682137834036601</v>
      </c>
      <c r="J71" s="133">
        <f>'2_CHAUFFAGE'!G71</f>
        <v>16.100000000000001</v>
      </c>
      <c r="K71" s="87">
        <f>'2_CHAUFFAGE'!H71</f>
        <v>16.600000000000001</v>
      </c>
      <c r="M71" s="492">
        <v>124.25</v>
      </c>
      <c r="N71" s="493">
        <f>($C$19*52)/1000*'0_ENTREE'!G70</f>
        <v>163.80000000000001</v>
      </c>
      <c r="O71" s="488">
        <f t="shared" si="9"/>
        <v>0.24145299145299151</v>
      </c>
      <c r="Q71" s="452" t="s">
        <v>310</v>
      </c>
      <c r="R71" s="1">
        <v>4</v>
      </c>
      <c r="S71" s="463">
        <v>40</v>
      </c>
    </row>
    <row r="72" spans="1:19" x14ac:dyDescent="0.25">
      <c r="A72" s="205">
        <v>39</v>
      </c>
      <c r="B72" s="37" t="str">
        <f>CONCATENATE("Ratio Eau - ",'0_ENTREE'!B71)</f>
        <v>Ratio Eau - GE2.2 - 311 - T4 - 74m²</v>
      </c>
      <c r="C72" s="212">
        <f t="shared" si="8"/>
        <v>2000</v>
      </c>
      <c r="D72" s="212">
        <f>'1_REFERENCE'!E141</f>
        <v>1900.0000000000057</v>
      </c>
      <c r="E72" s="84">
        <f>'0_ENTREE'!O71</f>
        <v>49.2</v>
      </c>
      <c r="F72" s="365">
        <f>'0_ENTREE'!P71</f>
        <v>51.2</v>
      </c>
      <c r="H72" s="483">
        <f>(K72-J72)*$C$15/'0_ENTREE'!F71</f>
        <v>0.48768768768768805</v>
      </c>
      <c r="I72" s="484">
        <f>'1_REFERENCE'!G141</f>
        <v>0.48768768768768805</v>
      </c>
      <c r="J72" s="133">
        <f>'2_CHAUFFAGE'!G72</f>
        <v>20.5</v>
      </c>
      <c r="K72" s="87">
        <f>'2_CHAUFFAGE'!H72</f>
        <v>21.3</v>
      </c>
      <c r="M72" s="492">
        <v>96.23</v>
      </c>
      <c r="N72" s="493">
        <f>($C$19*52)/1000*'0_ENTREE'!G71</f>
        <v>109.2</v>
      </c>
      <c r="O72" s="488">
        <f t="shared" si="9"/>
        <v>0.11877289377289375</v>
      </c>
      <c r="Q72" s="452" t="s">
        <v>311</v>
      </c>
      <c r="S72" s="463">
        <v>45</v>
      </c>
    </row>
    <row r="73" spans="1:19" x14ac:dyDescent="0.25">
      <c r="A73" s="205">
        <v>40</v>
      </c>
      <c r="B73" s="37" t="str">
        <f>CONCATENATE("Ratio Eau - ",'0_ENTREE'!B72)</f>
        <v>Ratio Eau - GE2.2 - 313 - T4 - 75m²</v>
      </c>
      <c r="C73" s="212">
        <f t="shared" si="8"/>
        <v>899.99999999999864</v>
      </c>
      <c r="D73" s="212">
        <f>'1_REFERENCE'!E142</f>
        <v>1000</v>
      </c>
      <c r="E73" s="84">
        <f>'0_ENTREE'!O72</f>
        <v>21.6</v>
      </c>
      <c r="F73" s="365">
        <f>'0_ENTREE'!P72</f>
        <v>22.5</v>
      </c>
      <c r="H73" s="483">
        <f>(K73-J73)*$C$15/'0_ENTREE'!F72</f>
        <v>0.24059259259259175</v>
      </c>
      <c r="I73" s="484">
        <f>'1_REFERENCE'!G142</f>
        <v>0.24059259259259277</v>
      </c>
      <c r="J73" s="133">
        <f>'2_CHAUFFAGE'!G73</f>
        <v>10.3</v>
      </c>
      <c r="K73" s="87">
        <f>'2_CHAUFFAGE'!H73</f>
        <v>10.7</v>
      </c>
      <c r="M73" s="492">
        <v>56.91</v>
      </c>
      <c r="N73" s="493">
        <f>($C$19*52)/1000*'0_ENTREE'!G72</f>
        <v>109.2</v>
      </c>
      <c r="O73" s="488">
        <f t="shared" si="9"/>
        <v>0.47884615384615387</v>
      </c>
      <c r="Q73" s="452" t="s">
        <v>312</v>
      </c>
      <c r="R73" s="1">
        <v>2</v>
      </c>
      <c r="S73" s="463">
        <v>50</v>
      </c>
    </row>
    <row r="74" spans="1:19" x14ac:dyDescent="0.25">
      <c r="A74" s="205">
        <v>41</v>
      </c>
      <c r="B74" s="37" t="str">
        <f>CONCATENATE("Ratio Eau - ",'0_ENTREE'!B73)</f>
        <v>Ratio Eau - GE2.2 - 315 - T4 - 75m²</v>
      </c>
      <c r="C74" s="212">
        <f t="shared" si="8"/>
        <v>2600.0000000000014</v>
      </c>
      <c r="D74" s="212">
        <f>'1_REFERENCE'!E143</f>
        <v>2899.9999999999986</v>
      </c>
      <c r="E74" s="84">
        <f>'0_ENTREE'!O73</f>
        <v>48.4</v>
      </c>
      <c r="F74" s="365">
        <f>'0_ENTREE'!P73</f>
        <v>51</v>
      </c>
      <c r="H74" s="483">
        <f>(K74-J74)*$C$15/'0_ENTREE'!F73</f>
        <v>0.60148148148148139</v>
      </c>
      <c r="I74" s="484">
        <f>'1_REFERENCE'!G143</f>
        <v>0.8420740740740732</v>
      </c>
      <c r="J74" s="133">
        <f>'2_CHAUFFAGE'!G74</f>
        <v>22.2</v>
      </c>
      <c r="K74" s="87">
        <f>'2_CHAUFFAGE'!H74</f>
        <v>23.2</v>
      </c>
      <c r="M74" s="492">
        <v>128.55000000000001</v>
      </c>
      <c r="N74" s="493">
        <f>($C$19*52)/1000*'0_ENTREE'!G73</f>
        <v>54.6</v>
      </c>
      <c r="O74" s="488">
        <f t="shared" si="9"/>
        <v>-1.3543956043956047</v>
      </c>
      <c r="Q74" s="451" t="s">
        <v>302</v>
      </c>
      <c r="S74" s="463">
        <v>55</v>
      </c>
    </row>
    <row r="75" spans="1:19" s="44" customFormat="1" ht="13.5" thickBot="1" x14ac:dyDescent="0.3">
      <c r="A75" s="205">
        <v>42</v>
      </c>
      <c r="B75" s="287" t="str">
        <f>CONCATENATE("Ratio Eau - ",'0_ENTREE'!B74)</f>
        <v>Ratio Eau - MOYENNE GE2.2</v>
      </c>
      <c r="C75" s="286">
        <f>AVERAGE(C62:C74)</f>
        <v>1838.4615384615388</v>
      </c>
      <c r="D75" s="286">
        <f t="shared" ref="D75" si="10">AVERAGE(D62:D74)</f>
        <v>1961.5384615384612</v>
      </c>
      <c r="E75" s="196"/>
      <c r="F75" s="366"/>
      <c r="H75" s="485">
        <f>AVERAGE(H62:H74)</f>
        <v>0.37693972806277171</v>
      </c>
      <c r="I75" s="486">
        <f t="shared" ref="I75" si="11">AVERAGE(I62:I74)</f>
        <v>0.3906869689177484</v>
      </c>
      <c r="J75" s="209"/>
      <c r="K75" s="199"/>
      <c r="M75" s="494"/>
      <c r="N75" s="495"/>
      <c r="O75" s="489"/>
    </row>
    <row r="76" spans="1:19" x14ac:dyDescent="0.25">
      <c r="A76" s="205">
        <v>43</v>
      </c>
      <c r="B76" s="45" t="str">
        <f>CONCATENATE("Ratio Eau - ",'0_ENTREE'!B75)</f>
        <v>Ratio Eau - SO - 284 - T - 64m²</v>
      </c>
      <c r="C76" s="213">
        <f t="shared" ref="C76:C81" si="12">((F76-E76)*1000)</f>
        <v>199.99999999999929</v>
      </c>
      <c r="D76" s="211">
        <f>'1_REFERENCE'!E145</f>
        <v>300.00000000000068</v>
      </c>
      <c r="E76" s="80">
        <f>'0_ENTREE'!O75</f>
        <v>6.4</v>
      </c>
      <c r="F76" s="364">
        <f>'0_ENTREE'!P75</f>
        <v>6.6</v>
      </c>
      <c r="H76" s="427">
        <f>(K76-J76)*$C$15/'0_ENTREE'!F75</f>
        <v>0</v>
      </c>
      <c r="I76" s="482">
        <f>'1_REFERENCE'!G145</f>
        <v>0</v>
      </c>
      <c r="J76" s="132">
        <f>'2_CHAUFFAGE'!G76</f>
        <v>1.2</v>
      </c>
      <c r="K76" s="83">
        <f>'2_CHAUFFAGE'!H76</f>
        <v>1.2</v>
      </c>
      <c r="M76" s="496">
        <v>23.21</v>
      </c>
      <c r="N76" s="491">
        <f>($C$19*52)/1000*'0_ENTREE'!G75</f>
        <v>54.6</v>
      </c>
      <c r="O76" s="487">
        <f t="shared" ref="O76:O81" si="13">(N76-M76)/N76</f>
        <v>0.57490842490842486</v>
      </c>
    </row>
    <row r="77" spans="1:19" x14ac:dyDescent="0.25">
      <c r="A77" s="205">
        <v>44</v>
      </c>
      <c r="B77" s="505" t="str">
        <f>CONCATENATE("Ratio Eau - ",'0_ENTREE'!B76)</f>
        <v>Ratio Eau - SO - 287 - T - 81m²</v>
      </c>
      <c r="C77" s="212">
        <f t="shared" si="12"/>
        <v>1199.9999999999957</v>
      </c>
      <c r="D77" s="212">
        <f>'1_REFERENCE'!E146</f>
        <v>1200.0000000000027</v>
      </c>
      <c r="E77" s="84">
        <f>'0_ENTREE'!O76</f>
        <v>32.1</v>
      </c>
      <c r="F77" s="365">
        <f>'0_ENTREE'!P76</f>
        <v>33.299999999999997</v>
      </c>
      <c r="H77" s="483">
        <f>(K77-J77)*$C$15/'0_ENTREE'!F76</f>
        <v>0.16707818930041191</v>
      </c>
      <c r="I77" s="484">
        <f>'1_REFERENCE'!G146</f>
        <v>0.16707818930041091</v>
      </c>
      <c r="J77" s="133">
        <f>'2_CHAUFFAGE'!G77</f>
        <v>13.2</v>
      </c>
      <c r="K77" s="87">
        <f>'2_CHAUFFAGE'!H77</f>
        <v>13.5</v>
      </c>
      <c r="M77" s="492">
        <v>74.69</v>
      </c>
      <c r="N77" s="493">
        <f>($C$19*52)/1000*'0_ENTREE'!G76</f>
        <v>54.6</v>
      </c>
      <c r="O77" s="488">
        <f t="shared" si="13"/>
        <v>-0.36794871794871786</v>
      </c>
    </row>
    <row r="78" spans="1:19" x14ac:dyDescent="0.25">
      <c r="A78" s="205">
        <v>45</v>
      </c>
      <c r="B78" s="505" t="str">
        <f>CONCATENATE("Ratio Eau - ",'0_ENTREE'!B77)</f>
        <v>Ratio Eau - SO - 290 - T - 40m²</v>
      </c>
      <c r="C78" s="212">
        <f t="shared" si="12"/>
        <v>1099.999999999998</v>
      </c>
      <c r="D78" s="212">
        <f>'1_REFERENCE'!E147</f>
        <v>700.00000000000284</v>
      </c>
      <c r="E78" s="84">
        <f>'0_ENTREE'!O77</f>
        <v>19.600000000000001</v>
      </c>
      <c r="F78" s="365">
        <f>'0_ENTREE'!P77</f>
        <v>20.7</v>
      </c>
      <c r="H78" s="483">
        <f>(K78-J78)*$C$15/'0_ENTREE'!F77</f>
        <v>0</v>
      </c>
      <c r="I78" s="484">
        <f>'1_REFERENCE'!G147</f>
        <v>0</v>
      </c>
      <c r="J78" s="133">
        <f>'2_CHAUFFAGE'!G78</f>
        <v>0</v>
      </c>
      <c r="K78" s="87">
        <f>'2_CHAUFFAGE'!H78</f>
        <v>0</v>
      </c>
      <c r="M78" s="492">
        <v>44.39</v>
      </c>
      <c r="N78" s="493">
        <f>($C$19*52)/1000*'0_ENTREE'!G77</f>
        <v>54.6</v>
      </c>
      <c r="O78" s="488">
        <f t="shared" si="13"/>
        <v>0.186996336996337</v>
      </c>
    </row>
    <row r="79" spans="1:19" x14ac:dyDescent="0.25">
      <c r="A79" s="205">
        <v>46</v>
      </c>
      <c r="B79" s="37" t="str">
        <f>CONCATENATE("Ratio Eau - ",'0_ENTREE'!B78)</f>
        <v>Ratio Eau - SO - 305 - T - 66m²</v>
      </c>
      <c r="C79" s="212">
        <f t="shared" si="12"/>
        <v>2000</v>
      </c>
      <c r="D79" s="212">
        <f>'1_REFERENCE'!E148</f>
        <v>2000</v>
      </c>
      <c r="E79" s="84">
        <f>'0_ENTREE'!O78</f>
        <v>23.6</v>
      </c>
      <c r="F79" s="365">
        <f>'0_ENTREE'!P78</f>
        <v>25.6</v>
      </c>
      <c r="H79" s="483">
        <f>(K79-J79)*$C$15/'0_ENTREE'!F78</f>
        <v>0</v>
      </c>
      <c r="I79" s="484">
        <f>'1_REFERENCE'!G148</f>
        <v>0</v>
      </c>
      <c r="J79" s="133">
        <f>'2_CHAUFFAGE'!G79</f>
        <v>0</v>
      </c>
      <c r="K79" s="87">
        <f>'2_CHAUFFAGE'!H79</f>
        <v>0</v>
      </c>
      <c r="M79" s="492">
        <v>85.36</v>
      </c>
      <c r="N79" s="493">
        <f>($C$19*52)/1000*'0_ENTREE'!G78</f>
        <v>163.80000000000001</v>
      </c>
      <c r="O79" s="488">
        <f t="shared" si="13"/>
        <v>0.4788766788766789</v>
      </c>
    </row>
    <row r="80" spans="1:19" x14ac:dyDescent="0.25">
      <c r="A80" s="205">
        <v>47</v>
      </c>
      <c r="B80" s="37" t="str">
        <f>CONCATENATE("Ratio Eau - ",'0_ENTREE'!B79)</f>
        <v>Ratio Eau - SO - 309 - T - 66m²</v>
      </c>
      <c r="C80" s="212">
        <f t="shared" si="12"/>
        <v>1500</v>
      </c>
      <c r="D80" s="212">
        <f>'1_REFERENCE'!E149</f>
        <v>1100.0000000000014</v>
      </c>
      <c r="E80" s="84">
        <f>'0_ENTREE'!O79</f>
        <v>23.6</v>
      </c>
      <c r="F80" s="365">
        <f>'0_ENTREE'!P79</f>
        <v>25.1</v>
      </c>
      <c r="H80" s="483">
        <f>(K80-J80)*$C$15/'0_ENTREE'!F79</f>
        <v>0.34175084175084169</v>
      </c>
      <c r="I80" s="484">
        <f>'1_REFERENCE'!G149</f>
        <v>0.34175084175084169</v>
      </c>
      <c r="J80" s="133">
        <f>'2_CHAUFFAGE'!G80</f>
        <v>12.7</v>
      </c>
      <c r="K80" s="87">
        <f>'2_CHAUFFAGE'!H80</f>
        <v>13.2</v>
      </c>
      <c r="M80" s="492">
        <v>42.76</v>
      </c>
      <c r="N80" s="493">
        <f>($C$19*52)/1000*'0_ENTREE'!G79</f>
        <v>54.6</v>
      </c>
      <c r="O80" s="488">
        <f t="shared" si="13"/>
        <v>0.21684981684981691</v>
      </c>
    </row>
    <row r="81" spans="1:20" x14ac:dyDescent="0.25">
      <c r="A81" s="205">
        <v>48</v>
      </c>
      <c r="B81" s="37" t="str">
        <f>CONCATENATE("Ratio Eau - ",'0_ENTREE'!B80)</f>
        <v>Ratio Eau - SO - 310 - T - 54m²</v>
      </c>
      <c r="C81" s="212">
        <f t="shared" si="12"/>
        <v>1599.9999999999943</v>
      </c>
      <c r="D81" s="212">
        <f>'1_REFERENCE'!E150</f>
        <v>1700.0000000000027</v>
      </c>
      <c r="E81" s="84">
        <f>'0_ENTREE'!O80</f>
        <v>33.200000000000003</v>
      </c>
      <c r="F81" s="365">
        <f>'0_ENTREE'!P80</f>
        <v>34.799999999999997</v>
      </c>
      <c r="H81" s="483">
        <f>(K81-J81)*$C$15/'0_ENTREE'!F80</f>
        <v>0.25061728395061711</v>
      </c>
      <c r="I81" s="484">
        <f>'1_REFERENCE'!G150</f>
        <v>0.33415637860082331</v>
      </c>
      <c r="J81" s="133">
        <f>'2_CHAUFFAGE'!G81</f>
        <v>6.9</v>
      </c>
      <c r="K81" s="87">
        <f>'2_CHAUFFAGE'!H81</f>
        <v>7.2</v>
      </c>
      <c r="M81" s="492">
        <v>82.13</v>
      </c>
      <c r="N81" s="493">
        <f>($C$19*52)/1000*'0_ENTREE'!G80</f>
        <v>54.6</v>
      </c>
      <c r="O81" s="488">
        <f t="shared" si="13"/>
        <v>-0.50421245421245409</v>
      </c>
    </row>
    <row r="82" spans="1:20" s="44" customFormat="1" ht="13.5" thickBot="1" x14ac:dyDescent="0.3">
      <c r="A82" s="205">
        <v>49</v>
      </c>
      <c r="B82" s="287" t="str">
        <f>CONCATENATE("Ratio Eau - ",'0_ENTREE'!B81)</f>
        <v>Ratio Eau - MOYENNE SO</v>
      </c>
      <c r="C82" s="286">
        <f>AVERAGE(C76:C81)</f>
        <v>1266.6666666666645</v>
      </c>
      <c r="D82" s="286">
        <f>AVERAGE(D76:D81)</f>
        <v>1166.6666666666683</v>
      </c>
      <c r="E82" s="209"/>
      <c r="F82" s="199"/>
      <c r="H82" s="485">
        <f>AVERAGE(H76:H81)</f>
        <v>0.12657438583364511</v>
      </c>
      <c r="I82" s="486">
        <f>AVERAGE(I76:I81)</f>
        <v>0.14049756827534599</v>
      </c>
      <c r="J82" s="209"/>
      <c r="K82" s="199"/>
      <c r="M82" s="494"/>
      <c r="N82" s="495"/>
      <c r="O82" s="489"/>
    </row>
    <row r="83" spans="1:20" s="4" customFormat="1" x14ac:dyDescent="0.25">
      <c r="A83" s="12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20" s="4" customFormat="1" x14ac:dyDescent="0.25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s="4" customFormat="1" x14ac:dyDescent="0.25">
      <c r="I85" s="5"/>
      <c r="J85" s="5"/>
      <c r="K85" s="5"/>
      <c r="L85" s="5"/>
      <c r="M85" s="5"/>
      <c r="N85" s="5"/>
      <c r="P85" s="5"/>
      <c r="Q85" s="5"/>
      <c r="R85" s="5"/>
      <c r="S85" s="5"/>
      <c r="T85" s="5"/>
    </row>
    <row r="86" spans="1:20" s="4" customFormat="1" x14ac:dyDescent="0.25"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s="4" customFormat="1" x14ac:dyDescent="0.25"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</sheetData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conditionalFormatting sqref="C34:C82 H34:H82">
    <cfRule type="cellIs" dxfId="0" priority="1" operator="lessThan">
      <formula>0</formula>
    </cfRule>
  </conditionalFormatting>
  <hyperlinks>
    <hyperlink ref="F19" r:id="rId1"/>
  </hyperlinks>
  <pageMargins left="0.23622047244094491" right="0.23622047244094491" top="0.74803149606299213" bottom="0.74803149606299213" header="0.31496062992125984" footer="0.31496062992125984"/>
  <pageSetup paperSize="8" scale="73" orientation="landscape" r:id="rId2"/>
  <headerFooter>
    <oddFooter>&amp;L&amp;F&amp;CSOLAIR&amp;R&amp;A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4"/>
  <sheetViews>
    <sheetView topLeftCell="A16" zoomScaleNormal="100" workbookViewId="0">
      <selection activeCell="M33" sqref="M33:M81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16" width="12.7109375" style="18" customWidth="1"/>
    <col min="17" max="17" width="26.7109375" style="18" customWidth="1"/>
    <col min="18" max="16384" width="15.7109375" style="18"/>
  </cols>
  <sheetData>
    <row r="1" spans="1:18" ht="30" customHeight="1" thickBot="1" x14ac:dyDescent="0.3">
      <c r="A1" s="513" t="str">
        <f>CONCATENATE("ENCERTICUS - ",B4," - ",B5," - ",B7)</f>
        <v>ENCERTICUS - SORTIE logiciel - 2014 - S23</v>
      </c>
      <c r="B1" s="514"/>
      <c r="C1" s="514"/>
      <c r="D1" s="515"/>
      <c r="E1" s="25"/>
      <c r="F1" s="173" t="s">
        <v>72</v>
      </c>
      <c r="G1" s="107" t="s">
        <v>73</v>
      </c>
      <c r="H1" s="25"/>
      <c r="I1" s="25"/>
    </row>
    <row r="2" spans="1:18" ht="13.5" thickBot="1" x14ac:dyDescent="0.3">
      <c r="E2" s="23"/>
      <c r="F2" s="13"/>
      <c r="G2" s="98"/>
      <c r="H2" s="13"/>
      <c r="I2" s="25"/>
    </row>
    <row r="3" spans="1:18" ht="25.5" x14ac:dyDescent="0.25">
      <c r="A3" s="293" t="s">
        <v>9</v>
      </c>
      <c r="B3" s="294" t="s">
        <v>10</v>
      </c>
      <c r="C3" s="174"/>
      <c r="I3" s="321" t="str">
        <f>'0_ENTREE'!I3</f>
        <v>DJU moyen</v>
      </c>
      <c r="J3" s="162" t="s">
        <v>182</v>
      </c>
      <c r="K3" s="327" t="str">
        <f>'0_ENTREE'!K3</f>
        <v>DJU REEL - 2011</v>
      </c>
      <c r="L3" s="327" t="str">
        <f>'0_ENTREE'!L3</f>
        <v>DJU REEL - 2012</v>
      </c>
      <c r="M3" s="327" t="str">
        <f>'0_ENTREE'!M3</f>
        <v>DJU REEL - 2013</v>
      </c>
      <c r="N3" s="327" t="str">
        <f>'0_ENTREE'!N3</f>
        <v>DJU REEL - 2014</v>
      </c>
      <c r="O3" s="327" t="str">
        <f>'0_ENTREE'!O3</f>
        <v>DJU REEL - 2015</v>
      </c>
      <c r="P3" s="327" t="str">
        <f>'0_ENTREE'!P3</f>
        <v>DJU REEL - 2016</v>
      </c>
      <c r="Q3" s="327" t="str">
        <f>'0_ENTREE'!Q3</f>
        <v>DJU REEL - 2017</v>
      </c>
    </row>
    <row r="4" spans="1:18" x14ac:dyDescent="0.25">
      <c r="A4" s="92" t="s">
        <v>11</v>
      </c>
      <c r="B4" s="93" t="s">
        <v>76</v>
      </c>
      <c r="C4" s="174"/>
      <c r="E4" s="517" t="str">
        <f>'0_ENTREE'!E4:F4</f>
        <v>DJU Annuel Moyen</v>
      </c>
      <c r="F4" s="517"/>
      <c r="G4" s="323">
        <f>'0_ENTREE'!G4</f>
        <v>1519.8666666666668</v>
      </c>
      <c r="I4" s="347">
        <f>'0_ENTREE'!I4</f>
        <v>335.36666666666662</v>
      </c>
      <c r="J4" s="305" t="str">
        <f>'0_ENTREE'!J4</f>
        <v>Janvier</v>
      </c>
      <c r="K4" s="305">
        <f>'0_ENTREE'!K4</f>
        <v>339.1</v>
      </c>
      <c r="L4" s="305">
        <f>'0_ENTREE'!L4</f>
        <v>302.7</v>
      </c>
      <c r="M4" s="305">
        <f>'0_ENTREE'!M4</f>
        <v>364.3</v>
      </c>
      <c r="N4" s="305">
        <f>'0_ENTREE'!N4</f>
        <v>302.7</v>
      </c>
      <c r="O4" s="305">
        <f>'0_ENTREE'!O4</f>
        <v>0</v>
      </c>
      <c r="P4" s="305">
        <f>'0_ENTREE'!P4</f>
        <v>0</v>
      </c>
      <c r="Q4" s="149">
        <f>'1_REFERENCE'!O4</f>
        <v>0</v>
      </c>
    </row>
    <row r="5" spans="1:18" x14ac:dyDescent="0.25">
      <c r="A5" s="92" t="s">
        <v>35</v>
      </c>
      <c r="B5" s="99">
        <f>'0_ENTREE'!B5</f>
        <v>2014</v>
      </c>
      <c r="C5" s="174">
        <f>'0_ENTREE'!C5</f>
        <v>6</v>
      </c>
      <c r="E5" s="517" t="str">
        <f>'0_ENTREE'!E5:F5</f>
        <v>DJU Annuel Réel - 2014</v>
      </c>
      <c r="F5" s="517"/>
      <c r="G5" s="323">
        <f>'0_ENTREE'!G5</f>
        <v>1548.4</v>
      </c>
      <c r="I5" s="347">
        <f>'0_ENTREE'!I5</f>
        <v>347.76666666666671</v>
      </c>
      <c r="J5" s="305" t="str">
        <f>'0_ENTREE'!J5</f>
        <v>Février</v>
      </c>
      <c r="K5" s="305">
        <f>'0_ENTREE'!K5</f>
        <v>266.60000000000002</v>
      </c>
      <c r="L5" s="305">
        <f>'0_ENTREE'!L5</f>
        <v>425.6</v>
      </c>
      <c r="M5" s="305">
        <f>'0_ENTREE'!M5</f>
        <v>351.1</v>
      </c>
      <c r="N5" s="305">
        <f>'0_ENTREE'!N5</f>
        <v>425.6</v>
      </c>
      <c r="O5" s="305">
        <f>'0_ENTREE'!O5</f>
        <v>0</v>
      </c>
      <c r="P5" s="305">
        <f>'0_ENTREE'!P5</f>
        <v>0</v>
      </c>
      <c r="Q5" s="149">
        <f>'1_REFERENCE'!O5</f>
        <v>0</v>
      </c>
    </row>
    <row r="6" spans="1:18" x14ac:dyDescent="0.25">
      <c r="A6" s="92" t="s">
        <v>36</v>
      </c>
      <c r="B6" s="99" t="str">
        <f>'0_ENTREE'!B6</f>
        <v>Juin</v>
      </c>
      <c r="C6" s="174">
        <f>'0_ENTREE'!C6</f>
        <v>8</v>
      </c>
      <c r="E6" s="517" t="str">
        <f>'0_ENTREE'!E6:F6</f>
        <v>DJU Mensuel Moyen - Juin</v>
      </c>
      <c r="F6" s="517"/>
      <c r="G6" s="323">
        <f>'0_ENTREE'!G6</f>
        <v>0</v>
      </c>
      <c r="I6" s="347">
        <f>'0_ENTREE'!I6</f>
        <v>210.16666666666666</v>
      </c>
      <c r="J6" s="305" t="str">
        <f>'0_ENTREE'!J6</f>
        <v>Mars</v>
      </c>
      <c r="K6" s="305">
        <f>'0_ENTREE'!K6</f>
        <v>217.4</v>
      </c>
      <c r="L6" s="305">
        <f>'0_ENTREE'!L6</f>
        <v>183.6</v>
      </c>
      <c r="M6" s="305">
        <f>'0_ENTREE'!M6</f>
        <v>229.5</v>
      </c>
      <c r="N6" s="305">
        <f>'0_ENTREE'!N6</f>
        <v>183.6</v>
      </c>
      <c r="O6" s="305">
        <f>'0_ENTREE'!O6</f>
        <v>0</v>
      </c>
      <c r="P6" s="305">
        <f>'0_ENTREE'!P6</f>
        <v>0</v>
      </c>
      <c r="Q6" s="149">
        <f>'1_REFERENCE'!O6</f>
        <v>0</v>
      </c>
    </row>
    <row r="7" spans="1:18" x14ac:dyDescent="0.25">
      <c r="A7" s="92" t="s">
        <v>57</v>
      </c>
      <c r="B7" s="99" t="str">
        <f>'0_ENTREE'!B7</f>
        <v>S23</v>
      </c>
      <c r="C7" s="174">
        <f>'0_ENTREE'!C7</f>
        <v>25</v>
      </c>
      <c r="E7" s="517" t="str">
        <f>'0_ENTREE'!E7:F7</f>
        <v>DJU Mensuel Réel - Juin</v>
      </c>
      <c r="F7" s="517"/>
      <c r="G7" s="323">
        <f>'0_ENTREE'!G7</f>
        <v>0</v>
      </c>
      <c r="I7" s="347">
        <f>'0_ENTREE'!I7</f>
        <v>106.96666666666665</v>
      </c>
      <c r="J7" s="305" t="str">
        <f>'0_ENTREE'!J7</f>
        <v>Avril</v>
      </c>
      <c r="K7" s="305">
        <f>'0_ENTREE'!K7</f>
        <v>69</v>
      </c>
      <c r="L7" s="305">
        <f>'0_ENTREE'!L7</f>
        <v>120.9</v>
      </c>
      <c r="M7" s="305">
        <f>'0_ENTREE'!M7</f>
        <v>131</v>
      </c>
      <c r="N7" s="305">
        <f>'0_ENTREE'!N7</f>
        <v>120.9</v>
      </c>
      <c r="O7" s="305">
        <f>'0_ENTREE'!O7</f>
        <v>0</v>
      </c>
      <c r="P7" s="305">
        <f>'0_ENTREE'!P7</f>
        <v>0</v>
      </c>
      <c r="Q7" s="149">
        <f>'1_REFERENCE'!O7</f>
        <v>0</v>
      </c>
    </row>
    <row r="8" spans="1:18" ht="13.5" thickBot="1" x14ac:dyDescent="0.3">
      <c r="A8" s="94" t="s">
        <v>31</v>
      </c>
      <c r="B8" s="100" t="str">
        <f>'0_ENTREE'!B8</f>
        <v>Semaine</v>
      </c>
      <c r="C8" s="174">
        <f>'0_ENTREE'!C8</f>
        <v>0</v>
      </c>
      <c r="E8" s="517" t="str">
        <f>'0_ENTREE'!E8:F8</f>
        <v>DJU Hebdo Moyen - Juin</v>
      </c>
      <c r="F8" s="517"/>
      <c r="G8" s="323">
        <f>'0_ENTREE'!G8</f>
        <v>0</v>
      </c>
      <c r="I8" s="347">
        <f>'0_ENTREE'!I8</f>
        <v>31.966666666666669</v>
      </c>
      <c r="J8" s="305" t="str">
        <f>'0_ENTREE'!J8</f>
        <v>Mai</v>
      </c>
      <c r="K8" s="305">
        <f>'0_ENTREE'!K8</f>
        <v>7.9</v>
      </c>
      <c r="L8" s="305">
        <f>'0_ENTREE'!L8</f>
        <v>17.2</v>
      </c>
      <c r="M8" s="305">
        <f>'0_ENTREE'!M8</f>
        <v>70.8</v>
      </c>
      <c r="N8" s="305">
        <f>'0_ENTREE'!N8</f>
        <v>17.2</v>
      </c>
      <c r="O8" s="305">
        <f>'0_ENTREE'!O8</f>
        <v>0</v>
      </c>
      <c r="P8" s="305">
        <f>'0_ENTREE'!P8</f>
        <v>0</v>
      </c>
      <c r="Q8" s="149">
        <f>'1_REFERENCE'!O8</f>
        <v>0</v>
      </c>
    </row>
    <row r="9" spans="1:18" x14ac:dyDescent="0.25">
      <c r="E9" s="517" t="str">
        <f>'0_ENTREE'!E9:F9</f>
        <v>DJU Hebdo Réel - S23</v>
      </c>
      <c r="F9" s="517"/>
      <c r="G9" s="323">
        <f>'0_ENTREE'!G9</f>
        <v>0</v>
      </c>
      <c r="I9" s="347">
        <f>'0_ENTREE'!I9</f>
        <v>0</v>
      </c>
      <c r="J9" s="305" t="str">
        <f>'0_ENTREE'!J9</f>
        <v>Juin</v>
      </c>
      <c r="K9" s="305">
        <f>'0_ENTREE'!K9</f>
        <v>0</v>
      </c>
      <c r="L9" s="305">
        <f>'0_ENTREE'!L9</f>
        <v>0</v>
      </c>
      <c r="M9" s="305">
        <f>'0_ENTREE'!M9</f>
        <v>0</v>
      </c>
      <c r="N9" s="305">
        <f>'0_ENTREE'!N9</f>
        <v>0</v>
      </c>
      <c r="O9" s="305">
        <f>'0_ENTREE'!O9</f>
        <v>0</v>
      </c>
      <c r="P9" s="305">
        <f>'0_ENTREE'!P9</f>
        <v>0</v>
      </c>
      <c r="Q9" s="149">
        <f>'1_REFERENCE'!O9</f>
        <v>0</v>
      </c>
    </row>
    <row r="10" spans="1:18" x14ac:dyDescent="0.25">
      <c r="I10" s="347">
        <f>'0_ENTREE'!I10</f>
        <v>0</v>
      </c>
      <c r="J10" s="305" t="str">
        <f>'0_ENTREE'!J10</f>
        <v>Juillet</v>
      </c>
      <c r="K10" s="305">
        <f>'0_ENTREE'!K10</f>
        <v>0</v>
      </c>
      <c r="L10" s="305">
        <f>'0_ENTREE'!L10</f>
        <v>0</v>
      </c>
      <c r="M10" s="305">
        <f>'0_ENTREE'!M10</f>
        <v>0</v>
      </c>
      <c r="N10" s="305">
        <f>'0_ENTREE'!N10</f>
        <v>0</v>
      </c>
      <c r="O10" s="305">
        <f>'0_ENTREE'!O10</f>
        <v>0</v>
      </c>
      <c r="P10" s="305">
        <f>'0_ENTREE'!P10</f>
        <v>0</v>
      </c>
      <c r="Q10" s="149">
        <f>'1_REFERENCE'!O10</f>
        <v>0</v>
      </c>
      <c r="R10" s="20"/>
    </row>
    <row r="11" spans="1:18" x14ac:dyDescent="0.25">
      <c r="I11" s="347">
        <f>'0_ENTREE'!I11</f>
        <v>0</v>
      </c>
      <c r="J11" s="305" t="str">
        <f>'0_ENTREE'!J11</f>
        <v>Août</v>
      </c>
      <c r="K11" s="305">
        <f>'0_ENTREE'!K11</f>
        <v>0</v>
      </c>
      <c r="L11" s="305">
        <f>'0_ENTREE'!L11</f>
        <v>0</v>
      </c>
      <c r="M11" s="305">
        <f>'0_ENTREE'!M11</f>
        <v>0</v>
      </c>
      <c r="N11" s="305">
        <f>'0_ENTREE'!N11</f>
        <v>0</v>
      </c>
      <c r="O11" s="305">
        <f>'0_ENTREE'!O11</f>
        <v>0</v>
      </c>
      <c r="P11" s="305">
        <f>'0_ENTREE'!P11</f>
        <v>0</v>
      </c>
      <c r="Q11" s="149">
        <f>'1_REFERENCE'!O11</f>
        <v>0</v>
      </c>
    </row>
    <row r="12" spans="1:18" ht="25.5" x14ac:dyDescent="0.25">
      <c r="B12" s="298" t="s">
        <v>174</v>
      </c>
      <c r="C12" s="298" t="s">
        <v>53</v>
      </c>
      <c r="D12" s="509" t="s">
        <v>56</v>
      </c>
      <c r="E12" s="509"/>
      <c r="F12" s="298" t="s">
        <v>58</v>
      </c>
      <c r="I12" s="347">
        <f>'0_ENTREE'!I12</f>
        <v>0</v>
      </c>
      <c r="J12" s="305" t="str">
        <f>'0_ENTREE'!J12</f>
        <v>Septembre</v>
      </c>
      <c r="K12" s="305">
        <f>'0_ENTREE'!K12</f>
        <v>0</v>
      </c>
      <c r="L12" s="305">
        <f>'0_ENTREE'!L12</f>
        <v>0</v>
      </c>
      <c r="M12" s="305">
        <f>'0_ENTREE'!M12</f>
        <v>0</v>
      </c>
      <c r="N12" s="305">
        <f>'0_ENTREE'!N12</f>
        <v>0</v>
      </c>
      <c r="O12" s="305">
        <f>'0_ENTREE'!O12</f>
        <v>0</v>
      </c>
      <c r="P12" s="305">
        <f>'0_ENTREE'!P12</f>
        <v>0</v>
      </c>
      <c r="Q12" s="149">
        <f>'1_REFERENCE'!O12</f>
        <v>0</v>
      </c>
    </row>
    <row r="13" spans="1:18" x14ac:dyDescent="0.25">
      <c r="B13" s="390" t="str">
        <f>'0_ENTREE'!B13</f>
        <v>Ratio de chauffage</v>
      </c>
      <c r="C13" s="302">
        <f>'0_ENTREE'!C13</f>
        <v>0</v>
      </c>
      <c r="D13" s="510" t="s">
        <v>34</v>
      </c>
      <c r="E13" s="510"/>
      <c r="F13" s="296"/>
      <c r="I13" s="347">
        <f>'0_ENTREE'!I13</f>
        <v>20</v>
      </c>
      <c r="J13" s="305" t="str">
        <f>'0_ENTREE'!J13</f>
        <v>Octobre</v>
      </c>
      <c r="K13" s="305">
        <f>'0_ENTREE'!K13</f>
        <v>9.6</v>
      </c>
      <c r="L13" s="305">
        <f>'0_ENTREE'!L13</f>
        <v>44.5</v>
      </c>
      <c r="M13" s="305">
        <f>'0_ENTREE'!M13</f>
        <v>5.9</v>
      </c>
      <c r="N13" s="305">
        <f>'0_ENTREE'!N13</f>
        <v>44.5</v>
      </c>
      <c r="O13" s="305">
        <f>'0_ENTREE'!O13</f>
        <v>0</v>
      </c>
      <c r="P13" s="305">
        <f>'0_ENTREE'!P13</f>
        <v>0</v>
      </c>
      <c r="Q13" s="149">
        <f>'1_REFERENCE'!O13</f>
        <v>0</v>
      </c>
    </row>
    <row r="14" spans="1:18" x14ac:dyDescent="0.25">
      <c r="B14" s="390" t="str">
        <f>'0_ENTREE'!B14</f>
        <v>Ratio cuisson - semaine</v>
      </c>
      <c r="C14" s="303">
        <f>'0_ENTREE'!C14</f>
        <v>7</v>
      </c>
      <c r="D14" s="511" t="s">
        <v>54</v>
      </c>
      <c r="E14" s="511"/>
      <c r="F14" s="296"/>
      <c r="I14" s="347">
        <f>'0_ENTREE'!I14</f>
        <v>182.4</v>
      </c>
      <c r="J14" s="305" t="str">
        <f>'0_ENTREE'!J14</f>
        <v>Novembre</v>
      </c>
      <c r="K14" s="305">
        <f>'0_ENTREE'!K14</f>
        <v>172.7</v>
      </c>
      <c r="L14" s="305">
        <f>'0_ENTREE'!L14</f>
        <v>154</v>
      </c>
      <c r="M14" s="305">
        <f>'0_ENTREE'!M14</f>
        <v>220.5</v>
      </c>
      <c r="N14" s="305">
        <f>'0_ENTREE'!N14</f>
        <v>154</v>
      </c>
      <c r="O14" s="305">
        <f>'0_ENTREE'!O14</f>
        <v>0</v>
      </c>
      <c r="P14" s="305">
        <f>'0_ENTREE'!P14</f>
        <v>0</v>
      </c>
      <c r="Q14" s="149">
        <f>'1_REFERENCE'!O14</f>
        <v>0</v>
      </c>
    </row>
    <row r="15" spans="1:18" ht="14.25" x14ac:dyDescent="0.25">
      <c r="B15" s="390" t="str">
        <f>'0_ENTREE'!B15</f>
        <v>Energie nécessaire ECS</v>
      </c>
      <c r="C15" s="303">
        <f>'0_ENTREE'!C15</f>
        <v>45.111111111111107</v>
      </c>
      <c r="D15" s="511" t="s">
        <v>281</v>
      </c>
      <c r="E15" s="511"/>
      <c r="F15" s="296" t="s">
        <v>32</v>
      </c>
      <c r="I15" s="347">
        <f>'0_ENTREE'!I15</f>
        <v>285.23333333333335</v>
      </c>
      <c r="J15" s="305" t="str">
        <f>'0_ENTREE'!J15</f>
        <v>Décembre</v>
      </c>
      <c r="K15" s="305">
        <f>'0_ENTREE'!K15</f>
        <v>271</v>
      </c>
      <c r="L15" s="305">
        <f>'0_ENTREE'!L15</f>
        <v>299.89999999999998</v>
      </c>
      <c r="M15" s="305">
        <f>'0_ENTREE'!M15</f>
        <v>284.8</v>
      </c>
      <c r="N15" s="305">
        <f>'0_ENTREE'!N15</f>
        <v>299.89999999999998</v>
      </c>
      <c r="O15" s="305">
        <f>'0_ENTREE'!O15</f>
        <v>0</v>
      </c>
      <c r="P15" s="305">
        <f>'0_ENTREE'!P15</f>
        <v>0</v>
      </c>
      <c r="Q15" s="149">
        <f>'1_REFERENCE'!O15</f>
        <v>0</v>
      </c>
    </row>
    <row r="16" spans="1:18" x14ac:dyDescent="0.25">
      <c r="B16" s="390" t="str">
        <f>'0_ENTREE'!B16</f>
        <v>Volume ECS consommé jour</v>
      </c>
      <c r="C16" s="391">
        <f>'0_ENTREE'!C16</f>
        <v>35</v>
      </c>
      <c r="D16" s="511" t="s">
        <v>168</v>
      </c>
      <c r="E16" s="511"/>
      <c r="F16" s="296"/>
      <c r="I16" s="322"/>
      <c r="J16" s="337" t="str">
        <f>'0_ENTREE'!J16</f>
        <v>Année</v>
      </c>
      <c r="K16" s="337">
        <f>'0_ENTREE'!K16</f>
        <v>1353.3</v>
      </c>
      <c r="L16" s="337">
        <f>'0_ENTREE'!L16</f>
        <v>1548.4</v>
      </c>
      <c r="M16" s="337">
        <f>'0_ENTREE'!M16</f>
        <v>1657.9</v>
      </c>
      <c r="N16" s="337">
        <f>'0_ENTREE'!N16</f>
        <v>1548.4</v>
      </c>
      <c r="O16" s="337">
        <f>'0_ENTREE'!O16</f>
        <v>0</v>
      </c>
      <c r="P16" s="337">
        <f>'0_ENTREE'!P16</f>
        <v>0</v>
      </c>
      <c r="Q16" s="338">
        <f>'1_REFERENCE'!O16</f>
        <v>0</v>
      </c>
    </row>
    <row r="17" spans="1:17" x14ac:dyDescent="0.25">
      <c r="B17" s="390" t="str">
        <f>'0_ENTREE'!B17</f>
        <v>Ratio ECS - jour</v>
      </c>
      <c r="C17" s="303">
        <f>'0_ENTREE'!C17</f>
        <v>1.5788888888888888</v>
      </c>
      <c r="D17" s="511" t="s">
        <v>167</v>
      </c>
      <c r="E17" s="511"/>
      <c r="F17" s="331"/>
    </row>
    <row r="18" spans="1:17" x14ac:dyDescent="0.25">
      <c r="B18" s="390" t="str">
        <f>'0_ENTREE'!B18</f>
        <v>Ratio électrique - semaine</v>
      </c>
      <c r="C18" s="303">
        <f>'0_ENTREE'!C18</f>
        <v>52.42307692307692</v>
      </c>
      <c r="D18" s="511" t="s">
        <v>52</v>
      </c>
      <c r="E18" s="511"/>
      <c r="F18" s="296" t="s">
        <v>24</v>
      </c>
    </row>
    <row r="19" spans="1:17" x14ac:dyDescent="0.25">
      <c r="B19" s="390" t="str">
        <f>'0_ENTREE'!B19</f>
        <v>Ratio eau (EF+ECS) - semaine</v>
      </c>
      <c r="C19" s="391">
        <f>'0_ENTREE'!C19</f>
        <v>1050</v>
      </c>
      <c r="D19" s="511" t="s">
        <v>55</v>
      </c>
      <c r="E19" s="511"/>
      <c r="F19" s="297" t="s">
        <v>26</v>
      </c>
    </row>
    <row r="20" spans="1:17" ht="25.5" x14ac:dyDescent="0.25">
      <c r="B20" s="298" t="s">
        <v>175</v>
      </c>
      <c r="C20" s="298" t="s">
        <v>53</v>
      </c>
      <c r="D20" s="509" t="s">
        <v>56</v>
      </c>
      <c r="E20" s="509"/>
      <c r="F20" s="298" t="s">
        <v>58</v>
      </c>
    </row>
    <row r="21" spans="1:17" x14ac:dyDescent="0.25">
      <c r="B21" s="27" t="str">
        <f>'0_ENTREE'!B21</f>
        <v>Nbre semaine par mois</v>
      </c>
      <c r="C21" s="295">
        <f>'0_ENTREE'!C21</f>
        <v>4.3452380952380958</v>
      </c>
      <c r="D21" s="512"/>
      <c r="E21" s="512"/>
      <c r="F21" s="296"/>
    </row>
    <row r="22" spans="1:17" x14ac:dyDescent="0.25">
      <c r="B22" s="27" t="str">
        <f>'0_ENTREE'!B22</f>
        <v>Conversion GAZ (volume en kWh PCI)</v>
      </c>
      <c r="C22" s="295">
        <f>'0_ENTREE'!C22</f>
        <v>11.628</v>
      </c>
      <c r="D22" s="512" t="s">
        <v>29</v>
      </c>
      <c r="E22" s="512"/>
      <c r="F22" s="296"/>
    </row>
    <row r="23" spans="1:17" x14ac:dyDescent="0.25">
      <c r="B23" s="27" t="str">
        <f>'0_ENTREE'!B23</f>
        <v>Conversion GAZ (PCS en PCI)</v>
      </c>
      <c r="C23" s="295">
        <f>'0_ENTREE'!C23</f>
        <v>0.9009009009009008</v>
      </c>
      <c r="D23" s="512" t="s">
        <v>15</v>
      </c>
      <c r="E23" s="512"/>
      <c r="F23" s="296"/>
    </row>
    <row r="24" spans="1:17" x14ac:dyDescent="0.25">
      <c r="B24" s="27"/>
      <c r="C24" s="295"/>
      <c r="D24" s="512"/>
      <c r="E24" s="512"/>
      <c r="F24" s="296"/>
    </row>
    <row r="25" spans="1:17" x14ac:dyDescent="0.25">
      <c r="B25" s="27" t="str">
        <f>'0_ENTREE'!B25</f>
        <v>Facteur travaux</v>
      </c>
      <c r="C25" s="295">
        <f>'0_ENTREE'!C25</f>
        <v>1</v>
      </c>
      <c r="D25" s="512"/>
      <c r="E25" s="512"/>
      <c r="F25" s="296"/>
    </row>
    <row r="28" spans="1:17" s="17" customFormat="1" x14ac:dyDescent="0.25">
      <c r="B28" s="114" t="str">
        <f>CONCATENATE("BILAN - ",B5," - ",B6," - ",B7)</f>
        <v>BILAN - 2014 - Juin - S23</v>
      </c>
    </row>
    <row r="29" spans="1:17" s="17" customFormat="1" x14ac:dyDescent="0.25">
      <c r="B29" s="32"/>
      <c r="C29" s="160"/>
      <c r="D29" s="62"/>
      <c r="E29" s="62"/>
      <c r="F29" s="161"/>
      <c r="G29" s="62"/>
      <c r="H29" s="62"/>
      <c r="I29" s="161"/>
      <c r="J29" s="62"/>
      <c r="K29" s="62"/>
      <c r="L29" s="161"/>
    </row>
    <row r="30" spans="1:17" s="17" customFormat="1" ht="51" x14ac:dyDescent="0.25">
      <c r="B30" s="32"/>
      <c r="C30" s="62" t="s">
        <v>351</v>
      </c>
      <c r="D30" s="62" t="s">
        <v>67</v>
      </c>
      <c r="E30" s="62" t="s">
        <v>151</v>
      </c>
      <c r="F30" s="224"/>
      <c r="G30" s="62" t="str">
        <f>D30</f>
        <v>Données relevé</v>
      </c>
      <c r="H30" s="62" t="s">
        <v>152</v>
      </c>
      <c r="I30" s="224"/>
      <c r="J30" s="62" t="str">
        <f>G30</f>
        <v>Données relevé</v>
      </c>
      <c r="K30" s="62" t="str">
        <f>H30</f>
        <v>semaine précédente</v>
      </c>
      <c r="L30" s="224"/>
    </row>
    <row r="31" spans="1:17" s="4" customFormat="1" ht="38.25" x14ac:dyDescent="0.25">
      <c r="A31" s="32"/>
      <c r="B31" s="115" t="str">
        <f>'2_CHAUFFAGE'!B32</f>
        <v>NOM DE LA DONNEES</v>
      </c>
      <c r="C31" s="121" t="s">
        <v>68</v>
      </c>
      <c r="D31" s="214" t="str">
        <f>'2_CHAUFFAGE'!C32</f>
        <v>CHAUFFAGE corrigé - S23</v>
      </c>
      <c r="E31" s="215" t="str">
        <f>'2_CHAUFFAGE'!D32</f>
        <v>Ratio CHAUFFAGE réf - Juin</v>
      </c>
      <c r="F31" s="116" t="s">
        <v>78</v>
      </c>
      <c r="G31" s="237" t="str">
        <f>'2_ELECTRICITE'!C32</f>
        <v>ELECTRICTE - S23</v>
      </c>
      <c r="H31" s="238" t="str">
        <f>'2_ELECTRICITE'!D32</f>
        <v>Ratio ELECTRICTE réf - S23</v>
      </c>
      <c r="I31" s="116" t="s">
        <v>80</v>
      </c>
      <c r="J31" s="263" t="str">
        <f>'2_EAU'!C32</f>
        <v>EAU - S23</v>
      </c>
      <c r="K31" s="264" t="str">
        <f>'2_EAU'!D32</f>
        <v>Ratio EAU réf - S23</v>
      </c>
      <c r="L31" s="116" t="s">
        <v>79</v>
      </c>
      <c r="M31" s="368" t="str">
        <f>'2_EAU'!H32</f>
        <v>ECS - S23</v>
      </c>
      <c r="N31" s="369" t="str">
        <f>'2_EAU'!I32</f>
        <v>Ratio ECS réf - S23</v>
      </c>
      <c r="O31" s="116" t="s">
        <v>280</v>
      </c>
      <c r="Q31" s="458" t="s">
        <v>326</v>
      </c>
    </row>
    <row r="32" spans="1:17" s="4" customFormat="1" ht="25.5" x14ac:dyDescent="0.25">
      <c r="A32" s="33"/>
      <c r="B32" s="119"/>
      <c r="C32" s="122" t="s">
        <v>28</v>
      </c>
      <c r="D32" s="216" t="str">
        <f>'2_CHAUFFAGE'!C33</f>
        <v>kWh PCI / m²</v>
      </c>
      <c r="E32" s="217" t="str">
        <f>'2_CHAUFFAGE'!D33</f>
        <v>kWh PCI / m²</v>
      </c>
      <c r="F32" s="117" t="s">
        <v>28</v>
      </c>
      <c r="G32" s="239" t="str">
        <f>'2_ELECTRICITE'!C33</f>
        <v>kWh / lgt</v>
      </c>
      <c r="H32" s="240" t="str">
        <f>'2_ELECTRICITE'!D33</f>
        <v>kWh / lgt</v>
      </c>
      <c r="I32" s="117" t="s">
        <v>28</v>
      </c>
      <c r="J32" s="265" t="str">
        <f>'2_EAU'!C33</f>
        <v>litres / lgt</v>
      </c>
      <c r="K32" s="249" t="str">
        <f>'2_EAU'!D33</f>
        <v>litres / lgt</v>
      </c>
      <c r="L32" s="117" t="s">
        <v>28</v>
      </c>
      <c r="M32" s="370" t="str">
        <f>'2_EAU'!H33</f>
        <v>kWh / m²</v>
      </c>
      <c r="N32" s="371" t="str">
        <f>'2_EAU'!I33</f>
        <v>kWh / m²</v>
      </c>
      <c r="O32" s="117" t="s">
        <v>28</v>
      </c>
      <c r="Q32" s="462" t="s">
        <v>327</v>
      </c>
    </row>
    <row r="33" spans="1:15" s="4" customFormat="1" x14ac:dyDescent="0.25">
      <c r="A33" s="51"/>
      <c r="B33" s="120" t="str">
        <f>CONCATENATE("Ratio - ",'0_ENTREE'!B33," - ",$B$5," - ",$B$7)</f>
        <v>Ratio - GC - 274 - T4 - 83m² - 2014 - S23</v>
      </c>
      <c r="C33" s="123" t="e">
        <f>AVERAGE(F33,I33,L33)</f>
        <v>#DIV/0!</v>
      </c>
      <c r="D33" s="225" t="e">
        <f>'2_CHAUFFAGE'!C34</f>
        <v>#DIV/0!</v>
      </c>
      <c r="E33" s="226" t="e">
        <f>'2_CHAUFFAGE'!D34</f>
        <v>#DIV/0!</v>
      </c>
      <c r="F33" s="353" t="e">
        <f t="shared" ref="F33:F45" si="0">(E33-D33)/E33</f>
        <v>#DIV/0!</v>
      </c>
      <c r="G33" s="221">
        <f>'2_ELECTRICITE'!C34</f>
        <v>55</v>
      </c>
      <c r="H33" s="222">
        <f>'2_ELECTRICITE'!D34</f>
        <v>54.399999999999864</v>
      </c>
      <c r="I33" s="118">
        <f t="shared" ref="I33:I45" si="1">(H33-G33)/H33</f>
        <v>-1.1029411764708417E-2</v>
      </c>
      <c r="J33" s="418">
        <f>'2_EAU'!C34</f>
        <v>2400.0000000000055</v>
      </c>
      <c r="K33" s="419">
        <f>'2_EAU'!D34</f>
        <v>1899.9999999999986</v>
      </c>
      <c r="L33" s="118">
        <f t="shared" ref="L33:L45" si="2">(K33-J33)/K33</f>
        <v>-0.26315789473684587</v>
      </c>
      <c r="M33" s="426">
        <f>'2_EAU'!H34</f>
        <v>0.43480589022757732</v>
      </c>
      <c r="N33" s="375">
        <f>'2_EAU'!I34</f>
        <v>0.32610441767068249</v>
      </c>
      <c r="O33" s="118">
        <f t="shared" ref="O33:O45" si="3">(N33-M33)/N33</f>
        <v>-0.33333333333333537</v>
      </c>
    </row>
    <row r="34" spans="1:15" s="4" customFormat="1" x14ac:dyDescent="0.25">
      <c r="A34" s="51"/>
      <c r="B34" s="120" t="str">
        <f>CONCATENATE("Ratio - ",'0_ENTREE'!B34," - ",$B$5," - ",$B$7)</f>
        <v>Ratio - GC - 277 - T2 - 53m² - 2014 - S23</v>
      </c>
      <c r="C34" s="123" t="e">
        <f>AVERAGE(F34,I34,L34)</f>
        <v>#DIV/0!</v>
      </c>
      <c r="D34" s="225" t="e">
        <f>'2_CHAUFFAGE'!C35</f>
        <v>#DIV/0!</v>
      </c>
      <c r="E34" s="226" t="e">
        <f>'2_CHAUFFAGE'!D35</f>
        <v>#DIV/0!</v>
      </c>
      <c r="F34" s="353" t="e">
        <f t="shared" si="0"/>
        <v>#DIV/0!</v>
      </c>
      <c r="G34" s="221">
        <f>'2_ELECTRICITE'!C35</f>
        <v>31.5</v>
      </c>
      <c r="H34" s="222">
        <f>'2_ELECTRICITE'!D35</f>
        <v>40</v>
      </c>
      <c r="I34" s="118">
        <f t="shared" si="1"/>
        <v>0.21249999999999999</v>
      </c>
      <c r="J34" s="418">
        <f>'2_EAU'!C35</f>
        <v>500</v>
      </c>
      <c r="K34" s="419">
        <f>'2_EAU'!D35</f>
        <v>1100.0000000000014</v>
      </c>
      <c r="L34" s="118">
        <f t="shared" si="2"/>
        <v>0.54545454545454597</v>
      </c>
      <c r="M34" s="426">
        <f>'2_EAU'!H35</f>
        <v>0.17023060796645642</v>
      </c>
      <c r="N34" s="375">
        <f>'2_EAU'!I35</f>
        <v>0.34046121593291429</v>
      </c>
      <c r="O34" s="118">
        <f t="shared" si="3"/>
        <v>0.50000000000000211</v>
      </c>
    </row>
    <row r="35" spans="1:15" s="4" customFormat="1" x14ac:dyDescent="0.25">
      <c r="A35" s="51"/>
      <c r="B35" s="120" t="str">
        <f>CONCATENATE("Ratio - ",'0_ENTREE'!B35," - ",$B$5," - ",$B$7)</f>
        <v>Ratio - GC - 281 - T3 - 71m² - 2014 - S23</v>
      </c>
      <c r="C35" s="123" t="e">
        <f t="shared" ref="C35:C45" si="4">AVERAGE(F35,I35,L35)</f>
        <v>#DIV/0!</v>
      </c>
      <c r="D35" s="225" t="e">
        <f>'2_CHAUFFAGE'!C36</f>
        <v>#DIV/0!</v>
      </c>
      <c r="E35" s="226" t="e">
        <f>'2_CHAUFFAGE'!D36</f>
        <v>#DIV/0!</v>
      </c>
      <c r="F35" s="353" t="e">
        <f t="shared" si="0"/>
        <v>#DIV/0!</v>
      </c>
      <c r="G35" s="221">
        <f>'2_ELECTRICITE'!C36</f>
        <v>36.700000000000045</v>
      </c>
      <c r="H35" s="222">
        <f>'2_ELECTRICITE'!D36</f>
        <v>36.200000000000045</v>
      </c>
      <c r="I35" s="118">
        <f t="shared" si="1"/>
        <v>-1.3812154696132579E-2</v>
      </c>
      <c r="J35" s="418">
        <f>'2_EAU'!C36</f>
        <v>2000</v>
      </c>
      <c r="K35" s="419">
        <f>'2_EAU'!D36</f>
        <v>2800.0000000000041</v>
      </c>
      <c r="L35" s="118">
        <f t="shared" si="2"/>
        <v>0.28571428571428675</v>
      </c>
      <c r="M35" s="426">
        <f>'2_EAU'!H36</f>
        <v>0.63536776212832546</v>
      </c>
      <c r="N35" s="375">
        <f>'2_EAU'!I36</f>
        <v>1.0801251956181528</v>
      </c>
      <c r="O35" s="118">
        <f t="shared" si="3"/>
        <v>0.41176470588235264</v>
      </c>
    </row>
    <row r="36" spans="1:15" s="4" customFormat="1" x14ac:dyDescent="0.25">
      <c r="A36" s="51"/>
      <c r="B36" s="120" t="str">
        <f>CONCATENATE("Ratio - ",'0_ENTREE'!B36," - ",$B$5," - ",$B$7)</f>
        <v>Ratio - GC - 283 - T3 - 70m² - 2014 - S23</v>
      </c>
      <c r="C36" s="123" t="e">
        <f t="shared" si="4"/>
        <v>#DIV/0!</v>
      </c>
      <c r="D36" s="225" t="e">
        <f>'2_CHAUFFAGE'!C37</f>
        <v>#DIV/0!</v>
      </c>
      <c r="E36" s="226" t="e">
        <f>'2_CHAUFFAGE'!D37</f>
        <v>#DIV/0!</v>
      </c>
      <c r="F36" s="353" t="e">
        <f t="shared" si="0"/>
        <v>#DIV/0!</v>
      </c>
      <c r="G36" s="221">
        <f>'2_ELECTRICITE'!C37</f>
        <v>28</v>
      </c>
      <c r="H36" s="222">
        <f>'2_ELECTRICITE'!D37</f>
        <v>27.200000000000045</v>
      </c>
      <c r="I36" s="118">
        <f t="shared" si="1"/>
        <v>-2.9411764705880632E-2</v>
      </c>
      <c r="J36" s="418">
        <f>'2_EAU'!C37</f>
        <v>1199.9999999999993</v>
      </c>
      <c r="K36" s="419">
        <f>'2_EAU'!D37</f>
        <v>1000</v>
      </c>
      <c r="L36" s="118">
        <f t="shared" si="2"/>
        <v>-0.19999999999999932</v>
      </c>
      <c r="M36" s="426">
        <f>'2_EAU'!H37</f>
        <v>0.128888888888889</v>
      </c>
      <c r="N36" s="375">
        <f>'2_EAU'!I37</f>
        <v>0.19333333333333322</v>
      </c>
      <c r="O36" s="118">
        <f t="shared" si="3"/>
        <v>0.33333333333333237</v>
      </c>
    </row>
    <row r="37" spans="1:15" s="4" customFormat="1" x14ac:dyDescent="0.25">
      <c r="A37" s="51"/>
      <c r="B37" s="120" t="str">
        <f>CONCATENATE("Ratio - ",'0_ENTREE'!B37," - ",$B$5," - ",$B$7)</f>
        <v>Ratio - GC - 285 - T3 - 64m² - 2014 - S23</v>
      </c>
      <c r="C37" s="123" t="e">
        <f t="shared" si="4"/>
        <v>#DIV/0!</v>
      </c>
      <c r="D37" s="225" t="e">
        <f>'2_CHAUFFAGE'!C38</f>
        <v>#DIV/0!</v>
      </c>
      <c r="E37" s="226" t="e">
        <f>'2_CHAUFFAGE'!D38</f>
        <v>#DIV/0!</v>
      </c>
      <c r="F37" s="353" t="e">
        <f t="shared" si="0"/>
        <v>#DIV/0!</v>
      </c>
      <c r="G37" s="221">
        <f>'2_ELECTRICITE'!C38</f>
        <v>37</v>
      </c>
      <c r="H37" s="222">
        <f>'2_ELECTRICITE'!D38</f>
        <v>39</v>
      </c>
      <c r="I37" s="118">
        <f t="shared" si="1"/>
        <v>5.128205128205128E-2</v>
      </c>
      <c r="J37" s="418">
        <f>'2_EAU'!C38</f>
        <v>1600.0000000000014</v>
      </c>
      <c r="K37" s="419">
        <f>'2_EAU'!D38</f>
        <v>1299.9999999999973</v>
      </c>
      <c r="L37" s="118">
        <f t="shared" si="2"/>
        <v>-0.23076923076923439</v>
      </c>
      <c r="M37" s="426">
        <f>'2_EAU'!H38</f>
        <v>-0.35243055555555552</v>
      </c>
      <c r="N37" s="375">
        <f>'2_EAU'!I38</f>
        <v>-0.21145833336615596</v>
      </c>
      <c r="O37" s="118">
        <f t="shared" si="3"/>
        <v>-0.66666666640796601</v>
      </c>
    </row>
    <row r="38" spans="1:15" s="4" customFormat="1" x14ac:dyDescent="0.25">
      <c r="A38" s="51"/>
      <c r="B38" s="120" t="str">
        <f>CONCATENATE("Ratio - ",'0_ENTREE'!B38," - ",$B$5," - ",$B$7)</f>
        <v>Ratio - GC - 286 - T3 - 68m² - 2014 - S23</v>
      </c>
      <c r="C38" s="123" t="e">
        <f t="shared" si="4"/>
        <v>#DIV/0!</v>
      </c>
      <c r="D38" s="225" t="e">
        <f>'2_CHAUFFAGE'!C39</f>
        <v>#DIV/0!</v>
      </c>
      <c r="E38" s="226" t="e">
        <f>'2_CHAUFFAGE'!D39</f>
        <v>#DIV/0!</v>
      </c>
      <c r="F38" s="353" t="e">
        <f t="shared" si="0"/>
        <v>#DIV/0!</v>
      </c>
      <c r="G38" s="221">
        <f>'2_ELECTRICITE'!C39</f>
        <v>20.600000000000023</v>
      </c>
      <c r="H38" s="222">
        <f>'2_ELECTRICITE'!D39</f>
        <v>23.799999999999955</v>
      </c>
      <c r="I38" s="118">
        <f t="shared" si="1"/>
        <v>0.13445378151260243</v>
      </c>
      <c r="J38" s="418">
        <f>'2_EAU'!C39</f>
        <v>3500</v>
      </c>
      <c r="K38" s="419">
        <f>'2_EAU'!D39</f>
        <v>3100.0000000000014</v>
      </c>
      <c r="L38" s="118">
        <f t="shared" si="2"/>
        <v>-0.12903225806451563</v>
      </c>
      <c r="M38" s="426">
        <f>'2_EAU'!H39</f>
        <v>0.92875816993464178</v>
      </c>
      <c r="N38" s="375">
        <f>'2_EAU'!I39</f>
        <v>0.86241830065359526</v>
      </c>
      <c r="O38" s="118">
        <f t="shared" si="3"/>
        <v>-7.692307692307776E-2</v>
      </c>
    </row>
    <row r="39" spans="1:15" s="4" customFormat="1" x14ac:dyDescent="0.25">
      <c r="A39" s="51"/>
      <c r="B39" s="120" t="str">
        <f>CONCATENATE("Ratio - ",'0_ENTREE'!B39," - ",$B$5," - ",$B$7)</f>
        <v>Ratio - GC - 289 - T3 - 76m² - 2014 - S23</v>
      </c>
      <c r="C39" s="123" t="e">
        <f t="shared" si="4"/>
        <v>#DIV/0!</v>
      </c>
      <c r="D39" s="225" t="e">
        <f>'2_CHAUFFAGE'!C40</f>
        <v>#DIV/0!</v>
      </c>
      <c r="E39" s="226" t="e">
        <f>'2_CHAUFFAGE'!D40</f>
        <v>#DIV/0!</v>
      </c>
      <c r="F39" s="353" t="e">
        <f t="shared" si="0"/>
        <v>#DIV/0!</v>
      </c>
      <c r="G39" s="221">
        <f>'2_ELECTRICITE'!C40</f>
        <v>25.399999999999977</v>
      </c>
      <c r="H39" s="222">
        <f>'2_ELECTRICITE'!D40</f>
        <v>23.799999999999955</v>
      </c>
      <c r="I39" s="118">
        <f t="shared" si="1"/>
        <v>-6.7226890756303601E-2</v>
      </c>
      <c r="J39" s="418">
        <f>'2_EAU'!C40</f>
        <v>500</v>
      </c>
      <c r="K39" s="419">
        <f>'2_EAU'!D40</f>
        <v>500</v>
      </c>
      <c r="L39" s="118">
        <f t="shared" si="2"/>
        <v>0</v>
      </c>
      <c r="M39" s="426">
        <f>'2_EAU'!H40</f>
        <v>5.9356725146199142E-2</v>
      </c>
      <c r="N39" s="375">
        <f>'2_EAU'!I40</f>
        <v>0.11871345029239724</v>
      </c>
      <c r="O39" s="118">
        <f t="shared" si="3"/>
        <v>0.49999999999999561</v>
      </c>
    </row>
    <row r="40" spans="1:15" s="4" customFormat="1" x14ac:dyDescent="0.25">
      <c r="A40" s="51"/>
      <c r="B40" s="120" t="str">
        <f>CONCATENATE("Ratio - ",'0_ENTREE'!B40," - ",$B$5," - ",$B$7)</f>
        <v>Ratio - GC - 303 - T4 - 81m² - 2014 - S23</v>
      </c>
      <c r="C40" s="123" t="e">
        <f t="shared" si="4"/>
        <v>#DIV/0!</v>
      </c>
      <c r="D40" s="225" t="e">
        <f>'2_CHAUFFAGE'!C41</f>
        <v>#DIV/0!</v>
      </c>
      <c r="E40" s="226" t="e">
        <f>'2_CHAUFFAGE'!D41</f>
        <v>#DIV/0!</v>
      </c>
      <c r="F40" s="353" t="e">
        <f t="shared" si="0"/>
        <v>#DIV/0!</v>
      </c>
      <c r="G40" s="221">
        <f>'2_ELECTRICITE'!C41</f>
        <v>73.299999999999955</v>
      </c>
      <c r="H40" s="222">
        <f>'2_ELECTRICITE'!D41</f>
        <v>93</v>
      </c>
      <c r="I40" s="118">
        <f t="shared" si="1"/>
        <v>0.21182795698924781</v>
      </c>
      <c r="J40" s="418">
        <f>'2_EAU'!C41</f>
        <v>2100.0000000000014</v>
      </c>
      <c r="K40" s="419">
        <f>'2_EAU'!D41</f>
        <v>2799.9999999999973</v>
      </c>
      <c r="L40" s="118">
        <f t="shared" si="2"/>
        <v>0.24999999999999878</v>
      </c>
      <c r="M40" s="426">
        <f>'2_EAU'!H41</f>
        <v>0.22277091906721555</v>
      </c>
      <c r="N40" s="375">
        <f>'2_EAU'!I41</f>
        <v>0.33415637860082281</v>
      </c>
      <c r="O40" s="118">
        <f t="shared" si="3"/>
        <v>0.33333333333333232</v>
      </c>
    </row>
    <row r="41" spans="1:15" s="4" customFormat="1" x14ac:dyDescent="0.25">
      <c r="A41" s="51"/>
      <c r="B41" s="120" t="str">
        <f>CONCATENATE("Ratio - ",'0_ENTREE'!B41," - ",$B$5," - ",$B$7)</f>
        <v>Ratio - GC - 304 - T3 - 66m² - 2014 - S23</v>
      </c>
      <c r="C41" s="123" t="e">
        <f t="shared" si="4"/>
        <v>#DIV/0!</v>
      </c>
      <c r="D41" s="225" t="e">
        <f>'2_CHAUFFAGE'!C42</f>
        <v>#DIV/0!</v>
      </c>
      <c r="E41" s="226" t="e">
        <f>'2_CHAUFFAGE'!D42</f>
        <v>#DIV/0!</v>
      </c>
      <c r="F41" s="353" t="e">
        <f t="shared" si="0"/>
        <v>#DIV/0!</v>
      </c>
      <c r="G41" s="221">
        <f>'2_ELECTRICITE'!C42</f>
        <v>23.5</v>
      </c>
      <c r="H41" s="222">
        <f>'2_ELECTRICITE'!D42</f>
        <v>21.400000000000091</v>
      </c>
      <c r="I41" s="118">
        <f t="shared" si="1"/>
        <v>-9.8130841121490661E-2</v>
      </c>
      <c r="J41" s="418">
        <f>'2_EAU'!C42</f>
        <v>1799.9999999999973</v>
      </c>
      <c r="K41" s="419">
        <f>'2_EAU'!D42</f>
        <v>1899.9999999999986</v>
      </c>
      <c r="L41" s="118">
        <f t="shared" si="2"/>
        <v>5.2631578947369174E-2</v>
      </c>
      <c r="M41" s="426">
        <f>'2_EAU'!H42</f>
        <v>0.47845117845118035</v>
      </c>
      <c r="N41" s="375">
        <f>'2_EAU'!I42</f>
        <v>0.61515151515151412</v>
      </c>
      <c r="O41" s="118">
        <f t="shared" si="3"/>
        <v>0.22222222222221782</v>
      </c>
    </row>
    <row r="42" spans="1:15" s="4" customFormat="1" x14ac:dyDescent="0.25">
      <c r="A42" s="51"/>
      <c r="B42" s="120" t="str">
        <f>CONCATENATE("Ratio - ",'0_ENTREE'!B42," - ",$B$5," - ",$B$7)</f>
        <v>Ratio - GC - 306 - T3 - 66m² - 2014 - S23</v>
      </c>
      <c r="C42" s="123" t="e">
        <f t="shared" si="4"/>
        <v>#DIV/0!</v>
      </c>
      <c r="D42" s="225" t="e">
        <f>'2_CHAUFFAGE'!C43</f>
        <v>#DIV/0!</v>
      </c>
      <c r="E42" s="226" t="e">
        <f>'2_CHAUFFAGE'!D43</f>
        <v>#DIV/0!</v>
      </c>
      <c r="F42" s="353" t="e">
        <f t="shared" si="0"/>
        <v>#DIV/0!</v>
      </c>
      <c r="G42" s="221">
        <f>'2_ELECTRICITE'!C43</f>
        <v>20.200000000000045</v>
      </c>
      <c r="H42" s="222">
        <f>'2_ELECTRICITE'!D43</f>
        <v>19.5</v>
      </c>
      <c r="I42" s="118">
        <f t="shared" si="1"/>
        <v>-3.5897435897438226E-2</v>
      </c>
      <c r="J42" s="418">
        <f>'2_EAU'!C43</f>
        <v>1600.0000000000014</v>
      </c>
      <c r="K42" s="419">
        <f>'2_EAU'!D43</f>
        <v>1100.0000000000014</v>
      </c>
      <c r="L42" s="118">
        <f t="shared" si="2"/>
        <v>-0.45454545454545398</v>
      </c>
      <c r="M42" s="426">
        <f>'2_EAU'!H43</f>
        <v>0.20505050505050551</v>
      </c>
      <c r="N42" s="375">
        <f>'2_EAU'!I43</f>
        <v>0.27340067340067359</v>
      </c>
      <c r="O42" s="118">
        <f t="shared" si="3"/>
        <v>0.24999999999999883</v>
      </c>
    </row>
    <row r="43" spans="1:15" s="4" customFormat="1" x14ac:dyDescent="0.25">
      <c r="A43" s="51"/>
      <c r="B43" s="504" t="str">
        <f>CONCATENATE("Ratio - ",'0_ENTREE'!B43," - ",$B$5," - ",$B$7)</f>
        <v>Ratio - GC - 307 - T3 - 66m² - 2014 - S23</v>
      </c>
      <c r="C43" s="123" t="e">
        <f t="shared" si="4"/>
        <v>#DIV/0!</v>
      </c>
      <c r="D43" s="225" t="e">
        <f>'2_CHAUFFAGE'!C44</f>
        <v>#DIV/0!</v>
      </c>
      <c r="E43" s="226" t="e">
        <f>'2_CHAUFFAGE'!D44</f>
        <v>#DIV/0!</v>
      </c>
      <c r="F43" s="353" t="e">
        <f t="shared" si="0"/>
        <v>#DIV/0!</v>
      </c>
      <c r="G43" s="221">
        <f>'2_ELECTRICITE'!C44</f>
        <v>45.900000000000091</v>
      </c>
      <c r="H43" s="222">
        <f>'2_ELECTRICITE'!D44</f>
        <v>56.900000000000091</v>
      </c>
      <c r="I43" s="118">
        <f t="shared" si="1"/>
        <v>0.19332161687170443</v>
      </c>
      <c r="J43" s="418">
        <f>'2_EAU'!C44</f>
        <v>3400.0000000000055</v>
      </c>
      <c r="K43" s="419">
        <f>'2_EAU'!D44</f>
        <v>3099.9999999999945</v>
      </c>
      <c r="L43" s="118">
        <f t="shared" si="2"/>
        <v>-9.6774193548390786E-2</v>
      </c>
      <c r="M43" s="426">
        <f>'2_EAU'!H44</f>
        <v>0</v>
      </c>
      <c r="N43" s="375">
        <f>'2_EAU'!I44</f>
        <v>0</v>
      </c>
      <c r="O43" s="118" t="e">
        <f t="shared" si="3"/>
        <v>#DIV/0!</v>
      </c>
    </row>
    <row r="44" spans="1:15" s="4" customFormat="1" x14ac:dyDescent="0.25">
      <c r="A44" s="51"/>
      <c r="B44" s="120" t="str">
        <f>CONCATENATE("Ratio - ",'0_ENTREE'!B44," - ",$B$5," - ",$B$7)</f>
        <v>Ratio - GC - 308 - T3 - 66m² - 2014 - S23</v>
      </c>
      <c r="C44" s="123" t="e">
        <f t="shared" si="4"/>
        <v>#DIV/0!</v>
      </c>
      <c r="D44" s="225" t="e">
        <f>'2_CHAUFFAGE'!C45</f>
        <v>#DIV/0!</v>
      </c>
      <c r="E44" s="226" t="e">
        <f>'2_CHAUFFAGE'!D45</f>
        <v>#DIV/0!</v>
      </c>
      <c r="F44" s="353" t="e">
        <f t="shared" si="0"/>
        <v>#DIV/0!</v>
      </c>
      <c r="G44" s="221">
        <f>'2_ELECTRICITE'!C45</f>
        <v>22.199999999999818</v>
      </c>
      <c r="H44" s="222">
        <f>'2_ELECTRICITE'!D45</f>
        <v>25.100000000000136</v>
      </c>
      <c r="I44" s="118">
        <f t="shared" si="1"/>
        <v>0.11553784860558974</v>
      </c>
      <c r="J44" s="418">
        <f>'2_EAU'!C45</f>
        <v>1500</v>
      </c>
      <c r="K44" s="419">
        <f>'2_EAU'!D45</f>
        <v>2699.9999999999991</v>
      </c>
      <c r="L44" s="118">
        <f t="shared" si="2"/>
        <v>0.44444444444444425</v>
      </c>
      <c r="M44" s="426">
        <f>'2_EAU'!H45</f>
        <v>0.34175084175084169</v>
      </c>
      <c r="N44" s="375">
        <f>'2_EAU'!I45</f>
        <v>0.68350168350168339</v>
      </c>
      <c r="O44" s="118">
        <f t="shared" si="3"/>
        <v>0.5</v>
      </c>
    </row>
    <row r="45" spans="1:15" s="4" customFormat="1" x14ac:dyDescent="0.25">
      <c r="A45" s="51"/>
      <c r="B45" s="120" t="str">
        <f>CONCATENATE("Ratio - ",'0_ENTREE'!B45," - ",$B$5," - ",$B$7)</f>
        <v>Ratio - GC - 314 - T4 - 75m² - 2014 - S23</v>
      </c>
      <c r="C45" s="123" t="e">
        <f t="shared" si="4"/>
        <v>#DIV/0!</v>
      </c>
      <c r="D45" s="225" t="e">
        <f>'2_CHAUFFAGE'!C46</f>
        <v>#DIV/0!</v>
      </c>
      <c r="E45" s="226" t="e">
        <f>'2_CHAUFFAGE'!D46</f>
        <v>#DIV/0!</v>
      </c>
      <c r="F45" s="353" t="e">
        <f t="shared" si="0"/>
        <v>#DIV/0!</v>
      </c>
      <c r="G45" s="221">
        <f>'2_ELECTRICITE'!C46</f>
        <v>113.20000000000027</v>
      </c>
      <c r="H45" s="222">
        <f>'2_ELECTRICITE'!D46</f>
        <v>120.29999999999973</v>
      </c>
      <c r="I45" s="118">
        <f t="shared" si="1"/>
        <v>5.9019118869488532E-2</v>
      </c>
      <c r="J45" s="418">
        <f>'2_EAU'!C46</f>
        <v>4400.0000000000055</v>
      </c>
      <c r="K45" s="419">
        <f>'2_EAU'!D46</f>
        <v>4899.9999999999918</v>
      </c>
      <c r="L45" s="118">
        <f t="shared" si="2"/>
        <v>0.10204081632652799</v>
      </c>
      <c r="M45" s="427">
        <f>'2_EAU'!H46</f>
        <v>1.3232592592592609</v>
      </c>
      <c r="N45" s="373">
        <f>'2_EAU'!I46</f>
        <v>1.5638518518518527</v>
      </c>
      <c r="O45" s="118">
        <f t="shared" si="3"/>
        <v>0.15384615384615324</v>
      </c>
    </row>
    <row r="46" spans="1:15" s="276" customFormat="1" ht="13.5" thickBot="1" x14ac:dyDescent="0.3">
      <c r="B46" s="124" t="str">
        <f>CONCATENATE("Ratio - ",'0_ENTREE'!B46," - ",$B$5," - ",$B$7)</f>
        <v>Ratio - MOYENNE GC - 2014 - S23</v>
      </c>
      <c r="C46" s="274" t="e">
        <f>AVERAGE(C33:C45)</f>
        <v>#DIV/0!</v>
      </c>
      <c r="D46" s="227" t="e">
        <f>AVERAGE(D33:D45)</f>
        <v>#DIV/0!</v>
      </c>
      <c r="E46" s="228" t="e">
        <f t="shared" ref="E46:L46" si="5">AVERAGE(E33:E45)</f>
        <v>#DIV/0!</v>
      </c>
      <c r="F46" s="354" t="e">
        <f t="shared" si="5"/>
        <v>#DIV/0!</v>
      </c>
      <c r="G46" s="233">
        <f t="shared" si="5"/>
        <v>40.961538461538481</v>
      </c>
      <c r="H46" s="234">
        <f t="shared" si="5"/>
        <v>44.661538461538456</v>
      </c>
      <c r="I46" s="275">
        <f t="shared" si="5"/>
        <v>5.5571836552979245E-2</v>
      </c>
      <c r="J46" s="420">
        <f t="shared" si="5"/>
        <v>2038.4615384615395</v>
      </c>
      <c r="K46" s="421">
        <f t="shared" si="5"/>
        <v>2169.2307692307681</v>
      </c>
      <c r="L46" s="275">
        <f t="shared" si="5"/>
        <v>2.3538972247902541E-2</v>
      </c>
      <c r="M46" s="372">
        <f>'2_EAU'!H47</f>
        <v>0.35202001479350287</v>
      </c>
      <c r="N46" s="372">
        <f>'2_EAU'!I47</f>
        <v>0.47536612943395889</v>
      </c>
      <c r="O46" s="275" t="e">
        <f t="shared" ref="O46" si="6">AVERAGE(O33:O45)</f>
        <v>#DIV/0!</v>
      </c>
    </row>
    <row r="47" spans="1:15" x14ac:dyDescent="0.25">
      <c r="B47" s="120" t="str">
        <f>CONCATENATE("Ratio - ",'0_ENTREE'!B47," - ",$B$5," - ",$B$7)</f>
        <v>Ratio - GE2.1 - 275 - T3 - 74m² - 2014 - S23</v>
      </c>
      <c r="C47" s="123" t="e">
        <f t="shared" ref="C47:C59" si="7">AVERAGE(F47,I47,L47)</f>
        <v>#DIV/0!</v>
      </c>
      <c r="D47" s="225" t="e">
        <f>'2_CHAUFFAGE'!C48</f>
        <v>#DIV/0!</v>
      </c>
      <c r="E47" s="226" t="e">
        <f>'2_CHAUFFAGE'!D48</f>
        <v>#DIV/0!</v>
      </c>
      <c r="F47" s="353" t="e">
        <f t="shared" ref="F47:F59" si="8">(E47-D47)/E47</f>
        <v>#DIV/0!</v>
      </c>
      <c r="G47" s="221">
        <f>'2_ELECTRICITE'!C48</f>
        <v>55</v>
      </c>
      <c r="H47" s="222">
        <f>'2_ELECTRICITE'!D48</f>
        <v>59.100000000000136</v>
      </c>
      <c r="I47" s="118">
        <f t="shared" ref="I47:I59" si="9">(H47-G47)/H47</f>
        <v>6.9373942470391317E-2</v>
      </c>
      <c r="J47" s="418">
        <f>'2_EAU'!C48</f>
        <v>2300.0000000000041</v>
      </c>
      <c r="K47" s="419">
        <f>'2_EAU'!D48</f>
        <v>2699.9999999999959</v>
      </c>
      <c r="L47" s="118">
        <f t="shared" ref="L47:L59" si="10">(K47-J47)/K47</f>
        <v>0.14814814814814534</v>
      </c>
      <c r="M47" s="426">
        <f>'2_EAU'!H48</f>
        <v>0.60960960960960953</v>
      </c>
      <c r="N47" s="375">
        <f>'2_EAU'!I48</f>
        <v>0.91441441441441429</v>
      </c>
      <c r="O47" s="118">
        <f t="shared" ref="O47:O59" si="11">(N47-M47)/N47</f>
        <v>0.33333333333333331</v>
      </c>
    </row>
    <row r="48" spans="1:15" x14ac:dyDescent="0.25">
      <c r="B48" s="120" t="str">
        <f>CONCATENATE("Ratio - ",'0_ENTREE'!B48," - ",$B$5," - ",$B$7)</f>
        <v>Ratio - GE2.1 - 278 - T2 - 57m² - 2014 - S23</v>
      </c>
      <c r="C48" s="123" t="e">
        <f t="shared" si="7"/>
        <v>#DIV/0!</v>
      </c>
      <c r="D48" s="225" t="e">
        <f>'2_CHAUFFAGE'!C49</f>
        <v>#DIV/0!</v>
      </c>
      <c r="E48" s="226" t="e">
        <f>'2_CHAUFFAGE'!D49</f>
        <v>#DIV/0!</v>
      </c>
      <c r="F48" s="353" t="e">
        <f t="shared" si="8"/>
        <v>#DIV/0!</v>
      </c>
      <c r="G48" s="221">
        <f>'2_ELECTRICITE'!C49</f>
        <v>3</v>
      </c>
      <c r="H48" s="222">
        <f>'2_ELECTRICITE'!D49</f>
        <v>3.8999999999999773</v>
      </c>
      <c r="I48" s="118">
        <f t="shared" si="9"/>
        <v>0.23076923076922629</v>
      </c>
      <c r="J48" s="418">
        <f>'2_EAU'!C49</f>
        <v>400.00000000000034</v>
      </c>
      <c r="K48" s="419">
        <f>'2_EAU'!D49</f>
        <v>300.00000000000068</v>
      </c>
      <c r="L48" s="118">
        <f t="shared" si="10"/>
        <v>-0.33333333333333143</v>
      </c>
      <c r="M48" s="426">
        <f>'2_EAU'!H49</f>
        <v>7.9142300194931833E-2</v>
      </c>
      <c r="N48" s="375">
        <f>'2_EAU'!I49</f>
        <v>7.9142300194931833E-2</v>
      </c>
      <c r="O48" s="118">
        <f t="shared" si="11"/>
        <v>0</v>
      </c>
    </row>
    <row r="49" spans="2:19" x14ac:dyDescent="0.25">
      <c r="B49" s="120" t="str">
        <f>CONCATENATE("Ratio - ",'0_ENTREE'!B49," - ",$B$5," - ",$B$7)</f>
        <v>Ratio - GE2.1 - 280 - T3 - 66m² - 2014 - S23</v>
      </c>
      <c r="C49" s="123" t="e">
        <f t="shared" si="7"/>
        <v>#DIV/0!</v>
      </c>
      <c r="D49" s="225" t="e">
        <f>'2_CHAUFFAGE'!C50</f>
        <v>#DIV/0!</v>
      </c>
      <c r="E49" s="226" t="e">
        <f>'2_CHAUFFAGE'!D50</f>
        <v>#DIV/0!</v>
      </c>
      <c r="F49" s="353" t="e">
        <f t="shared" si="8"/>
        <v>#DIV/0!</v>
      </c>
      <c r="G49" s="221">
        <f>'2_ELECTRICITE'!C50</f>
        <v>0.39999999999999991</v>
      </c>
      <c r="H49" s="222">
        <f>'2_ELECTRICITE'!D50</f>
        <v>0.10000000000000009</v>
      </c>
      <c r="I49" s="118">
        <f t="shared" si="9"/>
        <v>-2.9999999999999956</v>
      </c>
      <c r="J49" s="418">
        <f>'2_EAU'!C50</f>
        <v>300.00000000000006</v>
      </c>
      <c r="K49" s="419">
        <f>'2_EAU'!D50</f>
        <v>0</v>
      </c>
      <c r="L49" s="118" t="e">
        <f t="shared" si="10"/>
        <v>#DIV/0!</v>
      </c>
      <c r="M49" s="426">
        <f>'2_EAU'!H50</f>
        <v>6.8350168350168369E-2</v>
      </c>
      <c r="N49" s="375">
        <f>'2_EAU'!I50</f>
        <v>0</v>
      </c>
      <c r="O49" s="118" t="e">
        <f t="shared" si="11"/>
        <v>#DIV/0!</v>
      </c>
    </row>
    <row r="50" spans="2:19" x14ac:dyDescent="0.25">
      <c r="B50" s="120" t="str">
        <f>CONCATENATE("Ratio - ",'0_ENTREE'!B50," - ",$B$5," - ",$B$7)</f>
        <v>Ratio - GE2.1 - 282 - T4 - 78m² - 2014 - S23</v>
      </c>
      <c r="C50" s="123" t="e">
        <f t="shared" si="7"/>
        <v>#DIV/0!</v>
      </c>
      <c r="D50" s="225" t="e">
        <f>'2_CHAUFFAGE'!C51</f>
        <v>#DIV/0!</v>
      </c>
      <c r="E50" s="226" t="e">
        <f>'2_CHAUFFAGE'!D51</f>
        <v>#DIV/0!</v>
      </c>
      <c r="F50" s="353" t="e">
        <f t="shared" si="8"/>
        <v>#DIV/0!</v>
      </c>
      <c r="G50" s="221">
        <f>'2_ELECTRICITE'!C51</f>
        <v>29.299999999999955</v>
      </c>
      <c r="H50" s="222">
        <f>'2_ELECTRICITE'!D51</f>
        <v>25.899999999999977</v>
      </c>
      <c r="I50" s="118">
        <f t="shared" si="9"/>
        <v>-0.13127413127413051</v>
      </c>
      <c r="J50" s="418">
        <f>'2_EAU'!C51</f>
        <v>699.99999999999932</v>
      </c>
      <c r="K50" s="419">
        <f>'2_EAU'!D51</f>
        <v>599.99999999999966</v>
      </c>
      <c r="L50" s="118">
        <f t="shared" si="10"/>
        <v>-0.16666666666666619</v>
      </c>
      <c r="M50" s="426">
        <f>'2_EAU'!H51</f>
        <v>0.17350427350427339</v>
      </c>
      <c r="N50" s="375">
        <f>'2_EAU'!I51</f>
        <v>0.17350427350427389</v>
      </c>
      <c r="O50" s="118">
        <f t="shared" si="11"/>
        <v>2.8794700614046483E-15</v>
      </c>
    </row>
    <row r="51" spans="2:19" s="151" customFormat="1" x14ac:dyDescent="0.25">
      <c r="B51" s="152" t="str">
        <f>CONCATENATE("Ratio - ",'0_ENTREE'!B51," - ",$B$5," - ",$B$7)</f>
        <v>Ratio - GE2.1 - 292 - T3 - 63m² - 2014 - S23</v>
      </c>
      <c r="C51" s="153" t="e">
        <f t="shared" si="7"/>
        <v>#DIV/0!</v>
      </c>
      <c r="D51" s="229" t="e">
        <f>'2_CHAUFFAGE'!C52</f>
        <v>#DIV/0!</v>
      </c>
      <c r="E51" s="230" t="e">
        <f>'2_CHAUFFAGE'!D52</f>
        <v>#DIV/0!</v>
      </c>
      <c r="F51" s="355" t="e">
        <f t="shared" si="8"/>
        <v>#DIV/0!</v>
      </c>
      <c r="G51" s="219">
        <f>'2_ELECTRICITE'!C52</f>
        <v>35.5</v>
      </c>
      <c r="H51" s="220">
        <f>'2_ELECTRICITE'!D52</f>
        <v>34.199999999999932</v>
      </c>
      <c r="I51" s="154">
        <f t="shared" si="9"/>
        <v>-3.8011695906434821E-2</v>
      </c>
      <c r="J51" s="422">
        <f>'2_EAU'!C52</f>
        <v>1000</v>
      </c>
      <c r="K51" s="423">
        <f>'2_EAU'!D52</f>
        <v>899.99999999999864</v>
      </c>
      <c r="L51" s="154">
        <f t="shared" si="10"/>
        <v>-0.1111111111111128</v>
      </c>
      <c r="M51" s="426">
        <f>'2_EAU'!H52</f>
        <v>0.28641975308641998</v>
      </c>
      <c r="N51" s="375">
        <f>'2_EAU'!I52</f>
        <v>0.28641975308641998</v>
      </c>
      <c r="O51" s="154">
        <f t="shared" si="11"/>
        <v>0</v>
      </c>
    </row>
    <row r="52" spans="2:19" s="151" customFormat="1" x14ac:dyDescent="0.25">
      <c r="B52" s="152" t="str">
        <f>CONCATENATE("Ratio - ",'0_ENTREE'!B52," - ",$B$5," - ",$B$7)</f>
        <v>Ratio - GE2.1 - 293 - T3 - 63m² - 2014 - S23</v>
      </c>
      <c r="C52" s="153" t="e">
        <f t="shared" si="7"/>
        <v>#DIV/0!</v>
      </c>
      <c r="D52" s="229" t="e">
        <f>'2_CHAUFFAGE'!C53</f>
        <v>#DIV/0!</v>
      </c>
      <c r="E52" s="230" t="e">
        <f>'2_CHAUFFAGE'!D53</f>
        <v>#DIV/0!</v>
      </c>
      <c r="F52" s="355" t="e">
        <f t="shared" si="8"/>
        <v>#DIV/0!</v>
      </c>
      <c r="G52" s="219">
        <f>'2_ELECTRICITE'!C53</f>
        <v>25.699999999999989</v>
      </c>
      <c r="H52" s="220">
        <f>'2_ELECTRICITE'!D53</f>
        <v>33.899999999999977</v>
      </c>
      <c r="I52" s="154">
        <f t="shared" si="9"/>
        <v>0.24188790560471959</v>
      </c>
      <c r="J52" s="422">
        <f>'2_EAU'!C53</f>
        <v>2699.9999999999959</v>
      </c>
      <c r="K52" s="423">
        <f>'2_EAU'!D53</f>
        <v>3100.0000000000014</v>
      </c>
      <c r="L52" s="154">
        <f t="shared" si="10"/>
        <v>0.12903225806451785</v>
      </c>
      <c r="M52" s="426">
        <f>'2_EAU'!H53</f>
        <v>0.57283950617283996</v>
      </c>
      <c r="N52" s="375">
        <f>'2_EAU'!I53</f>
        <v>0.93086419753086469</v>
      </c>
      <c r="O52" s="154">
        <f t="shared" si="11"/>
        <v>0.38461538461538447</v>
      </c>
    </row>
    <row r="53" spans="2:19" s="151" customFormat="1" x14ac:dyDescent="0.25">
      <c r="B53" s="152" t="str">
        <f>CONCATENATE("Ratio - ",'0_ENTREE'!B53," - ",$B$5," - ",$B$7)</f>
        <v>Ratio - GE2.1 - 295 - T3 - 63m² - 2014 - S23</v>
      </c>
      <c r="C53" s="153" t="e">
        <f t="shared" si="7"/>
        <v>#DIV/0!</v>
      </c>
      <c r="D53" s="229" t="e">
        <f>'2_CHAUFFAGE'!C54</f>
        <v>#DIV/0!</v>
      </c>
      <c r="E53" s="230" t="e">
        <f>'2_CHAUFFAGE'!D54</f>
        <v>#DIV/0!</v>
      </c>
      <c r="F53" s="355" t="e">
        <f t="shared" si="8"/>
        <v>#DIV/0!</v>
      </c>
      <c r="G53" s="219">
        <f>'2_ELECTRICITE'!C54</f>
        <v>48.599999999999909</v>
      </c>
      <c r="H53" s="220">
        <f>'2_ELECTRICITE'!D54</f>
        <v>49.299999999999955</v>
      </c>
      <c r="I53" s="154">
        <f t="shared" si="9"/>
        <v>1.4198782961461381E-2</v>
      </c>
      <c r="J53" s="422">
        <f>'2_EAU'!C54</f>
        <v>4100.0000000000082</v>
      </c>
      <c r="K53" s="423">
        <f>'2_EAU'!D54</f>
        <v>3700.0000000000027</v>
      </c>
      <c r="L53" s="154">
        <f t="shared" si="10"/>
        <v>-0.1081081081081095</v>
      </c>
      <c r="M53" s="426">
        <f>'2_EAU'!H54</f>
        <v>1.1456790123456799</v>
      </c>
      <c r="N53" s="375">
        <f>'2_EAU'!I54</f>
        <v>1.145679012345675</v>
      </c>
      <c r="O53" s="154">
        <f t="shared" si="11"/>
        <v>-4.2638306678492153E-15</v>
      </c>
    </row>
    <row r="54" spans="2:19" s="151" customFormat="1" x14ac:dyDescent="0.25">
      <c r="B54" s="152" t="str">
        <f>CONCATENATE("Ratio - ",'0_ENTREE'!B54," - ",$B$5," - ",$B$7)</f>
        <v>Ratio - GE2.1 - 296 - T4 - 78m² - 2014 - S23</v>
      </c>
      <c r="C54" s="153" t="e">
        <f t="shared" si="7"/>
        <v>#DIV/0!</v>
      </c>
      <c r="D54" s="229" t="e">
        <f>'2_CHAUFFAGE'!C55</f>
        <v>#DIV/0!</v>
      </c>
      <c r="E54" s="230" t="e">
        <f>'2_CHAUFFAGE'!D55</f>
        <v>#DIV/0!</v>
      </c>
      <c r="F54" s="355" t="e">
        <f t="shared" si="8"/>
        <v>#DIV/0!</v>
      </c>
      <c r="G54" s="219">
        <f>'2_ELECTRICITE'!C55</f>
        <v>27.700000000000045</v>
      </c>
      <c r="H54" s="220">
        <f>'2_ELECTRICITE'!D55</f>
        <v>31.100000000000023</v>
      </c>
      <c r="I54" s="154">
        <f t="shared" si="9"/>
        <v>0.10932475884244292</v>
      </c>
      <c r="J54" s="422">
        <f>'2_EAU'!C55</f>
        <v>1000</v>
      </c>
      <c r="K54" s="423">
        <f>'2_EAU'!D55</f>
        <v>1199.9999999999957</v>
      </c>
      <c r="L54" s="154">
        <f t="shared" si="10"/>
        <v>0.16666666666666366</v>
      </c>
      <c r="M54" s="426">
        <f>'2_EAU'!H55</f>
        <v>0.28917378917378916</v>
      </c>
      <c r="N54" s="375">
        <f>'2_EAU'!I55</f>
        <v>0.34700854700854677</v>
      </c>
      <c r="O54" s="154">
        <f t="shared" si="11"/>
        <v>0.16666666666666613</v>
      </c>
    </row>
    <row r="55" spans="2:19" s="151" customFormat="1" x14ac:dyDescent="0.25">
      <c r="B55" s="152" t="str">
        <f>CONCATENATE("Ratio - ",'0_ENTREE'!B55," - ",$B$5," - ",$B$7)</f>
        <v>Ratio - GE2.1 - 297 - T4 - 79m² - 2014 - S23</v>
      </c>
      <c r="C55" s="153" t="e">
        <f t="shared" si="7"/>
        <v>#DIV/0!</v>
      </c>
      <c r="D55" s="229" t="e">
        <f>'2_CHAUFFAGE'!C56</f>
        <v>#DIV/0!</v>
      </c>
      <c r="E55" s="230" t="e">
        <f>'2_CHAUFFAGE'!D56</f>
        <v>#DIV/0!</v>
      </c>
      <c r="F55" s="355" t="e">
        <f t="shared" si="8"/>
        <v>#DIV/0!</v>
      </c>
      <c r="G55" s="219">
        <f>'2_ELECTRICITE'!C56</f>
        <v>58.899999999999864</v>
      </c>
      <c r="H55" s="220">
        <f>'2_ELECTRICITE'!D56</f>
        <v>60</v>
      </c>
      <c r="I55" s="154">
        <f t="shared" si="9"/>
        <v>1.8333333333335606E-2</v>
      </c>
      <c r="J55" s="422">
        <f>'2_EAU'!C56</f>
        <v>4599.9999999999945</v>
      </c>
      <c r="K55" s="423">
        <f>'2_EAU'!D56</f>
        <v>5000</v>
      </c>
      <c r="L55" s="154">
        <f t="shared" si="10"/>
        <v>8.0000000000001098E-2</v>
      </c>
      <c r="M55" s="426">
        <f>'2_EAU'!H56</f>
        <v>0.91364275668073203</v>
      </c>
      <c r="N55" s="375">
        <f>'2_EAU'!I56</f>
        <v>1.256258790436003</v>
      </c>
      <c r="O55" s="154">
        <f t="shared" si="11"/>
        <v>0.27272727272727065</v>
      </c>
    </row>
    <row r="56" spans="2:19" s="151" customFormat="1" x14ac:dyDescent="0.25">
      <c r="B56" s="152" t="str">
        <f>CONCATENATE("Ratio - ",'0_ENTREE'!B56," - ",$B$5," - ",$B$7)</f>
        <v>Ratio - GE2.1 - 299 - T4 - 79m² - 2014 - S23</v>
      </c>
      <c r="C56" s="153" t="e">
        <f t="shared" si="7"/>
        <v>#DIV/0!</v>
      </c>
      <c r="D56" s="229" t="e">
        <f>'2_CHAUFFAGE'!C57</f>
        <v>#DIV/0!</v>
      </c>
      <c r="E56" s="230" t="e">
        <f>'2_CHAUFFAGE'!D57</f>
        <v>#DIV/0!</v>
      </c>
      <c r="F56" s="355" t="e">
        <f t="shared" si="8"/>
        <v>#DIV/0!</v>
      </c>
      <c r="G56" s="219">
        <f>'2_ELECTRICITE'!C57</f>
        <v>22.299999999999955</v>
      </c>
      <c r="H56" s="220">
        <f>'2_ELECTRICITE'!D57</f>
        <v>5.2000000000000455</v>
      </c>
      <c r="I56" s="154">
        <f t="shared" si="9"/>
        <v>-3.2884615384614921</v>
      </c>
      <c r="J56" s="422">
        <f>'2_EAU'!C57</f>
        <v>800.00000000000068</v>
      </c>
      <c r="K56" s="423">
        <f>'2_EAU'!D57</f>
        <v>0</v>
      </c>
      <c r="L56" s="154" t="e">
        <f t="shared" si="10"/>
        <v>#DIV/0!</v>
      </c>
      <c r="M56" s="426">
        <f>'2_EAU'!H57</f>
        <v>0.11420534458509203</v>
      </c>
      <c r="N56" s="375">
        <f>'2_EAU'!I57</f>
        <v>0</v>
      </c>
      <c r="O56" s="154" t="e">
        <f t="shared" si="11"/>
        <v>#DIV/0!</v>
      </c>
    </row>
    <row r="57" spans="2:19" s="151" customFormat="1" x14ac:dyDescent="0.25">
      <c r="B57" s="152" t="str">
        <f>CONCATENATE("Ratio - ",'0_ENTREE'!B57," - ",$B$5," - ",$B$7)</f>
        <v>Ratio - GE2.1 - 300 - T5 - 93m² - 2014 - S23</v>
      </c>
      <c r="C57" s="153" t="e">
        <f t="shared" si="7"/>
        <v>#DIV/0!</v>
      </c>
      <c r="D57" s="229" t="e">
        <f>'2_CHAUFFAGE'!C58</f>
        <v>#DIV/0!</v>
      </c>
      <c r="E57" s="230" t="e">
        <f>'2_CHAUFFAGE'!D58</f>
        <v>#DIV/0!</v>
      </c>
      <c r="F57" s="355" t="e">
        <f t="shared" si="8"/>
        <v>#DIV/0!</v>
      </c>
      <c r="G57" s="219">
        <f>'2_ELECTRICITE'!C58</f>
        <v>49</v>
      </c>
      <c r="H57" s="220">
        <f>'2_ELECTRICITE'!D58</f>
        <v>58.199999999999818</v>
      </c>
      <c r="I57" s="154">
        <f t="shared" si="9"/>
        <v>0.1580756013745678</v>
      </c>
      <c r="J57" s="422">
        <f>'2_EAU'!C58</f>
        <v>2500</v>
      </c>
      <c r="K57" s="423">
        <f>'2_EAU'!D58</f>
        <v>2399.9999999999986</v>
      </c>
      <c r="L57" s="154">
        <f t="shared" si="10"/>
        <v>-4.1666666666667261E-2</v>
      </c>
      <c r="M57" s="426">
        <f>'2_EAU'!H58</f>
        <v>0.48506571087216244</v>
      </c>
      <c r="N57" s="375">
        <f>'2_EAU'!I58</f>
        <v>0.53357228195937945</v>
      </c>
      <c r="O57" s="154">
        <f t="shared" si="11"/>
        <v>9.0909090909092216E-2</v>
      </c>
    </row>
    <row r="58" spans="2:19" s="151" customFormat="1" x14ac:dyDescent="0.25">
      <c r="B58" s="152" t="str">
        <f>CONCATENATE("Ratio - ",'0_ENTREE'!B58," - ",$B$5," - ",$B$7)</f>
        <v>Ratio - GE2.1 - 302 - T5 - 93m² - 2014 - S23</v>
      </c>
      <c r="C58" s="153" t="e">
        <f t="shared" si="7"/>
        <v>#DIV/0!</v>
      </c>
      <c r="D58" s="229" t="e">
        <f>'2_CHAUFFAGE'!C59</f>
        <v>#DIV/0!</v>
      </c>
      <c r="E58" s="230" t="e">
        <f>'2_CHAUFFAGE'!D59</f>
        <v>#DIV/0!</v>
      </c>
      <c r="F58" s="355" t="e">
        <f t="shared" si="8"/>
        <v>#DIV/0!</v>
      </c>
      <c r="G58" s="219">
        <f>'2_ELECTRICITE'!C59</f>
        <v>51.799999999999955</v>
      </c>
      <c r="H58" s="220">
        <f>'2_ELECTRICITE'!D59</f>
        <v>48.799999999999955</v>
      </c>
      <c r="I58" s="154">
        <f t="shared" si="9"/>
        <v>-6.1475409836065628E-2</v>
      </c>
      <c r="J58" s="422">
        <f>'2_EAU'!C59</f>
        <v>2100.0000000000014</v>
      </c>
      <c r="K58" s="423">
        <f>'2_EAU'!D59</f>
        <v>1899.9999999999986</v>
      </c>
      <c r="L58" s="154">
        <f t="shared" si="10"/>
        <v>-0.10526315789473835</v>
      </c>
      <c r="M58" s="426">
        <f>'2_EAU'!H59</f>
        <v>0.29103942652329812</v>
      </c>
      <c r="N58" s="375">
        <f>'2_EAU'!I59</f>
        <v>0.29103942652329812</v>
      </c>
      <c r="O58" s="154">
        <f t="shared" si="11"/>
        <v>0</v>
      </c>
    </row>
    <row r="59" spans="2:19" s="151" customFormat="1" x14ac:dyDescent="0.25">
      <c r="B59" s="152" t="str">
        <f>CONCATENATE("Ratio - ",'0_ENTREE'!B59," - ",$B$5," - ",$B$7)</f>
        <v>Ratio - GE2.1 - 312 - T4 - 75m² - 2014 - S23</v>
      </c>
      <c r="C59" s="153" t="e">
        <f t="shared" si="7"/>
        <v>#DIV/0!</v>
      </c>
      <c r="D59" s="229" t="e">
        <f>'2_CHAUFFAGE'!C60</f>
        <v>#DIV/0!</v>
      </c>
      <c r="E59" s="230" t="e">
        <f>'2_CHAUFFAGE'!D60</f>
        <v>#DIV/0!</v>
      </c>
      <c r="F59" s="355" t="e">
        <f t="shared" si="8"/>
        <v>#DIV/0!</v>
      </c>
      <c r="G59" s="219">
        <f>'2_ELECTRICITE'!C60</f>
        <v>31.799999999999272</v>
      </c>
      <c r="H59" s="220">
        <f>'2_ELECTRICITE'!D60</f>
        <v>30.299999999999272</v>
      </c>
      <c r="I59" s="154">
        <f t="shared" si="9"/>
        <v>-4.9504950495050694E-2</v>
      </c>
      <c r="J59" s="422">
        <f>'2_EAU'!C60</f>
        <v>1100.0000000000014</v>
      </c>
      <c r="K59" s="423">
        <f>'2_EAU'!D60</f>
        <v>799.99999999999716</v>
      </c>
      <c r="L59" s="154">
        <f t="shared" si="10"/>
        <v>-0.37500000000000661</v>
      </c>
      <c r="M59" s="427">
        <f>'2_EAU'!H60</f>
        <v>0.3007407407407407</v>
      </c>
      <c r="N59" s="373">
        <f>'2_EAU'!I60</f>
        <v>0.24059259259259386</v>
      </c>
      <c r="O59" s="154">
        <f t="shared" si="11"/>
        <v>-0.24999999999999326</v>
      </c>
    </row>
    <row r="60" spans="2:19" s="271" customFormat="1" ht="13.5" thickBot="1" x14ac:dyDescent="0.3">
      <c r="B60" s="155" t="str">
        <f>CONCATENATE("Ratio - ",'0_ENTREE'!B60," - ",$B$5," - ",$B$7)</f>
        <v>Ratio - MOYENNE GE2.1 - 2014 - S23</v>
      </c>
      <c r="C60" s="272" t="e">
        <f>AVERAGE(C47:C59)</f>
        <v>#DIV/0!</v>
      </c>
      <c r="D60" s="231" t="e">
        <f>AVERAGE(D47:D59)</f>
        <v>#DIV/0!</v>
      </c>
      <c r="E60" s="232" t="e">
        <f t="shared" ref="E60" si="12">AVERAGE(E47:E59)</f>
        <v>#DIV/0!</v>
      </c>
      <c r="F60" s="356" t="e">
        <f t="shared" ref="F60" si="13">AVERAGE(F47:F59)</f>
        <v>#DIV/0!</v>
      </c>
      <c r="G60" s="235">
        <f t="shared" ref="G60" si="14">AVERAGE(G47:G59)</f>
        <v>33.769230769230688</v>
      </c>
      <c r="H60" s="236">
        <f t="shared" ref="H60" si="15">AVERAGE(H47:H59)</f>
        <v>33.846153846153776</v>
      </c>
      <c r="I60" s="273">
        <f t="shared" ref="I60" si="16">AVERAGE(I47:I59)</f>
        <v>-0.44052032081669412</v>
      </c>
      <c r="J60" s="424">
        <f t="shared" ref="J60" si="17">AVERAGE(J47:J59)</f>
        <v>1815.3846153846155</v>
      </c>
      <c r="K60" s="425">
        <f t="shared" ref="K60" si="18">AVERAGE(K47:K59)</f>
        <v>1738.4615384615379</v>
      </c>
      <c r="L60" s="273" t="e">
        <f t="shared" ref="L60" si="19">AVERAGE(L47:L59)</f>
        <v>#DIV/0!</v>
      </c>
      <c r="M60" s="372">
        <f>'2_EAU'!H61</f>
        <v>0.40995479937228751</v>
      </c>
      <c r="N60" s="372">
        <f>'2_EAU'!I61</f>
        <v>0.47680735304587701</v>
      </c>
      <c r="O60" s="273" t="e">
        <f t="shared" ref="O60" si="20">AVERAGE(O47:O59)</f>
        <v>#DIV/0!</v>
      </c>
    </row>
    <row r="61" spans="2:19" s="151" customFormat="1" x14ac:dyDescent="0.25">
      <c r="B61" s="152" t="str">
        <f>CONCATENATE("Ratio - ",'0_ENTREE'!B61," - ",$B$5," - ",$B$7)</f>
        <v>Ratio - GE2.2 - 271 - T3 - 74m² - 2014 - S23</v>
      </c>
      <c r="C61" s="153">
        <f>AVERAGE(I61,L61)</f>
        <v>-0.2497273718647815</v>
      </c>
      <c r="D61" s="229" t="e">
        <f>'2_CHAUFFAGE'!C62</f>
        <v>#DIV/0!</v>
      </c>
      <c r="E61" s="230" t="e">
        <f>'2_CHAUFFAGE'!D62</f>
        <v>#DIV/0!</v>
      </c>
      <c r="F61" s="355" t="e">
        <f t="shared" ref="F61:F73" si="21">(E61-D61)/E61</f>
        <v>#DIV/0!</v>
      </c>
      <c r="G61" s="241">
        <f>'2_ELECTRICITE'!C62</f>
        <v>31.800000000000068</v>
      </c>
      <c r="H61" s="242">
        <f>'2_ELECTRICITE'!D62</f>
        <v>26.199999999999932</v>
      </c>
      <c r="I61" s="154">
        <f t="shared" ref="I61:I73" si="22">(H61-G61)/H61</f>
        <v>-0.21374045801527294</v>
      </c>
      <c r="J61" s="422">
        <f>'2_EAU'!C62</f>
        <v>1800.0000000000043</v>
      </c>
      <c r="K61" s="423">
        <f>'2_EAU'!D62</f>
        <v>1399.9999999999986</v>
      </c>
      <c r="L61" s="154">
        <f t="shared" ref="L61:L73" si="23">(K61-J61)/K61</f>
        <v>-0.28571428571429003</v>
      </c>
      <c r="M61" s="426">
        <f>'2_EAU'!H62</f>
        <v>0.73153153153153105</v>
      </c>
      <c r="N61" s="375">
        <f>'2_EAU'!I62</f>
        <v>0.54864864864864771</v>
      </c>
      <c r="O61" s="154">
        <f t="shared" ref="O61:O73" si="24">(N61-M61)/N61</f>
        <v>-0.33333333333333476</v>
      </c>
      <c r="R61" s="461" t="s">
        <v>332</v>
      </c>
    </row>
    <row r="62" spans="2:19" s="151" customFormat="1" x14ac:dyDescent="0.25">
      <c r="B62" s="152" t="str">
        <f>CONCATENATE("Ratio - ",'0_ENTREE'!B62," - ",$B$5," - ",$B$7)</f>
        <v>Ratio - GE2.2 - 272 - T3 - 74m² - 2014 - S23</v>
      </c>
      <c r="C62" s="153">
        <f t="shared" ref="C62:C73" si="25">AVERAGE(I62,L62)</f>
        <v>6.3258464632918524E-2</v>
      </c>
      <c r="D62" s="229" t="e">
        <f>'2_CHAUFFAGE'!C63</f>
        <v>#DIV/0!</v>
      </c>
      <c r="E62" s="230" t="e">
        <f>'2_CHAUFFAGE'!D63</f>
        <v>#DIV/0!</v>
      </c>
      <c r="F62" s="355" t="e">
        <f t="shared" si="21"/>
        <v>#DIV/0!</v>
      </c>
      <c r="G62" s="241">
        <f>'2_ELECTRICITE'!C63</f>
        <v>72.700000000000273</v>
      </c>
      <c r="H62" s="242">
        <f>'2_ELECTRICITE'!D63</f>
        <v>78.5</v>
      </c>
      <c r="I62" s="154">
        <f t="shared" si="22"/>
        <v>7.3885350318467866E-2</v>
      </c>
      <c r="J62" s="422">
        <f>'2_EAU'!C63</f>
        <v>1799.9999999999973</v>
      </c>
      <c r="K62" s="423">
        <f>'2_EAU'!D63</f>
        <v>1899.9999999999986</v>
      </c>
      <c r="L62" s="154">
        <f t="shared" si="23"/>
        <v>5.2631578947369174E-2</v>
      </c>
      <c r="M62" s="426">
        <f>'2_EAU'!H63</f>
        <v>6.0960960960961007E-2</v>
      </c>
      <c r="N62" s="375">
        <f>'2_EAU'!I63</f>
        <v>0.12192192192192175</v>
      </c>
      <c r="O62" s="154">
        <f t="shared" si="24"/>
        <v>0.49999999999999895</v>
      </c>
      <c r="Q62" s="465"/>
      <c r="S62" s="463" t="s">
        <v>328</v>
      </c>
    </row>
    <row r="63" spans="2:19" s="151" customFormat="1" x14ac:dyDescent="0.25">
      <c r="B63" s="152" t="str">
        <f>CONCATENATE("Ratio - ",'0_ENTREE'!B63," - ",$B$5," - ",$B$7)</f>
        <v>Ratio - GE2.2 - 273 - T3 - 74m² - 2014 - S23</v>
      </c>
      <c r="C63" s="153">
        <f t="shared" si="25"/>
        <v>0.10452079566003618</v>
      </c>
      <c r="D63" s="229" t="e">
        <f>'2_CHAUFFAGE'!C64</f>
        <v>#DIV/0!</v>
      </c>
      <c r="E63" s="230" t="e">
        <f>'2_CHAUFFAGE'!D64</f>
        <v>#DIV/0!</v>
      </c>
      <c r="F63" s="355" t="e">
        <f t="shared" si="21"/>
        <v>#DIV/0!</v>
      </c>
      <c r="G63" s="241">
        <f>'2_ELECTRICITE'!C64</f>
        <v>54.799999999999955</v>
      </c>
      <c r="H63" s="242">
        <f>'2_ELECTRICITE'!D64</f>
        <v>55.299999999999955</v>
      </c>
      <c r="I63" s="154">
        <f t="shared" si="22"/>
        <v>9.04159132007234E-3</v>
      </c>
      <c r="J63" s="422">
        <f>'2_EAU'!C64</f>
        <v>2000</v>
      </c>
      <c r="K63" s="423">
        <f>'2_EAU'!D64</f>
        <v>2500</v>
      </c>
      <c r="L63" s="154">
        <f t="shared" si="23"/>
        <v>0.2</v>
      </c>
      <c r="M63" s="426">
        <f>'2_EAU'!H64</f>
        <v>0.54864864864864771</v>
      </c>
      <c r="N63" s="375">
        <f>'2_EAU'!I64</f>
        <v>0.54864864864864993</v>
      </c>
      <c r="O63" s="154">
        <f t="shared" si="24"/>
        <v>4.047118414889724E-15</v>
      </c>
      <c r="Q63" s="459" t="s">
        <v>334</v>
      </c>
      <c r="R63" s="468">
        <v>3</v>
      </c>
      <c r="S63" s="467" t="s">
        <v>337</v>
      </c>
    </row>
    <row r="64" spans="2:19" s="151" customFormat="1" x14ac:dyDescent="0.25">
      <c r="B64" s="152" t="str">
        <f>CONCATENATE("Ratio - ",'0_ENTREE'!B64," - ",$B$5," - ",$B$7)</f>
        <v>Ratio - GE2.2 - 276 - T4 - 83m² - 2014 - S23</v>
      </c>
      <c r="C64" s="153">
        <f t="shared" si="25"/>
        <v>6.3635035785578581E-2</v>
      </c>
      <c r="D64" s="229" t="e">
        <f>'2_CHAUFFAGE'!C65</f>
        <v>#DIV/0!</v>
      </c>
      <c r="E64" s="230" t="e">
        <f>'2_CHAUFFAGE'!D65</f>
        <v>#DIV/0!</v>
      </c>
      <c r="F64" s="355" t="e">
        <f t="shared" si="21"/>
        <v>#DIV/0!</v>
      </c>
      <c r="G64" s="219">
        <f>'2_ELECTRICITE'!C65</f>
        <v>85.699999999999818</v>
      </c>
      <c r="H64" s="220">
        <f>'2_ELECTRICITE'!D65</f>
        <v>89.299999999999955</v>
      </c>
      <c r="I64" s="154">
        <f t="shared" si="22"/>
        <v>4.0313549832028422E-2</v>
      </c>
      <c r="J64" s="422">
        <f>'2_EAU'!C65</f>
        <v>2100.0000000000014</v>
      </c>
      <c r="K64" s="423">
        <f>'2_EAU'!D65</f>
        <v>2299.9999999999973</v>
      </c>
      <c r="L64" s="154">
        <f t="shared" si="23"/>
        <v>8.6956521739128753E-2</v>
      </c>
      <c r="M64" s="426">
        <f>'2_EAU'!H65</f>
        <v>0.38045515394912943</v>
      </c>
      <c r="N64" s="375">
        <f>'2_EAU'!I65</f>
        <v>0.43480589022757732</v>
      </c>
      <c r="O64" s="154">
        <f t="shared" si="24"/>
        <v>0.12500000000000167</v>
      </c>
      <c r="Q64" s="459" t="s">
        <v>335</v>
      </c>
      <c r="R64" s="468">
        <v>1</v>
      </c>
      <c r="S64" s="467" t="s">
        <v>338</v>
      </c>
    </row>
    <row r="65" spans="2:19" s="151" customFormat="1" x14ac:dyDescent="0.25">
      <c r="B65" s="152" t="str">
        <f>CONCATENATE("Ratio - ",'0_ENTREE'!B65," - ",$B$5," - ",$B$7)</f>
        <v>Ratio - GE2.2 - 279 - T3 - 70m² - 2014 - S23</v>
      </c>
      <c r="C65" s="153">
        <f t="shared" si="25"/>
        <v>-0.22284204345273156</v>
      </c>
      <c r="D65" s="229" t="e">
        <f>'2_CHAUFFAGE'!C66</f>
        <v>#DIV/0!</v>
      </c>
      <c r="E65" s="230" t="e">
        <f>'2_CHAUFFAGE'!D66</f>
        <v>#DIV/0!</v>
      </c>
      <c r="F65" s="355" t="e">
        <f t="shared" si="21"/>
        <v>#DIV/0!</v>
      </c>
      <c r="G65" s="219">
        <f>'2_ELECTRICITE'!C66</f>
        <v>41.700000000000045</v>
      </c>
      <c r="H65" s="220">
        <f>'2_ELECTRICITE'!D66</f>
        <v>39.299999999999955</v>
      </c>
      <c r="I65" s="154">
        <f t="shared" si="22"/>
        <v>-6.106870229007872E-2</v>
      </c>
      <c r="J65" s="422">
        <f>'2_EAU'!C66</f>
        <v>1800.0000000000007</v>
      </c>
      <c r="K65" s="423">
        <f>'2_EAU'!D66</f>
        <v>1300.0000000000007</v>
      </c>
      <c r="L65" s="154">
        <f t="shared" si="23"/>
        <v>-0.38461538461538441</v>
      </c>
      <c r="M65" s="426">
        <f>'2_EAU'!H66</f>
        <v>0.57999999999999896</v>
      </c>
      <c r="N65" s="375">
        <f>'2_EAU'!I66</f>
        <v>0.38666666666666755</v>
      </c>
      <c r="O65" s="154">
        <f t="shared" si="24"/>
        <v>-0.49999999999999389</v>
      </c>
      <c r="Q65" s="459" t="s">
        <v>336</v>
      </c>
      <c r="R65" s="468">
        <v>1</v>
      </c>
      <c r="S65" s="467" t="s">
        <v>339</v>
      </c>
    </row>
    <row r="66" spans="2:19" s="151" customFormat="1" x14ac:dyDescent="0.25">
      <c r="B66" s="152" t="str">
        <f>CONCATENATE("Ratio - ",'0_ENTREE'!B66," - ",$B$5," - ",$B$7)</f>
        <v>Ratio - GE2.2 - 288 - T3 - 68m² - 2014 - S23</v>
      </c>
      <c r="C66" s="153">
        <f t="shared" si="25"/>
        <v>6.6528925619835796E-2</v>
      </c>
      <c r="D66" s="229" t="e">
        <f>'2_CHAUFFAGE'!C67</f>
        <v>#DIV/0!</v>
      </c>
      <c r="E66" s="230" t="e">
        <f>'2_CHAUFFAGE'!D67</f>
        <v>#DIV/0!</v>
      </c>
      <c r="F66" s="355" t="e">
        <f t="shared" si="21"/>
        <v>#DIV/0!</v>
      </c>
      <c r="G66" s="219">
        <f>'2_ELECTRICITE'!C67</f>
        <v>35.099999999999909</v>
      </c>
      <c r="H66" s="220">
        <f>'2_ELECTRICITE'!D67</f>
        <v>36.300000000000068</v>
      </c>
      <c r="I66" s="154">
        <f t="shared" si="22"/>
        <v>3.3057851239673745E-2</v>
      </c>
      <c r="J66" s="422">
        <f>'2_EAU'!C67</f>
        <v>900.00000000000216</v>
      </c>
      <c r="K66" s="423">
        <f>'2_EAU'!D67</f>
        <v>1000</v>
      </c>
      <c r="L66" s="154">
        <f t="shared" si="23"/>
        <v>9.9999999999997841E-2</v>
      </c>
      <c r="M66" s="426">
        <f>'2_EAU'!H67</f>
        <v>6.6339869281045516E-2</v>
      </c>
      <c r="N66" s="375">
        <f>'2_EAU'!I67</f>
        <v>6.6339869281045807E-2</v>
      </c>
      <c r="O66" s="154">
        <f t="shared" si="24"/>
        <v>4.3930376577840208E-15</v>
      </c>
      <c r="Q66" s="459" t="s">
        <v>331</v>
      </c>
      <c r="R66" s="468">
        <v>0</v>
      </c>
      <c r="S66" s="467" t="s">
        <v>340</v>
      </c>
    </row>
    <row r="67" spans="2:19" s="151" customFormat="1" x14ac:dyDescent="0.25">
      <c r="B67" s="504" t="str">
        <f>CONCATENATE("Ratio - ",'0_ENTREE'!B67," - ",$B$5," - ",$B$7)</f>
        <v>Ratio - GE2.2 - 291 - T3 - 62m² - 2014 - S23</v>
      </c>
      <c r="C67" s="153">
        <f t="shared" si="25"/>
        <v>-1.7460317460317141</v>
      </c>
      <c r="D67" s="229" t="e">
        <f>'2_CHAUFFAGE'!C68</f>
        <v>#DIV/0!</v>
      </c>
      <c r="E67" s="230" t="e">
        <f>'2_CHAUFFAGE'!D68</f>
        <v>#DIV/0!</v>
      </c>
      <c r="F67" s="355" t="e">
        <f t="shared" si="21"/>
        <v>#DIV/0!</v>
      </c>
      <c r="G67" s="219">
        <f>'2_ELECTRICITE'!C68</f>
        <v>18.799999999999955</v>
      </c>
      <c r="H67" s="220">
        <f>'2_ELECTRICITE'!D68</f>
        <v>12.599999999999909</v>
      </c>
      <c r="I67" s="154">
        <f t="shared" si="22"/>
        <v>-0.4920634920634992</v>
      </c>
      <c r="J67" s="422">
        <f>'2_EAU'!C68</f>
        <v>399.99999999999858</v>
      </c>
      <c r="K67" s="423">
        <f>'2_EAU'!D68</f>
        <v>100.00000000000142</v>
      </c>
      <c r="L67" s="154">
        <f t="shared" si="23"/>
        <v>-2.9999999999999289</v>
      </c>
      <c r="M67" s="426">
        <f>'2_EAU'!H68</f>
        <v>0</v>
      </c>
      <c r="N67" s="375">
        <f>'2_EAU'!I68</f>
        <v>0</v>
      </c>
      <c r="O67" s="154" t="e">
        <f t="shared" si="24"/>
        <v>#DIV/0!</v>
      </c>
      <c r="Q67" s="456" t="s">
        <v>329</v>
      </c>
      <c r="R67" s="468">
        <v>0</v>
      </c>
      <c r="S67" s="467" t="s">
        <v>341</v>
      </c>
    </row>
    <row r="68" spans="2:19" s="151" customFormat="1" x14ac:dyDescent="0.25">
      <c r="B68" s="152" t="str">
        <f>CONCATENATE("Ratio - ",'0_ENTREE'!B68," - ",$B$5," - ",$B$7)</f>
        <v>Ratio - GE2.2 - 294 - T3 - 63m² - 2014 - S23</v>
      </c>
      <c r="C68" s="153">
        <f t="shared" si="25"/>
        <v>-0.10361552028218421</v>
      </c>
      <c r="D68" s="229" t="e">
        <f>'2_CHAUFFAGE'!C69</f>
        <v>#DIV/0!</v>
      </c>
      <c r="E68" s="230" t="e">
        <f>'2_CHAUFFAGE'!D69</f>
        <v>#DIV/0!</v>
      </c>
      <c r="F68" s="355" t="e">
        <f t="shared" si="21"/>
        <v>#DIV/0!</v>
      </c>
      <c r="G68" s="219">
        <f>'2_ELECTRICITE'!C69</f>
        <v>59</v>
      </c>
      <c r="H68" s="220">
        <f>'2_ELECTRICITE'!D69</f>
        <v>56.700000000000273</v>
      </c>
      <c r="I68" s="154">
        <f t="shared" si="22"/>
        <v>-4.0564373897702226E-2</v>
      </c>
      <c r="J68" s="422">
        <f>'2_EAU'!C69</f>
        <v>1399.9999999999986</v>
      </c>
      <c r="K68" s="423">
        <f>'2_EAU'!D69</f>
        <v>1199.9999999999993</v>
      </c>
      <c r="L68" s="154">
        <f t="shared" si="23"/>
        <v>-0.16666666666666619</v>
      </c>
      <c r="M68" s="426">
        <f>'2_EAU'!H69</f>
        <v>0.28641975308641998</v>
      </c>
      <c r="N68" s="375">
        <f>'2_EAU'!I69</f>
        <v>7.160493827160469E-2</v>
      </c>
      <c r="O68" s="154">
        <f t="shared" si="24"/>
        <v>-3.0000000000000169</v>
      </c>
      <c r="Q68" s="460" t="s">
        <v>330</v>
      </c>
      <c r="R68" s="468">
        <v>6</v>
      </c>
      <c r="S68" s="467" t="s">
        <v>342</v>
      </c>
    </row>
    <row r="69" spans="2:19" s="151" customFormat="1" x14ac:dyDescent="0.25">
      <c r="B69" s="152" t="str">
        <f>CONCATENATE("Ratio - ",'0_ENTREE'!B69," - ",$B$5," - ",$B$7)</f>
        <v>Ratio - GE2.2 - 298 - T5 - 93m² - 2014 - S23</v>
      </c>
      <c r="C69" s="153">
        <f t="shared" si="25"/>
        <v>8.2743183772571852E-2</v>
      </c>
      <c r="D69" s="229" t="e">
        <f>'2_CHAUFFAGE'!C70</f>
        <v>#DIV/0!</v>
      </c>
      <c r="E69" s="230" t="e">
        <f>'2_CHAUFFAGE'!D70</f>
        <v>#DIV/0!</v>
      </c>
      <c r="F69" s="355" t="e">
        <f t="shared" si="21"/>
        <v>#DIV/0!</v>
      </c>
      <c r="G69" s="219">
        <f>'2_ELECTRICITE'!C70</f>
        <v>70.700000000000045</v>
      </c>
      <c r="H69" s="220">
        <f>'2_ELECTRICITE'!D70</f>
        <v>74.599999999999909</v>
      </c>
      <c r="I69" s="154">
        <f t="shared" si="22"/>
        <v>5.2278820375333358E-2</v>
      </c>
      <c r="J69" s="422">
        <f>'2_EAU'!C70</f>
        <v>4700.0000000000027</v>
      </c>
      <c r="K69" s="423">
        <f>'2_EAU'!D70</f>
        <v>5299.9999999999973</v>
      </c>
      <c r="L69" s="154">
        <f t="shared" si="23"/>
        <v>0.11320754716981035</v>
      </c>
      <c r="M69" s="426">
        <f>'2_EAU'!H70</f>
        <v>0.6305854241338098</v>
      </c>
      <c r="N69" s="375">
        <f>'2_EAU'!I70</f>
        <v>0.87311827956989452</v>
      </c>
      <c r="O69" s="154">
        <f t="shared" si="24"/>
        <v>0.27777777777778112</v>
      </c>
      <c r="Q69" s="460" t="s">
        <v>309</v>
      </c>
      <c r="R69" s="468">
        <v>1</v>
      </c>
      <c r="S69" s="467" t="s">
        <v>343</v>
      </c>
    </row>
    <row r="70" spans="2:19" s="151" customFormat="1" x14ac:dyDescent="0.25">
      <c r="B70" s="152" t="str">
        <f>CONCATENATE("Ratio - ",'0_ENTREE'!B70," - ",$B$5," - ",$B$7)</f>
        <v>Ratio - GE2.2 - 301 - T4 - 79m² - 2014 - S23</v>
      </c>
      <c r="C70" s="153">
        <f t="shared" si="25"/>
        <v>0.29682955206515427</v>
      </c>
      <c r="D70" s="229" t="e">
        <f>'2_CHAUFFAGE'!C71</f>
        <v>#DIV/0!</v>
      </c>
      <c r="E70" s="230" t="e">
        <f>'2_CHAUFFAGE'!D71</f>
        <v>#DIV/0!</v>
      </c>
      <c r="F70" s="355" t="e">
        <f t="shared" si="21"/>
        <v>#DIV/0!</v>
      </c>
      <c r="G70" s="219">
        <f>'2_ELECTRICITE'!C71</f>
        <v>65</v>
      </c>
      <c r="H70" s="220">
        <f>'2_ELECTRICITE'!D71</f>
        <v>76.400000000000091</v>
      </c>
      <c r="I70" s="154">
        <f t="shared" si="22"/>
        <v>0.14921465968586489</v>
      </c>
      <c r="J70" s="422">
        <f>'2_EAU'!C71</f>
        <v>1500</v>
      </c>
      <c r="K70" s="423">
        <f>'2_EAU'!D71</f>
        <v>2699.9999999999959</v>
      </c>
      <c r="L70" s="154">
        <f t="shared" si="23"/>
        <v>0.44444444444444359</v>
      </c>
      <c r="M70" s="426">
        <f>'2_EAU'!H71</f>
        <v>0.28551336146272854</v>
      </c>
      <c r="N70" s="375">
        <f>'2_EAU'!I71</f>
        <v>0.45682137834036601</v>
      </c>
      <c r="O70" s="154">
        <f t="shared" si="24"/>
        <v>0.37500000000000044</v>
      </c>
      <c r="Q70" s="460" t="s">
        <v>333</v>
      </c>
      <c r="R70" s="468">
        <v>1</v>
      </c>
      <c r="S70" s="467" t="s">
        <v>344</v>
      </c>
    </row>
    <row r="71" spans="2:19" s="151" customFormat="1" x14ac:dyDescent="0.25">
      <c r="B71" s="152" t="str">
        <f>CONCATENATE("Ratio - ",'0_ENTREE'!B71," - ",$B$5," - ",$B$7)</f>
        <v>Ratio - GE2.2 - 311 - T4 - 74m² - 2014 - S23</v>
      </c>
      <c r="C71" s="153">
        <f t="shared" si="25"/>
        <v>-7.5096277278561441E-2</v>
      </c>
      <c r="D71" s="229" t="e">
        <f>'2_CHAUFFAGE'!C72</f>
        <v>#DIV/0!</v>
      </c>
      <c r="E71" s="230" t="e">
        <f>'2_CHAUFFAGE'!D72</f>
        <v>#DIV/0!</v>
      </c>
      <c r="F71" s="355" t="e">
        <f t="shared" si="21"/>
        <v>#DIV/0!</v>
      </c>
      <c r="G71" s="219">
        <f>'2_ELECTRICITE'!C72</f>
        <v>36</v>
      </c>
      <c r="H71" s="220">
        <f>'2_ELECTRICITE'!D72</f>
        <v>32.799999999999955</v>
      </c>
      <c r="I71" s="154">
        <f t="shared" si="22"/>
        <v>-9.7560975609757614E-2</v>
      </c>
      <c r="J71" s="422">
        <f>'2_EAU'!C72</f>
        <v>2000</v>
      </c>
      <c r="K71" s="423">
        <f>'2_EAU'!D72</f>
        <v>1900.0000000000057</v>
      </c>
      <c r="L71" s="154">
        <f t="shared" si="23"/>
        <v>-5.2631578947365275E-2</v>
      </c>
      <c r="M71" s="426">
        <f>'2_EAU'!H72</f>
        <v>0.48768768768768805</v>
      </c>
      <c r="N71" s="375">
        <f>'2_EAU'!I72</f>
        <v>0.48768768768768805</v>
      </c>
      <c r="O71" s="154">
        <f t="shared" si="24"/>
        <v>0</v>
      </c>
      <c r="Q71" s="464"/>
    </row>
    <row r="72" spans="2:19" s="151" customFormat="1" x14ac:dyDescent="0.25">
      <c r="B72" s="152" t="str">
        <f>CONCATENATE("Ratio - ",'0_ENTREE'!B72," - ",$B$5," - ",$B$7)</f>
        <v>Ratio - GE2.2 - 313 - T4 - 75m² - 2014 - S23</v>
      </c>
      <c r="C72" s="153">
        <f t="shared" si="25"/>
        <v>9.2553191489363931E-2</v>
      </c>
      <c r="D72" s="229" t="e">
        <f>'2_CHAUFFAGE'!C73</f>
        <v>#DIV/0!</v>
      </c>
      <c r="E72" s="230" t="e">
        <f>'2_CHAUFFAGE'!D73</f>
        <v>#DIV/0!</v>
      </c>
      <c r="F72" s="355" t="e">
        <f t="shared" si="21"/>
        <v>#DIV/0!</v>
      </c>
      <c r="G72" s="219">
        <f>'2_ELECTRICITE'!C73</f>
        <v>25.799999999999955</v>
      </c>
      <c r="H72" s="220">
        <f>'2_ELECTRICITE'!D73</f>
        <v>28.200000000000045</v>
      </c>
      <c r="I72" s="154">
        <f t="shared" si="22"/>
        <v>8.5106382978726497E-2</v>
      </c>
      <c r="J72" s="422">
        <f>'2_EAU'!C73</f>
        <v>899.99999999999864</v>
      </c>
      <c r="K72" s="423">
        <f>'2_EAU'!D73</f>
        <v>1000</v>
      </c>
      <c r="L72" s="154">
        <f t="shared" si="23"/>
        <v>0.10000000000000137</v>
      </c>
      <c r="M72" s="426">
        <f>'2_EAU'!H73</f>
        <v>0.24059259259259175</v>
      </c>
      <c r="N72" s="375">
        <f>'2_EAU'!I73</f>
        <v>0.24059259259259277</v>
      </c>
      <c r="O72" s="154">
        <f t="shared" si="24"/>
        <v>4.2684452032040125E-15</v>
      </c>
      <c r="Q72" s="465"/>
    </row>
    <row r="73" spans="2:19" s="151" customFormat="1" x14ac:dyDescent="0.25">
      <c r="B73" s="152" t="str">
        <f>CONCATENATE("Ratio - ",'0_ENTREE'!B73," - ",$B$5," - ",$B$7)</f>
        <v>Ratio - GE2.2 - 315 - T4 - 75m² - 2014 - S23</v>
      </c>
      <c r="C73" s="153">
        <f t="shared" si="25"/>
        <v>8.279758425871929E-2</v>
      </c>
      <c r="D73" s="229" t="e">
        <f>'2_CHAUFFAGE'!C74</f>
        <v>#DIV/0!</v>
      </c>
      <c r="E73" s="230" t="e">
        <f>'2_CHAUFFAGE'!D74</f>
        <v>#DIV/0!</v>
      </c>
      <c r="F73" s="355" t="e">
        <f t="shared" si="21"/>
        <v>#DIV/0!</v>
      </c>
      <c r="G73" s="219">
        <f>'2_ELECTRICITE'!C74</f>
        <v>49.799999999999955</v>
      </c>
      <c r="H73" s="220">
        <f>'2_ELECTRICITE'!D74</f>
        <v>53.100000000000136</v>
      </c>
      <c r="I73" s="154">
        <f t="shared" si="22"/>
        <v>6.2146892655370496E-2</v>
      </c>
      <c r="J73" s="422">
        <f>'2_EAU'!C74</f>
        <v>2600.0000000000014</v>
      </c>
      <c r="K73" s="423">
        <f>'2_EAU'!D74</f>
        <v>2899.9999999999986</v>
      </c>
      <c r="L73" s="154">
        <f t="shared" si="23"/>
        <v>0.10344827586206808</v>
      </c>
      <c r="M73" s="427">
        <f>'2_EAU'!H74</f>
        <v>0.60148148148148139</v>
      </c>
      <c r="N73" s="373">
        <f>'2_EAU'!I74</f>
        <v>0.8420740740740732</v>
      </c>
      <c r="O73" s="154">
        <f t="shared" si="24"/>
        <v>0.28571428571428509</v>
      </c>
      <c r="Q73" s="466"/>
    </row>
    <row r="74" spans="2:19" s="271" customFormat="1" ht="13.5" thickBot="1" x14ac:dyDescent="0.3">
      <c r="B74" s="155" t="str">
        <f>CONCATENATE("Ratio - ",'0_ENTREE'!B74," - ",$B$5," - ",$B$7)</f>
        <v>Ratio - MOYENNE GE2.2 - 2014 - S23</v>
      </c>
      <c r="C74" s="272">
        <f>AVERAGE(C61:C73)</f>
        <v>-0.1188035558173688</v>
      </c>
      <c r="D74" s="231" t="e">
        <f>AVERAGE(D61:D73)</f>
        <v>#DIV/0!</v>
      </c>
      <c r="E74" s="232" t="e">
        <f t="shared" ref="E74" si="26">AVERAGE(E61:E73)</f>
        <v>#DIV/0!</v>
      </c>
      <c r="F74" s="356" t="e">
        <f t="shared" ref="F74" si="27">AVERAGE(F61:F73)</f>
        <v>#DIV/0!</v>
      </c>
      <c r="G74" s="235">
        <f t="shared" ref="G74" si="28">AVERAGE(G61:G73)</f>
        <v>49.761538461538457</v>
      </c>
      <c r="H74" s="236">
        <f t="shared" ref="H74" si="29">AVERAGE(H61:H73)</f>
        <v>50.715384615384629</v>
      </c>
      <c r="I74" s="273">
        <f t="shared" ref="I74" si="30">AVERAGE(I61:I73)</f>
        <v>-3.0765607959290231E-2</v>
      </c>
      <c r="J74" s="424">
        <f t="shared" ref="J74" si="31">AVERAGE(J61:J73)</f>
        <v>1838.4615384615388</v>
      </c>
      <c r="K74" s="425">
        <f t="shared" ref="K74" si="32">AVERAGE(K61:K73)</f>
        <v>1961.5384615384612</v>
      </c>
      <c r="L74" s="273">
        <f t="shared" ref="L74" si="33">AVERAGE(L61:L73)</f>
        <v>-0.20684150367544735</v>
      </c>
      <c r="M74" s="372">
        <f>'2_EAU'!H75</f>
        <v>0.37693972806277171</v>
      </c>
      <c r="N74" s="372">
        <f>'2_EAU'!I75</f>
        <v>0.3906869689177484</v>
      </c>
      <c r="O74" s="273" t="e">
        <f t="shared" ref="O74" si="34">AVERAGE(O61:O73)</f>
        <v>#DIV/0!</v>
      </c>
    </row>
    <row r="75" spans="2:19" s="151" customFormat="1" x14ac:dyDescent="0.25">
      <c r="B75" s="152" t="str">
        <f>CONCATENATE("Ratio - ",'0_ENTREE'!B75," - ",$B$5," - ",$B$7)</f>
        <v>Ratio - SO - 284 - T - 64m² - 2014 - S23</v>
      </c>
      <c r="C75" s="153" t="e">
        <f t="shared" ref="C75:C80" si="35">AVERAGE(F75,I75,L75)</f>
        <v>#DIV/0!</v>
      </c>
      <c r="D75" s="229" t="e">
        <f>'2_CHAUFFAGE'!C76</f>
        <v>#DIV/0!</v>
      </c>
      <c r="E75" s="230" t="e">
        <f>'2_CHAUFFAGE'!D76</f>
        <v>#DIV/0!</v>
      </c>
      <c r="F75" s="355" t="e">
        <f t="shared" ref="F75:F80" si="36">(E75-D75)/E75</f>
        <v>#DIV/0!</v>
      </c>
      <c r="G75" s="219">
        <f>'2_ELECTRICITE'!C76</f>
        <v>63.400000000000091</v>
      </c>
      <c r="H75" s="220">
        <f>'2_ELECTRICITE'!D76</f>
        <v>64</v>
      </c>
      <c r="I75" s="154">
        <f t="shared" ref="I75:I80" si="37">(H75-G75)/H75</f>
        <v>9.3749999999985789E-3</v>
      </c>
      <c r="J75" s="422">
        <f>'2_EAU'!C76</f>
        <v>199.99999999999929</v>
      </c>
      <c r="K75" s="423">
        <f>'2_EAU'!D76</f>
        <v>300.00000000000068</v>
      </c>
      <c r="L75" s="154">
        <f t="shared" ref="L75:L80" si="38">(K75-J75)/K75</f>
        <v>0.3333333333333372</v>
      </c>
      <c r="M75" s="426">
        <f>'2_EAU'!H76</f>
        <v>0</v>
      </c>
      <c r="N75" s="375">
        <f>'2_EAU'!I76</f>
        <v>0</v>
      </c>
      <c r="O75" s="154" t="e">
        <f t="shared" ref="O75:O80" si="39">(N75-M75)/N75</f>
        <v>#DIV/0!</v>
      </c>
    </row>
    <row r="76" spans="2:19" s="151" customFormat="1" x14ac:dyDescent="0.25">
      <c r="B76" s="152" t="str">
        <f>CONCATENATE("Ratio - ",'0_ENTREE'!B76," - ",$B$5," - ",$B$7)</f>
        <v>Ratio - SO - 287 - T - 81m² - 2014 - S23</v>
      </c>
      <c r="C76" s="153" t="e">
        <f t="shared" si="35"/>
        <v>#DIV/0!</v>
      </c>
      <c r="D76" s="229" t="e">
        <f>'2_CHAUFFAGE'!C77</f>
        <v>#DIV/0!</v>
      </c>
      <c r="E76" s="230" t="e">
        <f>'2_CHAUFFAGE'!D77</f>
        <v>#DIV/0!</v>
      </c>
      <c r="F76" s="355" t="e">
        <f t="shared" si="36"/>
        <v>#DIV/0!</v>
      </c>
      <c r="G76" s="219">
        <f>'2_ELECTRICITE'!C77</f>
        <v>35.600000000000136</v>
      </c>
      <c r="H76" s="220">
        <f>'2_ELECTRICITE'!D77</f>
        <v>34.399999999999864</v>
      </c>
      <c r="I76" s="154">
        <f t="shared" si="37"/>
        <v>-3.4883720930240628E-2</v>
      </c>
      <c r="J76" s="422">
        <f>'2_EAU'!C77</f>
        <v>1199.9999999999957</v>
      </c>
      <c r="K76" s="423">
        <f>'2_EAU'!D77</f>
        <v>1200.0000000000027</v>
      </c>
      <c r="L76" s="154">
        <f t="shared" si="38"/>
        <v>5.8738199489501481E-15</v>
      </c>
      <c r="M76" s="426">
        <f>'2_EAU'!H77</f>
        <v>0.16707818930041191</v>
      </c>
      <c r="N76" s="375">
        <f>'2_EAU'!I77</f>
        <v>0.16707818930041091</v>
      </c>
      <c r="O76" s="154">
        <f t="shared" si="39"/>
        <v>-5.9804378198404586E-15</v>
      </c>
    </row>
    <row r="77" spans="2:19" s="151" customFormat="1" x14ac:dyDescent="0.25">
      <c r="B77" s="504" t="str">
        <f>CONCATENATE("Ratio - ",'0_ENTREE'!B77," - ",$B$5," - ",$B$7)</f>
        <v>Ratio - SO - 290 - T - 40m² - 2014 - S23</v>
      </c>
      <c r="C77" s="153" t="e">
        <f t="shared" si="35"/>
        <v>#DIV/0!</v>
      </c>
      <c r="D77" s="229" t="e">
        <f>'2_CHAUFFAGE'!C78</f>
        <v>#DIV/0!</v>
      </c>
      <c r="E77" s="230" t="e">
        <f>'2_CHAUFFAGE'!D78</f>
        <v>#DIV/0!</v>
      </c>
      <c r="F77" s="355" t="e">
        <f t="shared" si="36"/>
        <v>#DIV/0!</v>
      </c>
      <c r="G77" s="219">
        <f>'2_ELECTRICITE'!C78</f>
        <v>26.799999999999955</v>
      </c>
      <c r="H77" s="220">
        <f>'2_ELECTRICITE'!D78</f>
        <v>23</v>
      </c>
      <c r="I77" s="154">
        <f t="shared" si="37"/>
        <v>-0.16521739130434585</v>
      </c>
      <c r="J77" s="422">
        <f>'2_EAU'!C78</f>
        <v>1099.999999999998</v>
      </c>
      <c r="K77" s="423">
        <f>'2_EAU'!D78</f>
        <v>700.00000000000284</v>
      </c>
      <c r="L77" s="154">
        <f t="shared" si="38"/>
        <v>-0.57142857142856207</v>
      </c>
      <c r="M77" s="426">
        <f>'2_EAU'!H78</f>
        <v>0</v>
      </c>
      <c r="N77" s="375">
        <f>'2_EAU'!I78</f>
        <v>0</v>
      </c>
      <c r="O77" s="154" t="e">
        <f t="shared" si="39"/>
        <v>#DIV/0!</v>
      </c>
    </row>
    <row r="78" spans="2:19" s="151" customFormat="1" x14ac:dyDescent="0.25">
      <c r="B78" s="504" t="str">
        <f>CONCATENATE("Ratio - ",'0_ENTREE'!B78," - ",$B$5," - ",$B$7)</f>
        <v>Ratio - SO - 305 - T - 66m² - 2014 - S23</v>
      </c>
      <c r="C78" s="153" t="e">
        <f t="shared" si="35"/>
        <v>#DIV/0!</v>
      </c>
      <c r="D78" s="229" t="e">
        <f>'2_CHAUFFAGE'!C79</f>
        <v>#DIV/0!</v>
      </c>
      <c r="E78" s="230" t="e">
        <f>'2_CHAUFFAGE'!D79</f>
        <v>#DIV/0!</v>
      </c>
      <c r="F78" s="355" t="e">
        <f t="shared" si="36"/>
        <v>#DIV/0!</v>
      </c>
      <c r="G78" s="219">
        <f>'2_ELECTRICITE'!C79</f>
        <v>43.799999999999955</v>
      </c>
      <c r="H78" s="220">
        <f>'2_ELECTRICITE'!D79</f>
        <v>40.700000000000045</v>
      </c>
      <c r="I78" s="154">
        <f t="shared" si="37"/>
        <v>-7.6167076167073841E-2</v>
      </c>
      <c r="J78" s="422">
        <f>'2_EAU'!C79</f>
        <v>2000</v>
      </c>
      <c r="K78" s="423">
        <f>'2_EAU'!D79</f>
        <v>2000</v>
      </c>
      <c r="L78" s="154">
        <f t="shared" si="38"/>
        <v>0</v>
      </c>
      <c r="M78" s="426">
        <f>'2_EAU'!H79</f>
        <v>0</v>
      </c>
      <c r="N78" s="375">
        <f>'2_EAU'!I79</f>
        <v>0</v>
      </c>
      <c r="O78" s="154" t="e">
        <f t="shared" si="39"/>
        <v>#DIV/0!</v>
      </c>
    </row>
    <row r="79" spans="2:19" s="151" customFormat="1" x14ac:dyDescent="0.25">
      <c r="B79" s="152" t="str">
        <f>CONCATENATE("Ratio - ",'0_ENTREE'!B79," - ",$B$5," - ",$B$7)</f>
        <v>Ratio - SO - 309 - T - 66m² - 2014 - S23</v>
      </c>
      <c r="C79" s="153" t="e">
        <f t="shared" si="35"/>
        <v>#DIV/0!</v>
      </c>
      <c r="D79" s="229" t="e">
        <f>'2_CHAUFFAGE'!C80</f>
        <v>#DIV/0!</v>
      </c>
      <c r="E79" s="230" t="e">
        <f>'2_CHAUFFAGE'!D80</f>
        <v>#DIV/0!</v>
      </c>
      <c r="F79" s="355" t="e">
        <f t="shared" si="36"/>
        <v>#DIV/0!</v>
      </c>
      <c r="G79" s="219">
        <f>'2_ELECTRICITE'!C80</f>
        <v>17</v>
      </c>
      <c r="H79" s="220">
        <f>'2_ELECTRICITE'!D80</f>
        <v>19.5</v>
      </c>
      <c r="I79" s="154">
        <f t="shared" si="37"/>
        <v>0.12820512820512819</v>
      </c>
      <c r="J79" s="422">
        <f>'2_EAU'!C80</f>
        <v>1500</v>
      </c>
      <c r="K79" s="423">
        <f>'2_EAU'!D80</f>
        <v>1100.0000000000014</v>
      </c>
      <c r="L79" s="154">
        <f t="shared" si="38"/>
        <v>-0.36363636363636193</v>
      </c>
      <c r="M79" s="426">
        <f>'2_EAU'!H80</f>
        <v>0.34175084175084169</v>
      </c>
      <c r="N79" s="375">
        <f>'2_EAU'!I80</f>
        <v>0.34175084175084169</v>
      </c>
      <c r="O79" s="154">
        <f t="shared" si="39"/>
        <v>0</v>
      </c>
    </row>
    <row r="80" spans="2:19" s="151" customFormat="1" x14ac:dyDescent="0.25">
      <c r="B80" s="152" t="str">
        <f>CONCATENATE("Ratio - ",'0_ENTREE'!B80," - ",$B$5," - ",$B$7)</f>
        <v>Ratio - SO - 310 - T - 54m² - 2014 - S23</v>
      </c>
      <c r="C80" s="153" t="e">
        <f t="shared" si="35"/>
        <v>#DIV/0!</v>
      </c>
      <c r="D80" s="229" t="e">
        <f>'2_CHAUFFAGE'!C81</f>
        <v>#DIV/0!</v>
      </c>
      <c r="E80" s="230" t="e">
        <f>'2_CHAUFFAGE'!D81</f>
        <v>#DIV/0!</v>
      </c>
      <c r="F80" s="355" t="e">
        <f t="shared" si="36"/>
        <v>#DIV/0!</v>
      </c>
      <c r="G80" s="219">
        <f>'2_ELECTRICITE'!C81</f>
        <v>15.299999999999955</v>
      </c>
      <c r="H80" s="220">
        <f>'2_ELECTRICITE'!D81</f>
        <v>35.200000000000045</v>
      </c>
      <c r="I80" s="154">
        <f t="shared" si="37"/>
        <v>0.56534090909091095</v>
      </c>
      <c r="J80" s="422">
        <f>'2_EAU'!C81</f>
        <v>1599.9999999999943</v>
      </c>
      <c r="K80" s="423">
        <f>'2_EAU'!D81</f>
        <v>1700.0000000000027</v>
      </c>
      <c r="L80" s="154">
        <f t="shared" si="38"/>
        <v>5.8823529411769562E-2</v>
      </c>
      <c r="M80" s="427">
        <f>'2_EAU'!H81</f>
        <v>0.25061728395061711</v>
      </c>
      <c r="N80" s="373">
        <f>'2_EAU'!I81</f>
        <v>0.33415637860082331</v>
      </c>
      <c r="O80" s="154">
        <f t="shared" si="39"/>
        <v>0.25000000000000111</v>
      </c>
    </row>
    <row r="81" spans="1:15" s="21" customFormat="1" ht="13.5" thickBot="1" x14ac:dyDescent="0.3">
      <c r="B81" s="125" t="str">
        <f>CONCATENATE("Ratio - ",'0_ENTREE'!B81," - ",$B$5," - ",$B$7)</f>
        <v>Ratio - MOYENNE SO - 2014 - S23</v>
      </c>
      <c r="C81" s="274" t="e">
        <f>AVERAGE(C68:C80)</f>
        <v>#DIV/0!</v>
      </c>
      <c r="D81" s="227" t="e">
        <f>AVERAGE(D68:D80)</f>
        <v>#DIV/0!</v>
      </c>
      <c r="E81" s="228" t="e">
        <f t="shared" ref="E81" si="40">AVERAGE(E68:E80)</f>
        <v>#DIV/0!</v>
      </c>
      <c r="F81" s="354" t="e">
        <f t="shared" ref="F81" si="41">AVERAGE(F68:F80)</f>
        <v>#DIV/0!</v>
      </c>
      <c r="G81" s="233">
        <f t="shared" ref="G81" si="42">AVERAGE(G68:G80)</f>
        <v>42.920118343195277</v>
      </c>
      <c r="H81" s="234">
        <f t="shared" ref="H81" si="43">AVERAGE(H68:H80)</f>
        <v>45.331952662721925</v>
      </c>
      <c r="I81" s="275">
        <f t="shared" ref="I81" si="44">AVERAGE(I68:I80)</f>
        <v>4.6654511317147894E-2</v>
      </c>
      <c r="J81" s="420">
        <f t="shared" ref="J81" si="45">AVERAGE(J68:J80)</f>
        <v>1733.7278106508868</v>
      </c>
      <c r="K81" s="421">
        <f t="shared" ref="K81" si="46">AVERAGE(K68:K80)</f>
        <v>1843.1952662721899</v>
      </c>
      <c r="L81" s="275">
        <f t="shared" ref="L81" si="47">AVERAGE(L68:L80)</f>
        <v>-1.5995965702535902E-2</v>
      </c>
      <c r="M81" s="372">
        <f>'2_EAU'!H82</f>
        <v>0.12657438583364511</v>
      </c>
      <c r="N81" s="372">
        <f>'2_EAU'!I82</f>
        <v>0.14049756827534599</v>
      </c>
      <c r="O81" s="275" t="e">
        <f t="shared" ref="O81" si="48">AVERAGE(O68:O80)</f>
        <v>#DIV/0!</v>
      </c>
    </row>
    <row r="82" spans="1:15" ht="13.5" thickBot="1" x14ac:dyDescent="0.3"/>
    <row r="83" spans="1:15" s="4" customFormat="1" ht="38.25" x14ac:dyDescent="0.25">
      <c r="A83" s="32"/>
      <c r="B83" s="139" t="s">
        <v>139</v>
      </c>
      <c r="C83" s="139" t="str">
        <f t="shared" ref="C83:L83" si="49">C31</f>
        <v>ECONOMIE GLOBALE</v>
      </c>
      <c r="D83" s="250" t="str">
        <f t="shared" si="49"/>
        <v>CHAUFFAGE corrigé - S23</v>
      </c>
      <c r="E83" s="251" t="str">
        <f t="shared" si="49"/>
        <v>Ratio CHAUFFAGE réf - Juin</v>
      </c>
      <c r="F83" s="137" t="str">
        <f t="shared" si="49"/>
        <v>ECONOMIE CHAUFFAGE</v>
      </c>
      <c r="G83" s="243" t="str">
        <f t="shared" si="49"/>
        <v>ELECTRICTE - S23</v>
      </c>
      <c r="H83" s="244" t="str">
        <f t="shared" si="49"/>
        <v>Ratio ELECTRICTE réf - S23</v>
      </c>
      <c r="I83" s="137" t="str">
        <f t="shared" si="49"/>
        <v>ECONOMIE ELECTRICTE</v>
      </c>
      <c r="J83" s="246" t="str">
        <f t="shared" si="49"/>
        <v>EAU - S23</v>
      </c>
      <c r="K83" s="247" t="str">
        <f t="shared" si="49"/>
        <v>Ratio EAU réf - S23</v>
      </c>
      <c r="L83" s="137" t="str">
        <f t="shared" si="49"/>
        <v>ECONOMIE EAU</v>
      </c>
      <c r="M83" s="382" t="str">
        <f t="shared" ref="M83:O83" si="50">M31</f>
        <v>ECS - S23</v>
      </c>
      <c r="N83" s="376" t="str">
        <f t="shared" si="50"/>
        <v>Ratio ECS réf - S23</v>
      </c>
      <c r="O83" s="137" t="str">
        <f t="shared" si="50"/>
        <v>ECONOMIE ECS</v>
      </c>
    </row>
    <row r="84" spans="1:15" s="4" customFormat="1" ht="26.25" thickBot="1" x14ac:dyDescent="0.3">
      <c r="A84" s="33"/>
      <c r="B84" s="144"/>
      <c r="C84" s="140" t="str">
        <f>C32</f>
        <v>%</v>
      </c>
      <c r="D84" s="252" t="str">
        <f t="shared" ref="D84:L84" si="51">D32</f>
        <v>kWh PCI / m²</v>
      </c>
      <c r="E84" s="377" t="str">
        <f t="shared" si="51"/>
        <v>kWh PCI / m²</v>
      </c>
      <c r="F84" s="138" t="str">
        <f t="shared" si="51"/>
        <v>%</v>
      </c>
      <c r="G84" s="245" t="str">
        <f t="shared" si="51"/>
        <v>kWh / lgt</v>
      </c>
      <c r="H84" s="378" t="str">
        <f t="shared" si="51"/>
        <v>kWh / lgt</v>
      </c>
      <c r="I84" s="138" t="str">
        <f t="shared" si="51"/>
        <v>%</v>
      </c>
      <c r="J84" s="248" t="str">
        <f t="shared" si="51"/>
        <v>litres / lgt</v>
      </c>
      <c r="K84" s="379" t="str">
        <f t="shared" si="51"/>
        <v>litres / lgt</v>
      </c>
      <c r="L84" s="138" t="str">
        <f t="shared" si="51"/>
        <v>%</v>
      </c>
      <c r="M84" s="386" t="str">
        <f t="shared" ref="M84:O84" si="52">M32</f>
        <v>kWh / m²</v>
      </c>
      <c r="N84" s="387" t="str">
        <f t="shared" si="52"/>
        <v>kWh / m²</v>
      </c>
      <c r="O84" s="388" t="str">
        <f t="shared" si="52"/>
        <v>%</v>
      </c>
    </row>
    <row r="85" spans="1:15" x14ac:dyDescent="0.25">
      <c r="B85" s="145" t="s">
        <v>135</v>
      </c>
      <c r="C85" s="141" t="e">
        <f>MAX(C33:C45,C47:C59,C61:C73,C75:C80)</f>
        <v>#DIV/0!</v>
      </c>
      <c r="D85" s="253" t="e">
        <f t="shared" ref="D85:L85" si="53">MAX(D33:D81)</f>
        <v>#DIV/0!</v>
      </c>
      <c r="E85" s="254" t="e">
        <f t="shared" si="53"/>
        <v>#DIV/0!</v>
      </c>
      <c r="F85" s="134" t="e">
        <f t="shared" si="53"/>
        <v>#DIV/0!</v>
      </c>
      <c r="G85" s="255">
        <f t="shared" si="53"/>
        <v>113.20000000000027</v>
      </c>
      <c r="H85" s="256">
        <f t="shared" si="53"/>
        <v>120.29999999999973</v>
      </c>
      <c r="I85" s="134">
        <f t="shared" si="53"/>
        <v>0.56534090909091095</v>
      </c>
      <c r="J85" s="266">
        <f t="shared" si="53"/>
        <v>4700.0000000000027</v>
      </c>
      <c r="K85" s="267">
        <f t="shared" si="53"/>
        <v>5299.9999999999973</v>
      </c>
      <c r="L85" s="134" t="e">
        <f t="shared" si="53"/>
        <v>#DIV/0!</v>
      </c>
      <c r="M85" s="383">
        <f t="shared" ref="M85:O85" si="54">MAX(M33:M81)</f>
        <v>1.3232592592592609</v>
      </c>
      <c r="N85" s="384">
        <f t="shared" si="54"/>
        <v>1.5638518518518527</v>
      </c>
      <c r="O85" s="385" t="e">
        <f t="shared" si="54"/>
        <v>#DIV/0!</v>
      </c>
    </row>
    <row r="86" spans="1:15" x14ac:dyDescent="0.25">
      <c r="B86" s="146" t="s">
        <v>138</v>
      </c>
      <c r="C86" s="142" t="e">
        <f t="shared" ref="C86:L86" si="55">AVERAGE(C33:C45,C47:C59,C61:C73,C75:C80)</f>
        <v>#DIV/0!</v>
      </c>
      <c r="D86" s="257" t="e">
        <f t="shared" si="55"/>
        <v>#DIV/0!</v>
      </c>
      <c r="E86" s="223" t="e">
        <f t="shared" si="55"/>
        <v>#DIV/0!</v>
      </c>
      <c r="F86" s="135" t="e">
        <f t="shared" si="55"/>
        <v>#DIV/0!</v>
      </c>
      <c r="G86" s="258">
        <f t="shared" si="55"/>
        <v>40.451111111111096</v>
      </c>
      <c r="H86" s="222">
        <f t="shared" si="55"/>
        <v>42.148888888888862</v>
      </c>
      <c r="I86" s="135">
        <f t="shared" si="55"/>
        <v>-0.11061400777788197</v>
      </c>
      <c r="J86" s="268">
        <f t="shared" si="55"/>
        <v>1813.3333333333339</v>
      </c>
      <c r="K86" s="218">
        <f t="shared" si="55"/>
        <v>1851.1111111111104</v>
      </c>
      <c r="L86" s="135" t="e">
        <f t="shared" si="55"/>
        <v>#DIV/0!</v>
      </c>
      <c r="M86" s="374">
        <f t="shared" ref="M86:O86" si="56">AVERAGE(M33:M45,M47:M59,M61:M73,M75:M80)</f>
        <v>0.34589634142162606</v>
      </c>
      <c r="N86" s="375">
        <f t="shared" si="56"/>
        <v>0.40667047284045943</v>
      </c>
      <c r="O86" s="135" t="e">
        <f t="shared" si="56"/>
        <v>#DIV/0!</v>
      </c>
    </row>
    <row r="87" spans="1:15" x14ac:dyDescent="0.25">
      <c r="B87" s="146" t="s">
        <v>137</v>
      </c>
      <c r="C87" s="142" t="e">
        <f>MEDIAN(C75:C80,C61:C73,C47:C59,C33:C45)</f>
        <v>#DIV/0!</v>
      </c>
      <c r="D87" s="257" t="e">
        <f t="shared" ref="D87:L87" si="57">MEDIAN(D75:D80,D61:D73,D47:D59,D33:D45)</f>
        <v>#DIV/0!</v>
      </c>
      <c r="E87" s="223" t="e">
        <f t="shared" si="57"/>
        <v>#DIV/0!</v>
      </c>
      <c r="F87" s="135" t="e">
        <f t="shared" si="57"/>
        <v>#DIV/0!</v>
      </c>
      <c r="G87" s="258">
        <f t="shared" si="57"/>
        <v>35.600000000000136</v>
      </c>
      <c r="H87" s="222">
        <f t="shared" si="57"/>
        <v>36.200000000000045</v>
      </c>
      <c r="I87" s="135">
        <f t="shared" si="57"/>
        <v>1.4198782961461381E-2</v>
      </c>
      <c r="J87" s="268">
        <f t="shared" si="57"/>
        <v>1600.0000000000014</v>
      </c>
      <c r="K87" s="218">
        <f t="shared" si="57"/>
        <v>1700.0000000000027</v>
      </c>
      <c r="L87" s="135" t="e">
        <f t="shared" si="57"/>
        <v>#DIV/0!</v>
      </c>
      <c r="M87" s="374">
        <f t="shared" ref="M87:O87" si="58">MEDIAN(M75:M80,M61:M73,M47:M59,M33:M45)</f>
        <v>0.28641975308641998</v>
      </c>
      <c r="N87" s="375">
        <f t="shared" si="58"/>
        <v>0.33415637860082281</v>
      </c>
      <c r="O87" s="135" t="e">
        <f t="shared" si="58"/>
        <v>#DIV/0!</v>
      </c>
    </row>
    <row r="88" spans="1:15" ht="13.5" thickBot="1" x14ac:dyDescent="0.3">
      <c r="B88" s="147" t="s">
        <v>136</v>
      </c>
      <c r="C88" s="143" t="e">
        <f>MIN(C75:C80,C61:C73,C47:C59,C33:C45)</f>
        <v>#DIV/0!</v>
      </c>
      <c r="D88" s="259" t="e">
        <f t="shared" ref="D88:L88" si="59">MIN(D33:D81)</f>
        <v>#DIV/0!</v>
      </c>
      <c r="E88" s="260" t="e">
        <f t="shared" si="59"/>
        <v>#DIV/0!</v>
      </c>
      <c r="F88" s="136" t="e">
        <f t="shared" si="59"/>
        <v>#DIV/0!</v>
      </c>
      <c r="G88" s="261">
        <f t="shared" si="59"/>
        <v>0.39999999999999991</v>
      </c>
      <c r="H88" s="262">
        <f t="shared" si="59"/>
        <v>0.10000000000000009</v>
      </c>
      <c r="I88" s="136">
        <f t="shared" si="59"/>
        <v>-3.2884615384614921</v>
      </c>
      <c r="J88" s="269">
        <f t="shared" si="59"/>
        <v>199.99999999999929</v>
      </c>
      <c r="K88" s="270">
        <f t="shared" si="59"/>
        <v>0</v>
      </c>
      <c r="L88" s="136" t="e">
        <f t="shared" si="59"/>
        <v>#DIV/0!</v>
      </c>
      <c r="M88" s="380">
        <f t="shared" ref="M88:O88" si="60">MIN(M33:M81)</f>
        <v>-0.35243055555555552</v>
      </c>
      <c r="N88" s="381">
        <f t="shared" si="60"/>
        <v>-0.21145833336615596</v>
      </c>
      <c r="O88" s="136" t="e">
        <f t="shared" si="60"/>
        <v>#DIV/0!</v>
      </c>
    </row>
    <row r="125" spans="18:18" x14ac:dyDescent="0.25">
      <c r="R125" s="151"/>
    </row>
    <row r="126" spans="18:18" x14ac:dyDescent="0.25">
      <c r="R126" s="151"/>
    </row>
    <row r="127" spans="18:18" x14ac:dyDescent="0.25">
      <c r="R127" s="151"/>
    </row>
    <row r="128" spans="18:18" x14ac:dyDescent="0.25">
      <c r="R128" s="151"/>
    </row>
    <row r="129" spans="18:18" x14ac:dyDescent="0.25">
      <c r="R129" s="151"/>
    </row>
    <row r="130" spans="18:18" x14ac:dyDescent="0.25">
      <c r="R130" s="151"/>
    </row>
    <row r="131" spans="18:18" x14ac:dyDescent="0.25">
      <c r="R131" s="151"/>
    </row>
    <row r="132" spans="18:18" x14ac:dyDescent="0.25">
      <c r="R132" s="151"/>
    </row>
    <row r="133" spans="18:18" x14ac:dyDescent="0.25">
      <c r="R133" s="151"/>
    </row>
    <row r="134" spans="18:18" x14ac:dyDescent="0.25">
      <c r="R134" s="151"/>
    </row>
    <row r="135" spans="18:18" x14ac:dyDescent="0.25">
      <c r="R135" s="151"/>
    </row>
    <row r="136" spans="18:18" x14ac:dyDescent="0.25">
      <c r="R136" s="151"/>
    </row>
    <row r="137" spans="18:18" x14ac:dyDescent="0.25">
      <c r="R137" s="151"/>
    </row>
    <row r="138" spans="18:18" x14ac:dyDescent="0.25">
      <c r="R138" s="151"/>
    </row>
    <row r="139" spans="18:18" x14ac:dyDescent="0.25">
      <c r="R139" s="151"/>
    </row>
    <row r="140" spans="18:18" x14ac:dyDescent="0.25">
      <c r="R140" s="151"/>
    </row>
    <row r="143" spans="18:18" x14ac:dyDescent="0.25">
      <c r="R143" s="32"/>
    </row>
    <row r="144" spans="18:18" x14ac:dyDescent="0.25">
      <c r="R144" s="33"/>
    </row>
  </sheetData>
  <mergeCells count="21">
    <mergeCell ref="A1:D1"/>
    <mergeCell ref="E4:F4"/>
    <mergeCell ref="E5:F5"/>
    <mergeCell ref="E6:F6"/>
    <mergeCell ref="E7:F7"/>
    <mergeCell ref="E8:F8"/>
    <mergeCell ref="E9:F9"/>
    <mergeCell ref="D20:E20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4:E24"/>
    <mergeCell ref="D25:E25"/>
  </mergeCells>
  <hyperlinks>
    <hyperlink ref="F19" r:id="rId1"/>
  </hyperlinks>
  <pageMargins left="0.70866141732283472" right="0.70866141732283472" top="0.74803149606299213" bottom="0.74803149606299213" header="0.31496062992125984" footer="0.31496062992125984"/>
  <pageSetup paperSize="8" scale="65" orientation="landscape" r:id="rId2"/>
  <headerFooter>
    <oddFooter>&amp;L&amp;F&amp;CSOLAIR&amp;R&amp;A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23"/>
  <sheetViews>
    <sheetView tabSelected="1" zoomScaleNormal="100" workbookViewId="0">
      <selection activeCell="A2" sqref="A2"/>
    </sheetView>
  </sheetViews>
  <sheetFormatPr baseColWidth="10" defaultColWidth="15.7109375" defaultRowHeight="12.75" x14ac:dyDescent="0.25"/>
  <cols>
    <col min="1" max="1" width="15.7109375" style="18" customWidth="1"/>
    <col min="2" max="2" width="40.7109375" style="18" customWidth="1"/>
    <col min="3" max="4" width="12.7109375" style="18" customWidth="1"/>
    <col min="5" max="19" width="12.7109375" style="18" hidden="1" customWidth="1"/>
    <col min="20" max="55" width="12.7109375" style="18" customWidth="1"/>
    <col min="56" max="16384" width="15.7109375" style="18"/>
  </cols>
  <sheetData>
    <row r="1" spans="1:55" ht="30" customHeight="1" thickBot="1" x14ac:dyDescent="0.3">
      <c r="A1" s="513" t="str">
        <f>CONCATENATE("ENCERTICUS - ",B4)</f>
        <v>ENCERTICUS - SUIVI CONSO</v>
      </c>
      <c r="B1" s="514"/>
      <c r="C1" s="514"/>
      <c r="D1" s="515"/>
      <c r="E1" s="25"/>
      <c r="F1" s="173" t="s">
        <v>72</v>
      </c>
      <c r="G1" s="343" t="s">
        <v>73</v>
      </c>
      <c r="H1" s="25"/>
      <c r="I1" s="25"/>
    </row>
    <row r="2" spans="1:55" ht="13.5" thickBot="1" x14ac:dyDescent="0.3">
      <c r="E2" s="28"/>
      <c r="F2" s="13"/>
      <c r="G2" s="98"/>
      <c r="H2" s="13"/>
      <c r="I2" s="25"/>
    </row>
    <row r="3" spans="1:55" x14ac:dyDescent="0.25">
      <c r="A3" s="304" t="s">
        <v>9</v>
      </c>
      <c r="B3" s="294" t="s">
        <v>10</v>
      </c>
    </row>
    <row r="4" spans="1:55" ht="26.25" thickBot="1" x14ac:dyDescent="0.3">
      <c r="A4" s="341" t="s">
        <v>11</v>
      </c>
      <c r="B4" s="342" t="s">
        <v>246</v>
      </c>
      <c r="C4" s="130" t="s">
        <v>133</v>
      </c>
    </row>
    <row r="5" spans="1:55" ht="12.75" customHeight="1" x14ac:dyDescent="0.25">
      <c r="A5" s="4"/>
      <c r="B5" s="24"/>
      <c r="C5" s="26"/>
    </row>
    <row r="6" spans="1:55" x14ac:dyDescent="0.25"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</row>
    <row r="7" spans="1:55" x14ac:dyDescent="0.25">
      <c r="A7" s="175"/>
      <c r="B7" s="334" t="s">
        <v>249</v>
      </c>
      <c r="C7" s="148" t="s">
        <v>240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</row>
    <row r="8" spans="1:55" x14ac:dyDescent="0.25">
      <c r="A8" s="175"/>
      <c r="B8" s="163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P8" s="159"/>
    </row>
    <row r="9" spans="1:55" s="19" customFormat="1" x14ac:dyDescent="0.25">
      <c r="A9" s="179"/>
      <c r="B9" s="335" t="s">
        <v>248</v>
      </c>
      <c r="C9" s="339" t="s">
        <v>187</v>
      </c>
      <c r="D9" s="339" t="s">
        <v>188</v>
      </c>
      <c r="E9" s="339" t="s">
        <v>189</v>
      </c>
      <c r="F9" s="339" t="s">
        <v>190</v>
      </c>
      <c r="G9" s="339" t="s">
        <v>191</v>
      </c>
      <c r="H9" s="339" t="s">
        <v>192</v>
      </c>
      <c r="I9" s="339" t="s">
        <v>193</v>
      </c>
      <c r="J9" s="339" t="s">
        <v>194</v>
      </c>
      <c r="K9" s="339" t="s">
        <v>195</v>
      </c>
      <c r="L9" s="339" t="s">
        <v>196</v>
      </c>
      <c r="M9" s="339" t="s">
        <v>197</v>
      </c>
      <c r="N9" s="339" t="s">
        <v>198</v>
      </c>
      <c r="O9" s="339" t="s">
        <v>199</v>
      </c>
      <c r="P9" s="339" t="s">
        <v>200</v>
      </c>
      <c r="Q9" s="339" t="s">
        <v>201</v>
      </c>
      <c r="R9" s="339" t="s">
        <v>202</v>
      </c>
      <c r="S9" s="339" t="s">
        <v>203</v>
      </c>
      <c r="T9" s="339" t="s">
        <v>204</v>
      </c>
      <c r="U9" s="339" t="s">
        <v>205</v>
      </c>
      <c r="V9" s="339" t="s">
        <v>206</v>
      </c>
      <c r="W9" s="339" t="s">
        <v>207</v>
      </c>
      <c r="X9" s="339" t="s">
        <v>208</v>
      </c>
      <c r="Y9" s="339" t="s">
        <v>209</v>
      </c>
      <c r="Z9" s="339" t="s">
        <v>210</v>
      </c>
      <c r="AA9" s="339" t="s">
        <v>211</v>
      </c>
      <c r="AB9" s="339" t="s">
        <v>212</v>
      </c>
      <c r="AC9" s="339" t="s">
        <v>213</v>
      </c>
      <c r="AD9" s="339" t="s">
        <v>214</v>
      </c>
      <c r="AE9" s="339" t="s">
        <v>215</v>
      </c>
      <c r="AF9" s="339" t="s">
        <v>216</v>
      </c>
      <c r="AG9" s="339" t="s">
        <v>217</v>
      </c>
      <c r="AH9" s="339" t="s">
        <v>218</v>
      </c>
      <c r="AI9" s="339" t="s">
        <v>219</v>
      </c>
      <c r="AJ9" s="339" t="s">
        <v>220</v>
      </c>
      <c r="AK9" s="339" t="s">
        <v>221</v>
      </c>
      <c r="AL9" s="339" t="s">
        <v>222</v>
      </c>
      <c r="AM9" s="339" t="s">
        <v>223</v>
      </c>
      <c r="AN9" s="339" t="s">
        <v>224</v>
      </c>
      <c r="AO9" s="339" t="s">
        <v>225</v>
      </c>
      <c r="AP9" s="339" t="s">
        <v>226</v>
      </c>
      <c r="AQ9" s="339" t="s">
        <v>227</v>
      </c>
      <c r="AR9" s="339" t="s">
        <v>228</v>
      </c>
      <c r="AS9" s="339" t="s">
        <v>229</v>
      </c>
      <c r="AT9" s="339" t="s">
        <v>230</v>
      </c>
      <c r="AU9" s="339" t="s">
        <v>231</v>
      </c>
      <c r="AV9" s="339" t="s">
        <v>232</v>
      </c>
      <c r="AW9" s="339" t="s">
        <v>233</v>
      </c>
      <c r="AX9" s="339" t="s">
        <v>234</v>
      </c>
      <c r="AY9" s="339" t="s">
        <v>235</v>
      </c>
      <c r="AZ9" s="339" t="s">
        <v>236</v>
      </c>
      <c r="BA9" s="339" t="s">
        <v>237</v>
      </c>
      <c r="BB9" s="339" t="s">
        <v>238</v>
      </c>
      <c r="BC9" s="339" t="s">
        <v>239</v>
      </c>
    </row>
    <row r="10" spans="1:55" x14ac:dyDescent="0.25">
      <c r="A10" s="174">
        <v>1</v>
      </c>
      <c r="B10" s="111" t="str">
        <f>'0_ENTREE'!B33</f>
        <v>GC - 274 - T4 - 83m²</v>
      </c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>
        <v>0.18699333534856238</v>
      </c>
      <c r="W10" s="288">
        <v>0.2465197771732022</v>
      </c>
      <c r="X10" s="288">
        <v>0.12572644470353903</v>
      </c>
      <c r="Y10" s="288"/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  <c r="AX10" s="288"/>
      <c r="AY10" s="288"/>
      <c r="AZ10" s="288"/>
      <c r="BA10" s="288"/>
      <c r="BB10" s="288"/>
      <c r="BC10" s="288"/>
    </row>
    <row r="11" spans="1:55" x14ac:dyDescent="0.25">
      <c r="A11" s="174">
        <v>2</v>
      </c>
      <c r="B11" s="111" t="str">
        <f>'0_ENTREE'!B34</f>
        <v>GC - 277 - T2 - 53m²</v>
      </c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>
        <v>0.95519781068956255</v>
      </c>
      <c r="W11" s="288">
        <v>1.8655994842316526</v>
      </c>
      <c r="X11" s="288">
        <v>1.5488668244629289</v>
      </c>
      <c r="Y11" s="288"/>
      <c r="Z11" s="288"/>
      <c r="AA11" s="288"/>
      <c r="AB11" s="288"/>
      <c r="AC11" s="288"/>
      <c r="AD11" s="288"/>
      <c r="AE11" s="288"/>
      <c r="AF11" s="288"/>
      <c r="AG11" s="288"/>
      <c r="AH11" s="288"/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  <c r="BC11" s="288"/>
    </row>
    <row r="12" spans="1:55" x14ac:dyDescent="0.25">
      <c r="A12" s="174">
        <v>3</v>
      </c>
      <c r="B12" s="111" t="str">
        <f>'0_ENTREE'!B35</f>
        <v>GC - 281 - T3 - 71m²</v>
      </c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>
        <v>-0.18732928197621621</v>
      </c>
      <c r="W12" s="288">
        <v>-0.1299496881888674</v>
      </c>
      <c r="X12" s="288">
        <v>-0.20218283271913393</v>
      </c>
      <c r="Y12" s="288"/>
      <c r="Z12" s="288"/>
      <c r="AA12" s="288"/>
      <c r="AB12" s="288"/>
      <c r="AC12" s="288"/>
      <c r="AD12" s="288"/>
      <c r="AE12" s="288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</row>
    <row r="13" spans="1:55" x14ac:dyDescent="0.25">
      <c r="A13" s="174">
        <v>4</v>
      </c>
      <c r="B13" s="392" t="str">
        <f>'0_ENTREE'!B36</f>
        <v>GC - 283 - T3 - 70m²</v>
      </c>
      <c r="C13" s="389"/>
      <c r="D13" s="389"/>
      <c r="E13" s="389"/>
      <c r="F13" s="288"/>
      <c r="G13" s="288"/>
      <c r="H13" s="288"/>
      <c r="I13" s="288"/>
      <c r="J13" s="288"/>
      <c r="K13" s="288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>
        <v>5.7237519713265669E-2</v>
      </c>
      <c r="W13" s="288">
        <v>-9.2164826762209315E-3</v>
      </c>
      <c r="X13" s="288">
        <v>-4.5538996415770479E-2</v>
      </c>
      <c r="Y13" s="288"/>
      <c r="Z13" s="288"/>
      <c r="AA13" s="288"/>
      <c r="AB13" s="288"/>
      <c r="AC13" s="288"/>
      <c r="AD13" s="288"/>
      <c r="AE13" s="288"/>
      <c r="AF13" s="288"/>
      <c r="AG13" s="288"/>
      <c r="AH13" s="288"/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288"/>
    </row>
    <row r="14" spans="1:55" x14ac:dyDescent="0.25">
      <c r="A14" s="174">
        <v>5</v>
      </c>
      <c r="B14" s="392" t="str">
        <f>'0_ENTREE'!B37</f>
        <v>GC - 285 - T3 - 64m²</v>
      </c>
      <c r="C14" s="393"/>
      <c r="D14" s="393"/>
      <c r="E14" s="393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P14" s="288"/>
      <c r="Q14" s="288"/>
      <c r="R14" s="288"/>
      <c r="S14" s="288"/>
      <c r="T14" s="288"/>
      <c r="U14" s="288"/>
      <c r="V14" s="288">
        <v>0.82397950268817211</v>
      </c>
      <c r="W14" s="288">
        <v>0.86145010752687956</v>
      </c>
      <c r="X14" s="288">
        <v>0.92961988354639213</v>
      </c>
      <c r="Y14" s="288"/>
      <c r="Z14" s="288"/>
      <c r="AA14" s="288"/>
      <c r="AB14" s="288"/>
      <c r="AC14" s="288"/>
      <c r="AD14" s="288"/>
      <c r="AE14" s="288"/>
      <c r="AF14" s="288"/>
      <c r="AG14" s="288"/>
      <c r="AH14" s="288"/>
      <c r="AI14" s="288"/>
      <c r="AJ14" s="288"/>
      <c r="AK14" s="288"/>
      <c r="AL14" s="288"/>
      <c r="AM14" s="288"/>
      <c r="AN14" s="288"/>
      <c r="AO14" s="288"/>
      <c r="AP14" s="288"/>
      <c r="AQ14" s="288"/>
      <c r="AR14" s="288"/>
      <c r="AS14" s="288"/>
      <c r="AT14" s="288"/>
      <c r="AU14" s="288"/>
      <c r="AV14" s="288"/>
      <c r="AW14" s="288"/>
      <c r="AX14" s="288"/>
      <c r="AY14" s="288"/>
      <c r="AZ14" s="288"/>
      <c r="BA14" s="288"/>
      <c r="BB14" s="288"/>
      <c r="BC14" s="288"/>
    </row>
    <row r="15" spans="1:55" x14ac:dyDescent="0.25">
      <c r="A15" s="174">
        <v>6</v>
      </c>
      <c r="B15" s="392" t="str">
        <f>'0_ENTREE'!B38</f>
        <v>GC - 286 - T3 - 68m²</v>
      </c>
      <c r="C15" s="393"/>
      <c r="D15" s="393"/>
      <c r="E15" s="393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>
        <v>1.1007674151380993</v>
      </c>
      <c r="W15" s="288">
        <v>0.21273301075268125</v>
      </c>
      <c r="X15" s="288">
        <v>0.20359727036335395</v>
      </c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88"/>
    </row>
    <row r="16" spans="1:55" x14ac:dyDescent="0.25">
      <c r="A16" s="174">
        <v>7</v>
      </c>
      <c r="B16" s="392" t="str">
        <f>'0_ENTREE'!B39</f>
        <v>GC - 289 - T3 - 76m²</v>
      </c>
      <c r="C16" s="393"/>
      <c r="D16" s="393"/>
      <c r="E16" s="393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>
        <v>-2.9968222347983197E-2</v>
      </c>
      <c r="W16" s="288">
        <v>0.10822414198578506</v>
      </c>
      <c r="X16" s="288">
        <v>-9.1175856127772417E-2</v>
      </c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</row>
    <row r="17" spans="1:55" x14ac:dyDescent="0.25">
      <c r="A17" s="174">
        <v>8</v>
      </c>
      <c r="B17" s="392" t="str">
        <f>'0_ENTREE'!B40</f>
        <v>GC - 303 - T4 - 81m²</v>
      </c>
      <c r="C17" s="393"/>
      <c r="D17" s="393"/>
      <c r="E17" s="393"/>
      <c r="F17" s="288"/>
      <c r="G17" s="288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288"/>
      <c r="S17" s="288"/>
      <c r="T17" s="288"/>
      <c r="U17" s="288"/>
      <c r="V17" s="288">
        <v>0.15665378232075083</v>
      </c>
      <c r="W17" s="288">
        <v>-9.5000650176260609E-2</v>
      </c>
      <c r="X17" s="288">
        <v>0.35087883003672499</v>
      </c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</row>
    <row r="18" spans="1:55" x14ac:dyDescent="0.25">
      <c r="A18" s="174">
        <v>9</v>
      </c>
      <c r="B18" s="392" t="str">
        <f>'0_ENTREE'!B41</f>
        <v>GC - 304 - T3 - 66m²</v>
      </c>
      <c r="C18" s="393"/>
      <c r="D18" s="393"/>
      <c r="E18" s="393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>
        <v>0.2047317960971777</v>
      </c>
      <c r="W18" s="288">
        <v>2.5244882516925558E-2</v>
      </c>
      <c r="X18" s="288">
        <v>0.14650920169435994</v>
      </c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</row>
    <row r="19" spans="1:55" x14ac:dyDescent="0.25">
      <c r="A19" s="174">
        <v>10</v>
      </c>
      <c r="B19" s="392" t="str">
        <f>'0_ENTREE'!B42</f>
        <v>GC - 306 - T3 - 66m²</v>
      </c>
      <c r="C19" s="393"/>
      <c r="D19" s="393"/>
      <c r="E19" s="393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>
        <v>4.4727640563335148E-2</v>
      </c>
      <c r="W19" s="288">
        <v>-0.16890565873791655</v>
      </c>
      <c r="X19" s="288">
        <v>8.3925085985381252E-3</v>
      </c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</row>
    <row r="20" spans="1:55" x14ac:dyDescent="0.25">
      <c r="A20" s="174">
        <v>11</v>
      </c>
      <c r="B20" s="506" t="str">
        <f>'0_ENTREE'!B43</f>
        <v>GC - 307 - T3 - 66m²</v>
      </c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>
        <v>1.2531995764092541</v>
      </c>
      <c r="W20" s="288">
        <v>1.4167076702508918</v>
      </c>
      <c r="X20" s="288">
        <v>1.0533563506027981</v>
      </c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</row>
    <row r="21" spans="1:55" x14ac:dyDescent="0.25">
      <c r="A21" s="174">
        <v>12</v>
      </c>
      <c r="B21" s="111" t="str">
        <f>'0_ENTREE'!B44</f>
        <v>GC - 308 - T3 - 66m²</v>
      </c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>
        <v>-5.3975648962784617E-3</v>
      </c>
      <c r="W21" s="288">
        <v>3.3126313312335356E-2</v>
      </c>
      <c r="X21" s="288">
        <v>7.6027684008540111E-2</v>
      </c>
      <c r="Y21" s="288"/>
      <c r="Z21" s="288"/>
      <c r="AA21" s="288"/>
      <c r="AB21" s="288"/>
      <c r="AC21" s="288"/>
      <c r="AD21" s="288"/>
      <c r="AE21" s="288"/>
      <c r="AF21" s="288"/>
      <c r="AG21" s="288"/>
      <c r="AH21" s="288"/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</row>
    <row r="22" spans="1:55" x14ac:dyDescent="0.25">
      <c r="A22" s="174">
        <v>13</v>
      </c>
      <c r="B22" s="111" t="str">
        <f>'0_ENTREE'!B45</f>
        <v>GC - 314 - T4 - 75m²</v>
      </c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>
        <v>0.25952258637991593</v>
      </c>
      <c r="W22" s="288">
        <v>-0.12225031047390565</v>
      </c>
      <c r="X22" s="288">
        <v>0.28957140581441571</v>
      </c>
      <c r="Y22" s="288"/>
      <c r="Z22" s="288"/>
      <c r="AA22" s="288"/>
      <c r="AB22" s="288"/>
      <c r="AC22" s="288"/>
      <c r="AD22" s="288"/>
      <c r="AE22" s="288"/>
      <c r="AF22" s="288"/>
      <c r="AG22" s="288"/>
      <c r="AH22" s="288"/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</row>
    <row r="23" spans="1:55" x14ac:dyDescent="0.25">
      <c r="A23" s="174">
        <v>14</v>
      </c>
      <c r="B23" s="335" t="str">
        <f>'0_ENTREE'!B46</f>
        <v>MOYENNE GC</v>
      </c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89"/>
      <c r="P23" s="289"/>
      <c r="Q23" s="289"/>
      <c r="R23" s="289"/>
      <c r="S23" s="289"/>
      <c r="T23" s="289"/>
      <c r="U23" s="289"/>
      <c r="V23" s="289">
        <v>0.37079353047135516</v>
      </c>
      <c r="W23" s="289">
        <v>0.3264832767305525</v>
      </c>
      <c r="X23" s="289">
        <v>0.33797297835145496</v>
      </c>
      <c r="Y23" s="289"/>
      <c r="Z23" s="289"/>
      <c r="AA23" s="289"/>
      <c r="AB23" s="289"/>
      <c r="AC23" s="289"/>
      <c r="AD23" s="289"/>
      <c r="AE23" s="289"/>
      <c r="AF23" s="289"/>
      <c r="AG23" s="289"/>
      <c r="AH23" s="289"/>
      <c r="AI23" s="289"/>
      <c r="AJ23" s="289"/>
      <c r="AK23" s="289"/>
      <c r="AL23" s="289"/>
      <c r="AM23" s="289"/>
      <c r="AN23" s="289"/>
      <c r="AO23" s="289"/>
      <c r="AP23" s="289"/>
      <c r="AQ23" s="289"/>
      <c r="AR23" s="289"/>
      <c r="AS23" s="289"/>
      <c r="AT23" s="289"/>
      <c r="AU23" s="289"/>
      <c r="AV23" s="289"/>
      <c r="AW23" s="289"/>
      <c r="AX23" s="289"/>
      <c r="AY23" s="289"/>
      <c r="AZ23" s="289"/>
      <c r="BA23" s="289"/>
      <c r="BB23" s="289"/>
      <c r="BC23" s="289"/>
    </row>
    <row r="24" spans="1:55" x14ac:dyDescent="0.25">
      <c r="A24" s="174">
        <v>15</v>
      </c>
      <c r="B24" s="111" t="str">
        <f>'0_ENTREE'!B47</f>
        <v>GE2.1 - 275 - T3 - 74m²</v>
      </c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288">
        <v>-4.9520308695792027E-2</v>
      </c>
      <c r="W24" s="288">
        <v>3.5401465336304533E-2</v>
      </c>
      <c r="X24" s="288">
        <v>-0.13307646226872102</v>
      </c>
      <c r="Y24" s="288"/>
      <c r="Z24" s="288"/>
      <c r="AA24" s="288"/>
      <c r="AB24" s="288"/>
      <c r="AC24" s="288"/>
      <c r="AD24" s="288"/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</row>
    <row r="25" spans="1:55" x14ac:dyDescent="0.25">
      <c r="A25" s="174">
        <v>16</v>
      </c>
      <c r="B25" s="111" t="str">
        <f>'0_ENTREE'!B48</f>
        <v>GE2.1 - 278 - T2 - 57m²</v>
      </c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>
        <v>0.21247591858978387</v>
      </c>
      <c r="W25" s="288">
        <v>-0.3663983432895237</v>
      </c>
      <c r="X25" s="288">
        <v>0.35972882181558791</v>
      </c>
      <c r="Y25" s="288"/>
      <c r="Z25" s="288"/>
      <c r="AA25" s="288"/>
      <c r="AB25" s="288"/>
      <c r="AC25" s="288"/>
      <c r="AD25" s="288"/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8"/>
      <c r="AV25" s="288"/>
      <c r="AW25" s="288"/>
      <c r="AX25" s="288"/>
      <c r="AY25" s="288"/>
      <c r="AZ25" s="288"/>
      <c r="BA25" s="288"/>
      <c r="BB25" s="288"/>
      <c r="BC25" s="288"/>
    </row>
    <row r="26" spans="1:55" x14ac:dyDescent="0.25">
      <c r="A26" s="174">
        <v>17</v>
      </c>
      <c r="B26" s="111" t="str">
        <f>'0_ENTREE'!B49</f>
        <v>GE2.1 - 280 - T3 - 66m²</v>
      </c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>
        <v>-0.10936787227109808</v>
      </c>
      <c r="W26" s="288">
        <v>-0.32081242532855431</v>
      </c>
      <c r="X26" s="288">
        <v>-0.10936787227109808</v>
      </c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8"/>
      <c r="AX26" s="288"/>
      <c r="AY26" s="288"/>
      <c r="AZ26" s="288"/>
      <c r="BA26" s="288"/>
      <c r="BB26" s="288"/>
      <c r="BC26" s="288"/>
    </row>
    <row r="27" spans="1:55" x14ac:dyDescent="0.25">
      <c r="A27" s="174">
        <v>18</v>
      </c>
      <c r="B27" s="111" t="str">
        <f>'0_ENTREE'!B50</f>
        <v>GE2.1 - 282 - T4 - 78m²</v>
      </c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>
        <v>0.18972000735226505</v>
      </c>
      <c r="W27" s="288">
        <v>0.24750619857243883</v>
      </c>
      <c r="X27" s="288">
        <v>0.15897489568973136</v>
      </c>
      <c r="Y27" s="288"/>
      <c r="Z27" s="288"/>
      <c r="AA27" s="288"/>
      <c r="AB27" s="288"/>
      <c r="AC27" s="288"/>
      <c r="AD27" s="288"/>
      <c r="AE27" s="288"/>
      <c r="AF27" s="288"/>
      <c r="AG27" s="288"/>
      <c r="AH27" s="288"/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8"/>
      <c r="AX27" s="288"/>
      <c r="AY27" s="288"/>
      <c r="AZ27" s="288"/>
      <c r="BA27" s="288"/>
      <c r="BB27" s="288"/>
      <c r="BC27" s="288"/>
    </row>
    <row r="28" spans="1:55" x14ac:dyDescent="0.25">
      <c r="A28" s="174">
        <v>19</v>
      </c>
      <c r="B28" s="111" t="str">
        <f>'0_ENTREE'!B51</f>
        <v>GE2.1 - 292 - T3 - 63m²</v>
      </c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>
        <v>0.6559035497145933</v>
      </c>
      <c r="W28" s="288">
        <v>-6.0459684056816114E-2</v>
      </c>
      <c r="X28" s="288">
        <v>0.37041322713393732</v>
      </c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</row>
    <row r="29" spans="1:55" x14ac:dyDescent="0.25">
      <c r="A29" s="174">
        <v>20</v>
      </c>
      <c r="B29" s="111" t="str">
        <f>'0_ENTREE'!B52</f>
        <v>GE2.1 - 293 - T3 - 63m²</v>
      </c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288"/>
      <c r="S29" s="288"/>
      <c r="T29" s="288"/>
      <c r="U29" s="288"/>
      <c r="V29" s="288">
        <v>0.16265771936811721</v>
      </c>
      <c r="W29" s="288">
        <v>0.47704152927120691</v>
      </c>
      <c r="X29" s="288">
        <v>6.7494278507898117E-2</v>
      </c>
      <c r="Y29" s="288"/>
      <c r="Z29" s="288"/>
      <c r="AA29" s="288"/>
      <c r="AB29" s="288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</row>
    <row r="30" spans="1:55" x14ac:dyDescent="0.25">
      <c r="A30" s="174">
        <v>21</v>
      </c>
      <c r="B30" s="111" t="str">
        <f>'0_ENTREE'!B53</f>
        <v>GE2.1 - 295 - T3 - 63m²</v>
      </c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8"/>
      <c r="P30" s="288"/>
      <c r="Q30" s="288"/>
      <c r="R30" s="288"/>
      <c r="S30" s="288"/>
      <c r="T30" s="288"/>
      <c r="U30" s="288"/>
      <c r="V30" s="288">
        <v>0.64764681269080782</v>
      </c>
      <c r="W30" s="288">
        <v>0.66667950086287675</v>
      </c>
      <c r="X30" s="288">
        <v>0.72148459312359825</v>
      </c>
      <c r="Y30" s="288"/>
      <c r="Z30" s="288"/>
      <c r="AA30" s="288"/>
      <c r="AB30" s="288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88"/>
      <c r="BB30" s="288"/>
      <c r="BC30" s="288"/>
    </row>
    <row r="31" spans="1:55" x14ac:dyDescent="0.25">
      <c r="A31" s="174">
        <v>22</v>
      </c>
      <c r="B31" s="111" t="str">
        <f>'0_ENTREE'!B54</f>
        <v>GE2.1 - 296 - T4 - 78m²</v>
      </c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>
        <v>-2.1791742180562842E-2</v>
      </c>
      <c r="W31" s="288">
        <v>0.17064341941611127</v>
      </c>
      <c r="X31" s="288">
        <v>-6.6057393621909516E-2</v>
      </c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</row>
    <row r="32" spans="1:55" x14ac:dyDescent="0.25">
      <c r="A32" s="174">
        <v>23</v>
      </c>
      <c r="B32" s="111" t="str">
        <f>'0_ENTREE'!B55</f>
        <v>GE2.1 - 297 - T4 - 79m²</v>
      </c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>
        <v>3.9691905285604054</v>
      </c>
      <c r="W32" s="288">
        <v>3.8781227294587284</v>
      </c>
      <c r="X32" s="288">
        <v>3.9861970678886482</v>
      </c>
      <c r="Y32" s="288"/>
      <c r="Z32" s="288"/>
      <c r="AA32" s="288"/>
      <c r="AB32" s="288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</row>
    <row r="33" spans="1:55" x14ac:dyDescent="0.25">
      <c r="A33" s="174">
        <v>24</v>
      </c>
      <c r="B33" s="111" t="str">
        <f>'0_ENTREE'!B56</f>
        <v>GE2.1 - 299 - T4 - 79m²</v>
      </c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>
        <v>0.13026376782662705</v>
      </c>
      <c r="W33" s="288">
        <v>6.2237610513740639E-2</v>
      </c>
      <c r="X33" s="288">
        <v>-9.1370627466993343E-2</v>
      </c>
      <c r="Y33" s="288"/>
      <c r="Z33" s="288"/>
      <c r="AA33" s="288"/>
      <c r="AB33" s="288"/>
      <c r="AC33" s="288"/>
      <c r="AD33" s="288"/>
      <c r="AE33" s="288"/>
      <c r="AF33" s="288"/>
      <c r="AG33" s="288"/>
      <c r="AH33" s="288"/>
      <c r="AI33" s="288"/>
      <c r="AJ33" s="288"/>
      <c r="AK33" s="288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8"/>
      <c r="AX33" s="288"/>
      <c r="AY33" s="288"/>
      <c r="AZ33" s="288"/>
      <c r="BA33" s="288"/>
      <c r="BB33" s="288"/>
      <c r="BC33" s="288"/>
    </row>
    <row r="34" spans="1:55" x14ac:dyDescent="0.25">
      <c r="A34" s="174">
        <v>25</v>
      </c>
      <c r="B34" s="111" t="str">
        <f>'0_ENTREE'!B57</f>
        <v>GE2.1 - 300 - T5 - 93m²</v>
      </c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>
        <v>-3.1636737451981423E-2</v>
      </c>
      <c r="W34" s="288">
        <v>-4.608315258026232E-2</v>
      </c>
      <c r="X34" s="288">
        <v>2.9722211687930242E-2</v>
      </c>
      <c r="Y34" s="288"/>
      <c r="Z34" s="288"/>
      <c r="AA34" s="288"/>
      <c r="AB34" s="288"/>
      <c r="AC34" s="288"/>
      <c r="AD34" s="288"/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8"/>
      <c r="AX34" s="288"/>
      <c r="AY34" s="288"/>
      <c r="AZ34" s="288"/>
      <c r="BA34" s="288"/>
      <c r="BB34" s="288"/>
      <c r="BC34" s="288"/>
    </row>
    <row r="35" spans="1:55" x14ac:dyDescent="0.25">
      <c r="A35" s="174">
        <v>26</v>
      </c>
      <c r="B35" s="111" t="str">
        <f>'0_ENTREE'!B58</f>
        <v>GE2.1 - 302 - T5 - 93m²</v>
      </c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>
        <v>0.1524401099677552</v>
      </c>
      <c r="W35" s="288">
        <v>-1.7190322323713279E-2</v>
      </c>
      <c r="X35" s="288">
        <v>0.12510058349712516</v>
      </c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8"/>
      <c r="AX35" s="288"/>
      <c r="AY35" s="288"/>
      <c r="AZ35" s="288"/>
      <c r="BA35" s="288"/>
      <c r="BB35" s="288"/>
      <c r="BC35" s="288"/>
    </row>
    <row r="36" spans="1:55" x14ac:dyDescent="0.25">
      <c r="A36" s="174">
        <v>27</v>
      </c>
      <c r="B36" s="111" t="str">
        <f>'0_ENTREE'!B59</f>
        <v>GE2.1 - 312 - T4 - 75m²</v>
      </c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8"/>
      <c r="N36" s="288"/>
      <c r="O36" s="288"/>
      <c r="P36" s="288"/>
      <c r="Q36" s="288"/>
      <c r="R36" s="288"/>
      <c r="S36" s="288"/>
      <c r="T36" s="288"/>
      <c r="U36" s="288"/>
      <c r="V36" s="288">
        <v>-9.104412202309739E-2</v>
      </c>
      <c r="W36" s="288">
        <v>-0.22664817331740206</v>
      </c>
      <c r="X36" s="288">
        <v>-7.2551882755877303E-2</v>
      </c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</row>
    <row r="37" spans="1:55" x14ac:dyDescent="0.25">
      <c r="A37" s="174">
        <v>28</v>
      </c>
      <c r="B37" s="335" t="str">
        <f>'0_ENTREE'!B60</f>
        <v>MOYENNE GE2.1</v>
      </c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>
        <v>0.44745674088060183</v>
      </c>
      <c r="W37" s="289">
        <v>0.34615695019501042</v>
      </c>
      <c r="X37" s="289">
        <v>0.41128395699691206</v>
      </c>
      <c r="Y37" s="289"/>
      <c r="Z37" s="289"/>
      <c r="AA37" s="289"/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89"/>
      <c r="AN37" s="289"/>
      <c r="AO37" s="289"/>
      <c r="AP37" s="289"/>
      <c r="AQ37" s="289"/>
      <c r="AR37" s="289"/>
      <c r="AS37" s="289"/>
      <c r="AT37" s="289"/>
      <c r="AU37" s="289"/>
      <c r="AV37" s="289"/>
      <c r="AW37" s="289"/>
      <c r="AX37" s="289"/>
      <c r="AY37" s="289"/>
      <c r="AZ37" s="289"/>
      <c r="BA37" s="289"/>
      <c r="BB37" s="289"/>
      <c r="BC37" s="289"/>
    </row>
    <row r="38" spans="1:55" x14ac:dyDescent="0.25">
      <c r="A38" s="174">
        <v>29</v>
      </c>
      <c r="B38" s="111" t="str">
        <f>'0_ENTREE'!B61</f>
        <v>GE2.2 - 271 - T3 - 74m²</v>
      </c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>
        <v>-9.3047989925422788E-3</v>
      </c>
      <c r="W38" s="288">
        <v>-0.15962709677419024</v>
      </c>
      <c r="X38" s="288">
        <v>-4.7568183667535673E-2</v>
      </c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</row>
    <row r="39" spans="1:55" x14ac:dyDescent="0.25">
      <c r="A39" s="174">
        <v>30</v>
      </c>
      <c r="B39" s="111" t="str">
        <f>'0_ENTREE'!B62</f>
        <v>GE2.2 - 272 - T3 - 74m²</v>
      </c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>
        <v>-4.6981679098445972E-2</v>
      </c>
      <c r="W39" s="288">
        <v>0.17205888792017812</v>
      </c>
      <c r="X39" s="288">
        <v>-7.7436563660438135E-2</v>
      </c>
      <c r="Y39" s="288"/>
      <c r="Z39" s="288"/>
      <c r="AA39" s="288"/>
      <c r="AB39" s="288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</row>
    <row r="40" spans="1:55" x14ac:dyDescent="0.25">
      <c r="A40" s="174">
        <v>31</v>
      </c>
      <c r="B40" s="111" t="str">
        <f>'0_ENTREE'!B63</f>
        <v>GE2.2 - 273 - T3 - 74m²</v>
      </c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>
        <v>0.14492174884562534</v>
      </c>
      <c r="W40" s="288">
        <v>0.11446686428363211</v>
      </c>
      <c r="X40" s="288">
        <v>0.58436850334205792</v>
      </c>
      <c r="Y40" s="288"/>
      <c r="Z40" s="288"/>
      <c r="AA40" s="288"/>
      <c r="AB40" s="288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88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288"/>
    </row>
    <row r="41" spans="1:55" x14ac:dyDescent="0.25">
      <c r="A41" s="174">
        <v>32</v>
      </c>
      <c r="B41" s="111" t="str">
        <f>'0_ENTREE'!B64</f>
        <v>GE2.2 - 276 - T4 - 83m²</v>
      </c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>
        <v>-8.1114191533358088E-4</v>
      </c>
      <c r="W41" s="288">
        <v>-4.2410187848164332E-2</v>
      </c>
      <c r="X41" s="288">
        <v>-1.5257640166397395E-2</v>
      </c>
      <c r="Y41" s="288"/>
      <c r="Z41" s="288"/>
      <c r="AA41" s="288"/>
      <c r="AB41" s="288"/>
      <c r="AC41" s="288"/>
      <c r="AD41" s="288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</row>
    <row r="42" spans="1:55" x14ac:dyDescent="0.25">
      <c r="A42" s="174">
        <v>33</v>
      </c>
      <c r="B42" s="111" t="str">
        <f>'0_ENTREE'!B65</f>
        <v>GE2.2 - 279 - T3 - 70m²</v>
      </c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>
        <v>2.4807403488649964</v>
      </c>
      <c r="W42" s="288">
        <v>0.45946886499402684</v>
      </c>
      <c r="X42" s="288">
        <v>0.69721706093189872</v>
      </c>
      <c r="Y42" s="288"/>
      <c r="Z42" s="288"/>
      <c r="AA42" s="288"/>
      <c r="AB42" s="288"/>
      <c r="AC42" s="288"/>
      <c r="AD42" s="288"/>
      <c r="AE42" s="288"/>
      <c r="AF42" s="288"/>
      <c r="AG42" s="288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</row>
    <row r="43" spans="1:55" x14ac:dyDescent="0.25">
      <c r="A43" s="174">
        <v>34</v>
      </c>
      <c r="B43" s="111" t="str">
        <f>'0_ENTREE'!B66</f>
        <v>GE2.2 - 288 - T3 - 68m²</v>
      </c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>
        <v>0.26627094314428279</v>
      </c>
      <c r="W43" s="288">
        <v>-4.050526460046338E-2</v>
      </c>
      <c r="X43" s="288">
        <v>0.33680384637009025</v>
      </c>
      <c r="Y43" s="288"/>
      <c r="Z43" s="288"/>
      <c r="AA43" s="288"/>
      <c r="AB43" s="288"/>
      <c r="AC43" s="288"/>
      <c r="AD43" s="288"/>
      <c r="AE43" s="288"/>
      <c r="AF43" s="288"/>
      <c r="AG43" s="288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</row>
    <row r="44" spans="1:55" x14ac:dyDescent="0.25">
      <c r="A44" s="174">
        <v>35</v>
      </c>
      <c r="B44" s="506" t="str">
        <f>'0_ENTREE'!B67</f>
        <v>GE2.2 - 291 - T3 - 62m²</v>
      </c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>
        <v>-0.11642386403052377</v>
      </c>
      <c r="W44" s="288">
        <v>3.8293472077699044E-2</v>
      </c>
      <c r="X44" s="288">
        <v>-0.11642386403052377</v>
      </c>
      <c r="Y44" s="288"/>
      <c r="Z44" s="288"/>
      <c r="AA44" s="288"/>
      <c r="AB44" s="288"/>
      <c r="AC44" s="288"/>
      <c r="AD44" s="288"/>
      <c r="AE44" s="288"/>
      <c r="AF44" s="288"/>
      <c r="AG44" s="288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</row>
    <row r="45" spans="1:55" x14ac:dyDescent="0.25">
      <c r="A45" s="174">
        <v>36</v>
      </c>
      <c r="B45" s="111" t="str">
        <f>'0_ENTREE'!B68</f>
        <v>GE2.2 - 294 - T3 - 63m²</v>
      </c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>
        <v>-0.11457586618876942</v>
      </c>
      <c r="W45" s="288">
        <v>-0.18841364662153168</v>
      </c>
      <c r="X45" s="288">
        <v>-0.18841364662153168</v>
      </c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</row>
    <row r="46" spans="1:55" x14ac:dyDescent="0.25">
      <c r="A46" s="174">
        <v>37</v>
      </c>
      <c r="B46" s="111" t="str">
        <f>'0_ENTREE'!B69</f>
        <v>GE2.2 - 298 - T5 - 93m²</v>
      </c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>
        <v>1.0880439644917292</v>
      </c>
      <c r="W46" s="288">
        <v>1.0400448077491191</v>
      </c>
      <c r="X46" s="288">
        <v>1.0333649115504693</v>
      </c>
      <c r="Y46" s="288"/>
      <c r="Z46" s="288"/>
      <c r="AA46" s="288"/>
      <c r="AB46" s="288"/>
      <c r="AC46" s="288"/>
      <c r="AD46" s="288"/>
      <c r="AE46" s="288"/>
      <c r="AF46" s="288"/>
      <c r="AG46" s="288"/>
      <c r="AH46" s="288"/>
      <c r="AI46" s="288"/>
      <c r="AJ46" s="288"/>
      <c r="AK46" s="288"/>
      <c r="AL46" s="288"/>
      <c r="AM46" s="288"/>
      <c r="AN46" s="288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</row>
    <row r="47" spans="1:55" x14ac:dyDescent="0.25">
      <c r="A47" s="174">
        <v>38</v>
      </c>
      <c r="B47" s="111" t="str">
        <f>'0_ENTREE'!B70</f>
        <v>GE2.2 - 301 - T4 - 79m²</v>
      </c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>
        <v>-0.15446045037279754</v>
      </c>
      <c r="W47" s="288">
        <v>-9.9950764484305135E-3</v>
      </c>
      <c r="X47" s="288">
        <v>-0.15263187756152488</v>
      </c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288"/>
      <c r="AJ47" s="288"/>
      <c r="AK47" s="288"/>
      <c r="AL47" s="288"/>
      <c r="AM47" s="288"/>
      <c r="AN47" s="288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</row>
    <row r="48" spans="1:55" x14ac:dyDescent="0.25">
      <c r="A48" s="174">
        <v>39</v>
      </c>
      <c r="B48" s="111" t="str">
        <f>'0_ENTREE'!B71</f>
        <v>GE2.2 - 311 - T4 - 74m²</v>
      </c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>
        <v>0.63297901772740583</v>
      </c>
      <c r="W48" s="288">
        <v>0.5642607484904284</v>
      </c>
      <c r="X48" s="288">
        <v>0.48519534954308935</v>
      </c>
      <c r="Y48" s="288"/>
      <c r="Z48" s="288"/>
      <c r="AA48" s="288"/>
      <c r="AB48" s="288"/>
      <c r="AC48" s="288"/>
      <c r="AD48" s="288"/>
      <c r="AE48" s="288"/>
      <c r="AF48" s="288"/>
      <c r="AG48" s="288"/>
      <c r="AH48" s="288"/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</row>
    <row r="49" spans="1:55" x14ac:dyDescent="0.25">
      <c r="A49" s="174">
        <v>40</v>
      </c>
      <c r="B49" s="111" t="str">
        <f>'0_ENTREE'!B72</f>
        <v>GE2.2 - 313 - T4 - 75m²</v>
      </c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U49" s="288"/>
      <c r="V49" s="288">
        <v>-3.6724773237756539E-2</v>
      </c>
      <c r="W49" s="288">
        <v>-0.15884614767024743</v>
      </c>
      <c r="X49" s="288">
        <v>-8.602050497815289E-3</v>
      </c>
      <c r="Y49" s="288"/>
      <c r="Z49" s="288"/>
      <c r="AA49" s="288"/>
      <c r="AB49" s="288"/>
      <c r="AC49" s="288"/>
      <c r="AD49" s="288"/>
      <c r="AE49" s="288"/>
      <c r="AF49" s="288"/>
      <c r="AG49" s="288"/>
      <c r="AH49" s="288"/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</row>
    <row r="50" spans="1:55" x14ac:dyDescent="0.25">
      <c r="A50" s="174">
        <v>41</v>
      </c>
      <c r="B50" s="111" t="str">
        <f>'0_ENTREE'!B73</f>
        <v>GE2.2 - 315 - T4 - 75m²</v>
      </c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8"/>
      <c r="P50" s="288"/>
      <c r="Q50" s="288"/>
      <c r="R50" s="288"/>
      <c r="S50" s="288"/>
      <c r="T50" s="288"/>
      <c r="U50" s="288"/>
      <c r="V50" s="288">
        <v>0.43461589741138812</v>
      </c>
      <c r="W50" s="288">
        <v>0.41804975483870743</v>
      </c>
      <c r="X50" s="288">
        <v>0.36238299386698797</v>
      </c>
      <c r="Y50" s="288"/>
      <c r="Z50" s="288"/>
      <c r="AA50" s="288"/>
      <c r="AB50" s="288"/>
      <c r="AC50" s="288"/>
      <c r="AD50" s="288"/>
      <c r="AE50" s="288"/>
      <c r="AF50" s="288"/>
      <c r="AG50" s="288"/>
      <c r="AH50" s="288"/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</row>
    <row r="51" spans="1:55" x14ac:dyDescent="0.25">
      <c r="A51" s="174">
        <v>42</v>
      </c>
      <c r="B51" s="335" t="str">
        <f>'0_ENTREE'!B74</f>
        <v>MOYENNE GE2.2</v>
      </c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>
        <v>0.35140687281917365</v>
      </c>
      <c r="W51" s="289">
        <v>0.16975738310698182</v>
      </c>
      <c r="X51" s="289">
        <v>0.22253837226144818</v>
      </c>
      <c r="Y51" s="289"/>
      <c r="Z51" s="289"/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  <c r="AK51" s="289"/>
      <c r="AL51" s="289"/>
      <c r="AM51" s="289"/>
      <c r="AN51" s="289"/>
      <c r="AO51" s="289"/>
      <c r="AP51" s="289"/>
      <c r="AQ51" s="289"/>
      <c r="AR51" s="289"/>
      <c r="AS51" s="289"/>
      <c r="AT51" s="289"/>
      <c r="AU51" s="289"/>
      <c r="AV51" s="289"/>
      <c r="AW51" s="289"/>
      <c r="AX51" s="289"/>
      <c r="AY51" s="289"/>
      <c r="AZ51" s="289"/>
      <c r="BA51" s="289"/>
      <c r="BB51" s="289"/>
      <c r="BC51" s="289"/>
    </row>
    <row r="52" spans="1:55" x14ac:dyDescent="0.25">
      <c r="A52" s="174">
        <v>43</v>
      </c>
      <c r="B52" s="111" t="str">
        <f>'0_ENTREE'!B75</f>
        <v>SO - 284 - T - 64m²</v>
      </c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>
        <v>0.31812633736559154</v>
      </c>
      <c r="W52" s="288">
        <v>0.13528760229988021</v>
      </c>
      <c r="X52" s="288">
        <v>0.37433224462365622</v>
      </c>
      <c r="Y52" s="288"/>
      <c r="Z52" s="288"/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8"/>
      <c r="AP52" s="288"/>
      <c r="AQ52" s="288"/>
      <c r="AR52" s="288"/>
      <c r="AS52" s="288"/>
      <c r="AT52" s="288"/>
      <c r="AU52" s="288"/>
      <c r="AV52" s="288"/>
      <c r="AW52" s="288"/>
      <c r="AX52" s="288"/>
      <c r="AY52" s="288"/>
      <c r="AZ52" s="288"/>
      <c r="BA52" s="288"/>
      <c r="BB52" s="288"/>
      <c r="BC52" s="288"/>
    </row>
    <row r="53" spans="1:55" x14ac:dyDescent="0.25">
      <c r="A53" s="174">
        <v>44</v>
      </c>
      <c r="B53" s="111" t="str">
        <f>'0_ENTREE'!B76</f>
        <v>SO - 287 - T - 81m²</v>
      </c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>
        <v>0.21051632137114584</v>
      </c>
      <c r="W53" s="288">
        <v>0.30878846615632111</v>
      </c>
      <c r="X53" s="288">
        <v>0.15308693659011696</v>
      </c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8"/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</row>
    <row r="54" spans="1:55" x14ac:dyDescent="0.25">
      <c r="A54" s="174">
        <v>45</v>
      </c>
      <c r="B54" s="506" t="str">
        <f>'0_ENTREE'!B77</f>
        <v>SO - 290 - T - 40m²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8"/>
      <c r="P54" s="288"/>
      <c r="Q54" s="288"/>
      <c r="R54" s="288"/>
      <c r="S54" s="288"/>
      <c r="T54" s="288"/>
      <c r="U54" s="288"/>
      <c r="V54" s="288">
        <v>0.56895510752688172</v>
      </c>
      <c r="W54" s="288">
        <v>0.83874346236559316</v>
      </c>
      <c r="X54" s="288">
        <v>0.26919026881720431</v>
      </c>
      <c r="Y54" s="288"/>
      <c r="Z54" s="288"/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8"/>
      <c r="AP54" s="288"/>
      <c r="AQ54" s="288"/>
      <c r="AR54" s="288"/>
      <c r="AS54" s="288"/>
      <c r="AT54" s="288"/>
      <c r="AU54" s="288"/>
      <c r="AV54" s="288"/>
      <c r="AW54" s="288"/>
      <c r="AX54" s="288"/>
      <c r="AY54" s="288"/>
      <c r="AZ54" s="288"/>
      <c r="BA54" s="288"/>
      <c r="BB54" s="288"/>
      <c r="BC54" s="288"/>
    </row>
    <row r="55" spans="1:55" x14ac:dyDescent="0.25">
      <c r="A55" s="174">
        <v>46</v>
      </c>
      <c r="B55" s="506" t="str">
        <f>'0_ENTREE'!B78</f>
        <v>SO - 305 - T - 66m²</v>
      </c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288"/>
      <c r="S55" s="288"/>
      <c r="T55" s="288"/>
      <c r="U55" s="288"/>
      <c r="V55" s="288">
        <v>0.59916720104268073</v>
      </c>
      <c r="W55" s="288">
        <v>0.92618338872596739</v>
      </c>
      <c r="X55" s="288">
        <v>0.79901042684913659</v>
      </c>
      <c r="Y55" s="288"/>
      <c r="Z55" s="288"/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8"/>
      <c r="AP55" s="288"/>
      <c r="AQ55" s="288"/>
      <c r="AR55" s="288"/>
      <c r="AS55" s="288"/>
      <c r="AT55" s="288"/>
      <c r="AU55" s="288"/>
      <c r="AV55" s="288"/>
      <c r="AW55" s="288"/>
      <c r="AX55" s="288"/>
      <c r="AY55" s="288"/>
      <c r="AZ55" s="288"/>
      <c r="BA55" s="288"/>
      <c r="BB55" s="288"/>
      <c r="BC55" s="288"/>
    </row>
    <row r="56" spans="1:55" x14ac:dyDescent="0.25">
      <c r="A56" s="174">
        <v>47</v>
      </c>
      <c r="B56" s="111" t="str">
        <f>'0_ENTREE'!B79</f>
        <v>SO - 309 - T - 66m²</v>
      </c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>
        <v>3.7916237254263176</v>
      </c>
      <c r="W56" s="288">
        <v>2.9289931392780866</v>
      </c>
      <c r="X56" s="288">
        <v>2.5722080583613796</v>
      </c>
      <c r="Y56" s="288"/>
      <c r="Z56" s="288"/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8"/>
      <c r="AP56" s="288"/>
      <c r="AQ56" s="288"/>
      <c r="AR56" s="288"/>
      <c r="AS56" s="288"/>
      <c r="AT56" s="288"/>
      <c r="AU56" s="288"/>
      <c r="AV56" s="288"/>
      <c r="AW56" s="288"/>
      <c r="AX56" s="288"/>
      <c r="AY56" s="288"/>
      <c r="AZ56" s="288"/>
      <c r="BA56" s="288"/>
      <c r="BB56" s="288"/>
      <c r="BC56" s="288"/>
    </row>
    <row r="57" spans="1:55" x14ac:dyDescent="0.25">
      <c r="A57" s="174">
        <v>48</v>
      </c>
      <c r="B57" s="111" t="str">
        <f>'0_ENTREE'!B80</f>
        <v>SO - 310 - T - 54m²</v>
      </c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288"/>
      <c r="S57" s="288"/>
      <c r="T57" s="288"/>
      <c r="U57" s="288"/>
      <c r="V57" s="288">
        <v>0.22963040488516204</v>
      </c>
      <c r="W57" s="288">
        <v>5.7342250542074605E-2</v>
      </c>
      <c r="X57" s="288">
        <v>9.907672197882815E-2</v>
      </c>
      <c r="Y57" s="288"/>
      <c r="Z57" s="288"/>
      <c r="AA57" s="288"/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8"/>
      <c r="AP57" s="288"/>
      <c r="AQ57" s="288"/>
      <c r="AR57" s="288"/>
      <c r="AS57" s="288"/>
      <c r="AT57" s="288"/>
      <c r="AU57" s="288"/>
      <c r="AV57" s="288"/>
      <c r="AW57" s="288"/>
      <c r="AX57" s="288"/>
      <c r="AY57" s="288"/>
      <c r="AZ57" s="288"/>
      <c r="BA57" s="288"/>
      <c r="BB57" s="288"/>
      <c r="BC57" s="288"/>
    </row>
    <row r="58" spans="1:55" x14ac:dyDescent="0.25">
      <c r="A58" s="174"/>
      <c r="B58" s="335" t="str">
        <f>'0_ENTREE'!B81</f>
        <v>MOYENNE SO</v>
      </c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89"/>
      <c r="S58" s="289"/>
      <c r="T58" s="289"/>
      <c r="U58" s="289"/>
      <c r="V58" s="289">
        <v>0.60917721232831945</v>
      </c>
      <c r="W58" s="289">
        <v>0.54078431790868842</v>
      </c>
      <c r="X58" s="289">
        <v>0.46313374690472653</v>
      </c>
      <c r="Y58" s="289"/>
      <c r="Z58" s="289"/>
      <c r="AA58" s="289"/>
      <c r="AB58" s="289"/>
      <c r="AC58" s="289"/>
      <c r="AD58" s="289"/>
      <c r="AE58" s="289"/>
      <c r="AF58" s="289"/>
      <c r="AG58" s="289"/>
      <c r="AH58" s="289"/>
      <c r="AI58" s="289"/>
      <c r="AJ58" s="289"/>
      <c r="AK58" s="289"/>
      <c r="AL58" s="289"/>
      <c r="AM58" s="289"/>
      <c r="AN58" s="289"/>
      <c r="AO58" s="289"/>
      <c r="AP58" s="289"/>
      <c r="AQ58" s="289"/>
      <c r="AR58" s="289"/>
      <c r="AS58" s="289"/>
      <c r="AT58" s="289"/>
      <c r="AU58" s="289"/>
      <c r="AV58" s="289"/>
      <c r="AW58" s="289"/>
      <c r="AX58" s="289"/>
      <c r="AY58" s="289"/>
      <c r="AZ58" s="289"/>
      <c r="BA58" s="289"/>
      <c r="BB58" s="289"/>
      <c r="BC58" s="289"/>
    </row>
    <row r="59" spans="1:55" x14ac:dyDescent="0.25">
      <c r="A59" s="175"/>
    </row>
    <row r="60" spans="1:55" x14ac:dyDescent="0.25">
      <c r="A60" s="175"/>
    </row>
    <row r="61" spans="1:55" x14ac:dyDescent="0.25">
      <c r="A61" s="175"/>
    </row>
    <row r="62" spans="1:55" x14ac:dyDescent="0.25">
      <c r="A62" s="175"/>
      <c r="B62" s="336" t="s">
        <v>247</v>
      </c>
      <c r="C62" s="148" t="s">
        <v>240</v>
      </c>
    </row>
    <row r="63" spans="1:55" x14ac:dyDescent="0.25">
      <c r="A63" s="175"/>
      <c r="B63" s="163" t="s">
        <v>132</v>
      </c>
      <c r="C63" s="174">
        <v>3</v>
      </c>
      <c r="D63" s="174">
        <v>4</v>
      </c>
      <c r="E63" s="174">
        <v>5</v>
      </c>
      <c r="F63" s="174">
        <v>6</v>
      </c>
      <c r="G63" s="174">
        <v>7</v>
      </c>
      <c r="H63" s="174">
        <v>8</v>
      </c>
      <c r="I63" s="174">
        <v>9</v>
      </c>
      <c r="J63" s="174">
        <v>10</v>
      </c>
      <c r="K63" s="174">
        <v>11</v>
      </c>
      <c r="L63" s="174">
        <v>12</v>
      </c>
      <c r="M63" s="174">
        <v>13</v>
      </c>
      <c r="N63" s="174">
        <v>14</v>
      </c>
      <c r="O63" s="174">
        <v>15</v>
      </c>
      <c r="P63" s="174">
        <v>16</v>
      </c>
      <c r="Q63" s="174">
        <v>17</v>
      </c>
      <c r="R63" s="174">
        <v>18</v>
      </c>
      <c r="S63" s="174">
        <v>19</v>
      </c>
      <c r="T63" s="174">
        <v>20</v>
      </c>
      <c r="U63" s="174">
        <v>21</v>
      </c>
      <c r="V63" s="174">
        <v>22</v>
      </c>
      <c r="W63" s="174">
        <v>23</v>
      </c>
      <c r="X63" s="174">
        <v>24</v>
      </c>
      <c r="Y63" s="174">
        <v>25</v>
      </c>
      <c r="Z63" s="174">
        <v>26</v>
      </c>
      <c r="AA63" s="174">
        <v>27</v>
      </c>
      <c r="AB63" s="174">
        <v>28</v>
      </c>
      <c r="AC63" s="174">
        <v>29</v>
      </c>
      <c r="AD63" s="174">
        <v>30</v>
      </c>
      <c r="AE63" s="174">
        <v>31</v>
      </c>
      <c r="AF63" s="174">
        <v>32</v>
      </c>
      <c r="AG63" s="174">
        <v>33</v>
      </c>
      <c r="AH63" s="174">
        <v>34</v>
      </c>
      <c r="AI63" s="174">
        <v>35</v>
      </c>
      <c r="AJ63" s="174">
        <v>36</v>
      </c>
      <c r="AK63" s="174">
        <v>37</v>
      </c>
      <c r="AL63" s="174">
        <v>38</v>
      </c>
      <c r="AM63" s="174">
        <v>39</v>
      </c>
      <c r="AN63" s="174">
        <v>40</v>
      </c>
      <c r="AO63" s="174">
        <v>41</v>
      </c>
      <c r="AP63" s="174">
        <v>42</v>
      </c>
      <c r="AQ63" s="174">
        <v>43</v>
      </c>
      <c r="AR63" s="174">
        <v>44</v>
      </c>
      <c r="AS63" s="174">
        <v>45</v>
      </c>
      <c r="AT63" s="174">
        <v>46</v>
      </c>
      <c r="AU63" s="174">
        <v>47</v>
      </c>
      <c r="AV63" s="174">
        <v>48</v>
      </c>
      <c r="AW63" s="174">
        <v>49</v>
      </c>
      <c r="AX63" s="174">
        <v>50</v>
      </c>
      <c r="AY63" s="174">
        <v>51</v>
      </c>
      <c r="AZ63" s="174">
        <v>52</v>
      </c>
      <c r="BA63" s="174">
        <v>53</v>
      </c>
      <c r="BB63" s="174">
        <v>53</v>
      </c>
      <c r="BC63" s="174"/>
    </row>
    <row r="64" spans="1:55" s="19" customFormat="1" x14ac:dyDescent="0.25">
      <c r="A64" s="179"/>
      <c r="B64" s="66" t="s">
        <v>247</v>
      </c>
      <c r="C64" s="70" t="s">
        <v>187</v>
      </c>
      <c r="D64" s="70" t="s">
        <v>188</v>
      </c>
      <c r="E64" s="70" t="s">
        <v>189</v>
      </c>
      <c r="F64" s="70" t="s">
        <v>190</v>
      </c>
      <c r="G64" s="70" t="s">
        <v>191</v>
      </c>
      <c r="H64" s="70" t="s">
        <v>192</v>
      </c>
      <c r="I64" s="70" t="s">
        <v>193</v>
      </c>
      <c r="J64" s="70" t="s">
        <v>194</v>
      </c>
      <c r="K64" s="70" t="s">
        <v>195</v>
      </c>
      <c r="L64" s="70" t="s">
        <v>196</v>
      </c>
      <c r="M64" s="70" t="s">
        <v>197</v>
      </c>
      <c r="N64" s="70" t="s">
        <v>198</v>
      </c>
      <c r="O64" s="70" t="s">
        <v>199</v>
      </c>
      <c r="P64" s="70" t="s">
        <v>200</v>
      </c>
      <c r="Q64" s="70" t="s">
        <v>201</v>
      </c>
      <c r="R64" s="70" t="s">
        <v>202</v>
      </c>
      <c r="S64" s="70" t="s">
        <v>203</v>
      </c>
      <c r="T64" s="70" t="s">
        <v>204</v>
      </c>
      <c r="U64" s="70" t="s">
        <v>205</v>
      </c>
      <c r="V64" s="70" t="s">
        <v>206</v>
      </c>
      <c r="W64" s="70" t="s">
        <v>207</v>
      </c>
      <c r="X64" s="70" t="s">
        <v>208</v>
      </c>
      <c r="Y64" s="70" t="s">
        <v>209</v>
      </c>
      <c r="Z64" s="70" t="s">
        <v>210</v>
      </c>
      <c r="AA64" s="70" t="s">
        <v>211</v>
      </c>
      <c r="AB64" s="70" t="s">
        <v>212</v>
      </c>
      <c r="AC64" s="70" t="s">
        <v>213</v>
      </c>
      <c r="AD64" s="70" t="s">
        <v>214</v>
      </c>
      <c r="AE64" s="70" t="s">
        <v>215</v>
      </c>
      <c r="AF64" s="70" t="s">
        <v>216</v>
      </c>
      <c r="AG64" s="70" t="s">
        <v>217</v>
      </c>
      <c r="AH64" s="70" t="s">
        <v>218</v>
      </c>
      <c r="AI64" s="70" t="s">
        <v>219</v>
      </c>
      <c r="AJ64" s="70" t="s">
        <v>220</v>
      </c>
      <c r="AK64" s="70" t="s">
        <v>221</v>
      </c>
      <c r="AL64" s="70" t="s">
        <v>222</v>
      </c>
      <c r="AM64" s="70" t="s">
        <v>223</v>
      </c>
      <c r="AN64" s="70" t="s">
        <v>224</v>
      </c>
      <c r="AO64" s="70" t="s">
        <v>225</v>
      </c>
      <c r="AP64" s="70" t="s">
        <v>226</v>
      </c>
      <c r="AQ64" s="70" t="s">
        <v>227</v>
      </c>
      <c r="AR64" s="70" t="s">
        <v>228</v>
      </c>
      <c r="AS64" s="70" t="s">
        <v>229</v>
      </c>
      <c r="AT64" s="70" t="s">
        <v>230</v>
      </c>
      <c r="AU64" s="70" t="s">
        <v>231</v>
      </c>
      <c r="AV64" s="70" t="s">
        <v>232</v>
      </c>
      <c r="AW64" s="70" t="s">
        <v>233</v>
      </c>
      <c r="AX64" s="70" t="s">
        <v>234</v>
      </c>
      <c r="AY64" s="70" t="s">
        <v>235</v>
      </c>
      <c r="AZ64" s="70" t="s">
        <v>236</v>
      </c>
      <c r="BA64" s="70" t="s">
        <v>237</v>
      </c>
      <c r="BB64" s="70" t="s">
        <v>238</v>
      </c>
      <c r="BC64" s="70" t="s">
        <v>239</v>
      </c>
    </row>
    <row r="65" spans="1:55" x14ac:dyDescent="0.25">
      <c r="A65" s="174">
        <v>1</v>
      </c>
      <c r="B65" s="68" t="str">
        <f t="shared" ref="B65:B78" si="0">B10</f>
        <v>GC - 274 - T4 - 83m²</v>
      </c>
      <c r="C65" s="428"/>
      <c r="D65" s="428"/>
      <c r="E65" s="428"/>
      <c r="F65" s="428"/>
      <c r="G65" s="428"/>
      <c r="H65" s="428"/>
      <c r="I65" s="428"/>
      <c r="J65" s="428"/>
      <c r="K65" s="428"/>
      <c r="L65" s="428"/>
      <c r="M65" s="428"/>
      <c r="N65" s="428"/>
      <c r="O65" s="428"/>
      <c r="P65" s="428"/>
      <c r="Q65" s="428"/>
      <c r="R65" s="428"/>
      <c r="S65" s="428"/>
      <c r="T65" s="428"/>
      <c r="U65" s="428"/>
      <c r="V65" s="428">
        <v>52.200000000000045</v>
      </c>
      <c r="W65" s="428">
        <v>54.900000000000091</v>
      </c>
      <c r="X65" s="428">
        <v>54.399999999999864</v>
      </c>
      <c r="Y65" s="428">
        <v>55</v>
      </c>
      <c r="Z65" s="428"/>
      <c r="AA65" s="428"/>
      <c r="AB65" s="428"/>
      <c r="AC65" s="428"/>
      <c r="AD65" s="428"/>
      <c r="AE65" s="428"/>
      <c r="AF65" s="428"/>
      <c r="AG65" s="428"/>
      <c r="AH65" s="428"/>
      <c r="AI65" s="428"/>
      <c r="AJ65" s="428"/>
      <c r="AK65" s="428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</row>
    <row r="66" spans="1:55" x14ac:dyDescent="0.25">
      <c r="A66" s="174">
        <v>2</v>
      </c>
      <c r="B66" s="68" t="str">
        <f t="shared" si="0"/>
        <v>GC - 277 - T2 - 53m²</v>
      </c>
      <c r="C66" s="428"/>
      <c r="D66" s="428"/>
      <c r="E66" s="428"/>
      <c r="F66" s="428"/>
      <c r="G66" s="428"/>
      <c r="H66" s="428"/>
      <c r="I66" s="428"/>
      <c r="J66" s="428"/>
      <c r="K66" s="428"/>
      <c r="L66" s="428"/>
      <c r="M66" s="428"/>
      <c r="N66" s="428"/>
      <c r="O66" s="428"/>
      <c r="P66" s="428"/>
      <c r="Q66" s="428"/>
      <c r="R66" s="428"/>
      <c r="S66" s="428"/>
      <c r="T66" s="428"/>
      <c r="U66" s="428"/>
      <c r="V66" s="428">
        <v>31.199999999999932</v>
      </c>
      <c r="W66" s="428">
        <v>41.200000000000045</v>
      </c>
      <c r="X66" s="428">
        <v>40</v>
      </c>
      <c r="Y66" s="428">
        <v>31.5</v>
      </c>
      <c r="Z66" s="428"/>
      <c r="AA66" s="428"/>
      <c r="AB66" s="428"/>
      <c r="AC66" s="428"/>
      <c r="AD66" s="428"/>
      <c r="AE66" s="428"/>
      <c r="AF66" s="428"/>
      <c r="AG66" s="428"/>
      <c r="AH66" s="428"/>
      <c r="AI66" s="428"/>
      <c r="AJ66" s="428"/>
      <c r="AK66" s="428"/>
      <c r="AL66" s="428"/>
      <c r="AM66" s="428"/>
      <c r="AN66" s="428"/>
      <c r="AO66" s="428"/>
      <c r="AP66" s="428"/>
      <c r="AQ66" s="428"/>
      <c r="AR66" s="428"/>
      <c r="AS66" s="428"/>
      <c r="AT66" s="428"/>
      <c r="AU66" s="428"/>
      <c r="AV66" s="428"/>
      <c r="AW66" s="428"/>
      <c r="AX66" s="428"/>
      <c r="AY66" s="428"/>
      <c r="AZ66" s="428"/>
      <c r="BA66" s="428"/>
      <c r="BB66" s="428"/>
      <c r="BC66" s="428"/>
    </row>
    <row r="67" spans="1:55" x14ac:dyDescent="0.25">
      <c r="A67" s="174">
        <v>3</v>
      </c>
      <c r="B67" s="68" t="str">
        <f t="shared" si="0"/>
        <v>GC - 281 - T3 - 71m²</v>
      </c>
      <c r="C67" s="428"/>
      <c r="D67" s="428"/>
      <c r="E67" s="428"/>
      <c r="F67" s="428"/>
      <c r="G67" s="428"/>
      <c r="H67" s="428"/>
      <c r="I67" s="428"/>
      <c r="J67" s="428"/>
      <c r="K67" s="428"/>
      <c r="L67" s="428"/>
      <c r="M67" s="428"/>
      <c r="N67" s="428"/>
      <c r="O67" s="428"/>
      <c r="P67" s="428"/>
      <c r="Q67" s="428"/>
      <c r="R67" s="428"/>
      <c r="S67" s="428"/>
      <c r="T67" s="428"/>
      <c r="U67" s="428"/>
      <c r="V67" s="428">
        <v>40.799999999999955</v>
      </c>
      <c r="W67" s="428">
        <v>34.200000000000045</v>
      </c>
      <c r="X67" s="428">
        <v>36.200000000000045</v>
      </c>
      <c r="Y67" s="428">
        <v>36.700000000000045</v>
      </c>
      <c r="Z67" s="428"/>
      <c r="AA67" s="428"/>
      <c r="AB67" s="428"/>
      <c r="AC67" s="428"/>
      <c r="AD67" s="428"/>
      <c r="AE67" s="428"/>
      <c r="AF67" s="428"/>
      <c r="AG67" s="428"/>
      <c r="AH67" s="428"/>
      <c r="AI67" s="428"/>
      <c r="AJ67" s="428"/>
      <c r="AK67" s="428"/>
      <c r="AL67" s="428"/>
      <c r="AM67" s="428"/>
      <c r="AN67" s="428"/>
      <c r="AO67" s="428"/>
      <c r="AP67" s="428"/>
      <c r="AQ67" s="428"/>
      <c r="AR67" s="428"/>
      <c r="AS67" s="428"/>
      <c r="AT67" s="428"/>
      <c r="AU67" s="428"/>
      <c r="AV67" s="428"/>
      <c r="AW67" s="428"/>
      <c r="AX67" s="428"/>
      <c r="AY67" s="428"/>
      <c r="AZ67" s="428"/>
      <c r="BA67" s="428"/>
      <c r="BB67" s="428"/>
      <c r="BC67" s="428"/>
    </row>
    <row r="68" spans="1:55" x14ac:dyDescent="0.25">
      <c r="A68" s="174">
        <v>4</v>
      </c>
      <c r="B68" s="68" t="str">
        <f t="shared" si="0"/>
        <v>GC - 283 - T3 - 70m²</v>
      </c>
      <c r="C68" s="428"/>
      <c r="D68" s="428"/>
      <c r="E68" s="428"/>
      <c r="F68" s="428"/>
      <c r="G68" s="428"/>
      <c r="H68" s="428"/>
      <c r="I68" s="428"/>
      <c r="J68" s="428"/>
      <c r="K68" s="428"/>
      <c r="L68" s="428"/>
      <c r="M68" s="428"/>
      <c r="N68" s="428"/>
      <c r="O68" s="428"/>
      <c r="P68" s="428"/>
      <c r="Q68" s="428"/>
      <c r="R68" s="428"/>
      <c r="S68" s="428"/>
      <c r="T68" s="428"/>
      <c r="U68" s="428"/>
      <c r="V68" s="428">
        <v>26.399999999999977</v>
      </c>
      <c r="W68" s="428">
        <v>27</v>
      </c>
      <c r="X68" s="428">
        <v>27.200000000000045</v>
      </c>
      <c r="Y68" s="428">
        <v>28</v>
      </c>
      <c r="Z68" s="428"/>
      <c r="AA68" s="428"/>
      <c r="AB68" s="428"/>
      <c r="AC68" s="428"/>
      <c r="AD68" s="428"/>
      <c r="AE68" s="428"/>
      <c r="AF68" s="428"/>
      <c r="AG68" s="428"/>
      <c r="AH68" s="428"/>
      <c r="AI68" s="428"/>
      <c r="AJ68" s="428"/>
      <c r="AK68" s="428"/>
      <c r="AL68" s="428"/>
      <c r="AM68" s="428"/>
      <c r="AN68" s="428"/>
      <c r="AO68" s="428"/>
      <c r="AP68" s="428"/>
      <c r="AQ68" s="428"/>
      <c r="AR68" s="428"/>
      <c r="AS68" s="428"/>
      <c r="AT68" s="428"/>
      <c r="AU68" s="428"/>
      <c r="AV68" s="428"/>
      <c r="AW68" s="428"/>
      <c r="AX68" s="428"/>
      <c r="AY68" s="428"/>
      <c r="AZ68" s="428"/>
      <c r="BA68" s="428"/>
      <c r="BB68" s="428"/>
      <c r="BC68" s="428"/>
    </row>
    <row r="69" spans="1:55" x14ac:dyDescent="0.25">
      <c r="A69" s="174">
        <v>5</v>
      </c>
      <c r="B69" s="68" t="str">
        <f t="shared" si="0"/>
        <v>GC - 285 - T3 - 64m²</v>
      </c>
      <c r="C69" s="428"/>
      <c r="D69" s="428"/>
      <c r="E69" s="428"/>
      <c r="F69" s="428"/>
      <c r="G69" s="428"/>
      <c r="H69" s="428"/>
      <c r="I69" s="428"/>
      <c r="J69" s="428"/>
      <c r="K69" s="428"/>
      <c r="L69" s="428"/>
      <c r="M69" s="428"/>
      <c r="N69" s="428"/>
      <c r="O69" s="428"/>
      <c r="P69" s="428"/>
      <c r="Q69" s="428"/>
      <c r="R69" s="428"/>
      <c r="S69" s="428"/>
      <c r="T69" s="428"/>
      <c r="U69" s="428"/>
      <c r="V69" s="428">
        <v>36.200000000000045</v>
      </c>
      <c r="W69" s="428">
        <v>36.799999999999955</v>
      </c>
      <c r="X69" s="428">
        <v>39</v>
      </c>
      <c r="Y69" s="428">
        <v>37</v>
      </c>
      <c r="Z69" s="428"/>
      <c r="AA69" s="428"/>
      <c r="AB69" s="428"/>
      <c r="AC69" s="428"/>
      <c r="AD69" s="428"/>
      <c r="AE69" s="428"/>
      <c r="AF69" s="428"/>
      <c r="AG69" s="428"/>
      <c r="AH69" s="428"/>
      <c r="AI69" s="428"/>
      <c r="AJ69" s="428"/>
      <c r="AK69" s="428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8"/>
      <c r="AX69" s="428"/>
      <c r="AY69" s="428"/>
      <c r="AZ69" s="428"/>
      <c r="BA69" s="428"/>
      <c r="BB69" s="428"/>
      <c r="BC69" s="428"/>
    </row>
    <row r="70" spans="1:55" x14ac:dyDescent="0.25">
      <c r="A70" s="174">
        <v>6</v>
      </c>
      <c r="B70" s="68" t="str">
        <f t="shared" si="0"/>
        <v>GC - 286 - T3 - 68m²</v>
      </c>
      <c r="C70" s="428"/>
      <c r="D70" s="428"/>
      <c r="E70" s="428"/>
      <c r="F70" s="428"/>
      <c r="G70" s="428"/>
      <c r="H70" s="428"/>
      <c r="I70" s="428"/>
      <c r="J70" s="428"/>
      <c r="K70" s="428"/>
      <c r="L70" s="428"/>
      <c r="M70" s="428"/>
      <c r="N70" s="428"/>
      <c r="O70" s="428"/>
      <c r="P70" s="428"/>
      <c r="Q70" s="428"/>
      <c r="R70" s="428"/>
      <c r="S70" s="428"/>
      <c r="T70" s="428"/>
      <c r="U70" s="428"/>
      <c r="V70" s="428">
        <v>29.5</v>
      </c>
      <c r="W70" s="428">
        <v>22.800000000000068</v>
      </c>
      <c r="X70" s="428">
        <v>23.799999999999955</v>
      </c>
      <c r="Y70" s="428">
        <v>20.600000000000023</v>
      </c>
      <c r="Z70" s="428"/>
      <c r="AA70" s="428"/>
      <c r="AB70" s="428"/>
      <c r="AC70" s="428"/>
      <c r="AD70" s="428"/>
      <c r="AE70" s="428"/>
      <c r="AF70" s="428"/>
      <c r="AG70" s="428"/>
      <c r="AH70" s="428"/>
      <c r="AI70" s="428"/>
      <c r="AJ70" s="428"/>
      <c r="AK70" s="428"/>
      <c r="AL70" s="428"/>
      <c r="AM70" s="428"/>
      <c r="AN70" s="428"/>
      <c r="AO70" s="428"/>
      <c r="AP70" s="428"/>
      <c r="AQ70" s="428"/>
      <c r="AR70" s="428"/>
      <c r="AS70" s="428"/>
      <c r="AT70" s="428"/>
      <c r="AU70" s="428"/>
      <c r="AV70" s="428"/>
      <c r="AW70" s="428"/>
      <c r="AX70" s="428"/>
      <c r="AY70" s="428"/>
      <c r="AZ70" s="428"/>
      <c r="BA70" s="428"/>
      <c r="BB70" s="428"/>
      <c r="BC70" s="428"/>
    </row>
    <row r="71" spans="1:55" x14ac:dyDescent="0.25">
      <c r="A71" s="174">
        <v>7</v>
      </c>
      <c r="B71" s="68" t="str">
        <f t="shared" si="0"/>
        <v>GC - 289 - T3 - 76m²</v>
      </c>
      <c r="C71" s="428"/>
      <c r="D71" s="428"/>
      <c r="E71" s="428"/>
      <c r="F71" s="428"/>
      <c r="G71" s="428"/>
      <c r="H71" s="428"/>
      <c r="I71" s="428"/>
      <c r="J71" s="428"/>
      <c r="K71" s="428"/>
      <c r="L71" s="428"/>
      <c r="M71" s="428"/>
      <c r="N71" s="428"/>
      <c r="O71" s="428"/>
      <c r="P71" s="428"/>
      <c r="Q71" s="428"/>
      <c r="R71" s="428"/>
      <c r="S71" s="428"/>
      <c r="T71" s="428"/>
      <c r="U71" s="428"/>
      <c r="V71" s="428">
        <v>22.899999999999977</v>
      </c>
      <c r="W71" s="428">
        <v>26.600000000000023</v>
      </c>
      <c r="X71" s="428">
        <v>23.799999999999955</v>
      </c>
      <c r="Y71" s="428">
        <v>25.399999999999977</v>
      </c>
      <c r="Z71" s="428"/>
      <c r="AA71" s="428"/>
      <c r="AB71" s="428"/>
      <c r="AC71" s="428"/>
      <c r="AD71" s="428"/>
      <c r="AE71" s="428"/>
      <c r="AF71" s="428"/>
      <c r="AG71" s="428"/>
      <c r="AH71" s="428"/>
      <c r="AI71" s="428"/>
      <c r="AJ71" s="428"/>
      <c r="AK71" s="428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8"/>
      <c r="AX71" s="428"/>
      <c r="AY71" s="428"/>
      <c r="AZ71" s="428"/>
      <c r="BA71" s="428"/>
      <c r="BB71" s="428"/>
      <c r="BC71" s="428"/>
    </row>
    <row r="72" spans="1:55" x14ac:dyDescent="0.25">
      <c r="A72" s="174">
        <v>8</v>
      </c>
      <c r="B72" s="68" t="str">
        <f t="shared" si="0"/>
        <v>GC - 303 - T4 - 81m²</v>
      </c>
      <c r="C72" s="428"/>
      <c r="D72" s="428"/>
      <c r="E72" s="428"/>
      <c r="F72" s="428"/>
      <c r="G72" s="428"/>
      <c r="H72" s="428"/>
      <c r="I72" s="428"/>
      <c r="J72" s="428"/>
      <c r="K72" s="428"/>
      <c r="L72" s="428"/>
      <c r="M72" s="428"/>
      <c r="N72" s="428"/>
      <c r="O72" s="428"/>
      <c r="P72" s="428"/>
      <c r="Q72" s="428"/>
      <c r="R72" s="428"/>
      <c r="S72" s="428"/>
      <c r="T72" s="428"/>
      <c r="U72" s="428"/>
      <c r="V72" s="428">
        <v>80.299999999999955</v>
      </c>
      <c r="W72" s="428">
        <v>70.900000000000091</v>
      </c>
      <c r="X72" s="428">
        <v>93</v>
      </c>
      <c r="Y72" s="428">
        <v>73.299999999999955</v>
      </c>
      <c r="Z72" s="428"/>
      <c r="AA72" s="428"/>
      <c r="AB72" s="428"/>
      <c r="AC72" s="428"/>
      <c r="AD72" s="428"/>
      <c r="AE72" s="428"/>
      <c r="AF72" s="428"/>
      <c r="AG72" s="428"/>
      <c r="AH72" s="428"/>
      <c r="AI72" s="428"/>
      <c r="AJ72" s="428"/>
      <c r="AK72" s="428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8"/>
      <c r="AX72" s="428"/>
      <c r="AY72" s="428"/>
      <c r="AZ72" s="428"/>
      <c r="BA72" s="428"/>
      <c r="BB72" s="428"/>
      <c r="BC72" s="428"/>
    </row>
    <row r="73" spans="1:55" x14ac:dyDescent="0.25">
      <c r="A73" s="174">
        <v>9</v>
      </c>
      <c r="B73" s="68" t="str">
        <f t="shared" si="0"/>
        <v>GC - 304 - T3 - 66m²</v>
      </c>
      <c r="C73" s="428"/>
      <c r="D73" s="428"/>
      <c r="E73" s="428"/>
      <c r="F73" s="428"/>
      <c r="G73" s="428"/>
      <c r="H73" s="428"/>
      <c r="I73" s="428"/>
      <c r="J73" s="428"/>
      <c r="K73" s="428"/>
      <c r="L73" s="428"/>
      <c r="M73" s="428"/>
      <c r="N73" s="428"/>
      <c r="O73" s="428"/>
      <c r="P73" s="428"/>
      <c r="Q73" s="428"/>
      <c r="R73" s="428"/>
      <c r="S73" s="428"/>
      <c r="T73" s="428"/>
      <c r="U73" s="428"/>
      <c r="V73" s="428">
        <v>34.600000000000023</v>
      </c>
      <c r="W73" s="428">
        <v>34.099999999999909</v>
      </c>
      <c r="X73" s="428">
        <v>21.400000000000091</v>
      </c>
      <c r="Y73" s="428">
        <v>23.5</v>
      </c>
      <c r="Z73" s="428"/>
      <c r="AA73" s="428"/>
      <c r="AB73" s="428"/>
      <c r="AC73" s="428"/>
      <c r="AD73" s="428"/>
      <c r="AE73" s="428"/>
      <c r="AF73" s="428"/>
      <c r="AG73" s="428"/>
      <c r="AH73" s="428"/>
      <c r="AI73" s="428"/>
      <c r="AJ73" s="428"/>
      <c r="AK73" s="428"/>
      <c r="AL73" s="428"/>
      <c r="AM73" s="428"/>
      <c r="AN73" s="428"/>
      <c r="AO73" s="428"/>
      <c r="AP73" s="428"/>
      <c r="AQ73" s="428"/>
      <c r="AR73" s="428"/>
      <c r="AS73" s="428"/>
      <c r="AT73" s="428"/>
      <c r="AU73" s="428"/>
      <c r="AV73" s="428"/>
      <c r="AW73" s="428"/>
      <c r="AX73" s="428"/>
      <c r="AY73" s="428"/>
      <c r="AZ73" s="428"/>
      <c r="BA73" s="428"/>
      <c r="BB73" s="428"/>
      <c r="BC73" s="428"/>
    </row>
    <row r="74" spans="1:55" x14ac:dyDescent="0.25">
      <c r="A74" s="174">
        <v>10</v>
      </c>
      <c r="B74" s="68" t="str">
        <f t="shared" si="0"/>
        <v>GC - 306 - T3 - 66m²</v>
      </c>
      <c r="C74" s="428"/>
      <c r="D74" s="428"/>
      <c r="E74" s="428"/>
      <c r="F74" s="428"/>
      <c r="G74" s="428"/>
      <c r="H74" s="428"/>
      <c r="I74" s="428"/>
      <c r="J74" s="428"/>
      <c r="K74" s="428"/>
      <c r="L74" s="428"/>
      <c r="M74" s="428"/>
      <c r="N74" s="428"/>
      <c r="O74" s="428"/>
      <c r="P74" s="428"/>
      <c r="Q74" s="428"/>
      <c r="R74" s="428"/>
      <c r="S74" s="428"/>
      <c r="T74" s="428"/>
      <c r="U74" s="428"/>
      <c r="V74" s="428">
        <v>16.399999999999977</v>
      </c>
      <c r="W74" s="428">
        <v>16.899999999999977</v>
      </c>
      <c r="X74" s="428">
        <v>19.5</v>
      </c>
      <c r="Y74" s="428">
        <v>20.200000000000045</v>
      </c>
      <c r="Z74" s="428"/>
      <c r="AA74" s="428"/>
      <c r="AB74" s="428"/>
      <c r="AC74" s="428"/>
      <c r="AD74" s="428"/>
      <c r="AE74" s="428"/>
      <c r="AF74" s="428"/>
      <c r="AG74" s="428"/>
      <c r="AH74" s="428"/>
      <c r="AI74" s="428"/>
      <c r="AJ74" s="428"/>
      <c r="AK74" s="428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8"/>
      <c r="AX74" s="428"/>
      <c r="AY74" s="428"/>
      <c r="AZ74" s="428"/>
      <c r="BA74" s="428"/>
      <c r="BB74" s="428"/>
      <c r="BC74" s="428"/>
    </row>
    <row r="75" spans="1:55" x14ac:dyDescent="0.25">
      <c r="A75" s="174">
        <v>11</v>
      </c>
      <c r="B75" s="430" t="str">
        <f t="shared" si="0"/>
        <v>GC - 307 - T3 - 66m²</v>
      </c>
      <c r="C75" s="428"/>
      <c r="D75" s="428"/>
      <c r="E75" s="428"/>
      <c r="F75" s="428"/>
      <c r="G75" s="428"/>
      <c r="H75" s="428"/>
      <c r="I75" s="428"/>
      <c r="J75" s="428"/>
      <c r="K75" s="428"/>
      <c r="L75" s="428"/>
      <c r="M75" s="428"/>
      <c r="N75" s="428"/>
      <c r="O75" s="428"/>
      <c r="P75" s="428"/>
      <c r="Q75" s="428"/>
      <c r="R75" s="428"/>
      <c r="S75" s="428"/>
      <c r="T75" s="428"/>
      <c r="U75" s="428"/>
      <c r="V75" s="428">
        <v>52.200000000000045</v>
      </c>
      <c r="W75" s="428">
        <v>56.299999999999955</v>
      </c>
      <c r="X75" s="428">
        <v>56.900000000000091</v>
      </c>
      <c r="Y75" s="428">
        <v>45.900000000000091</v>
      </c>
      <c r="Z75" s="428"/>
      <c r="AA75" s="428"/>
      <c r="AB75" s="428"/>
      <c r="AC75" s="428"/>
      <c r="AD75" s="428"/>
      <c r="AE75" s="428"/>
      <c r="AF75" s="428"/>
      <c r="AG75" s="428"/>
      <c r="AH75" s="428"/>
      <c r="AI75" s="428"/>
      <c r="AJ75" s="428"/>
      <c r="AK75" s="428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</row>
    <row r="76" spans="1:55" x14ac:dyDescent="0.25">
      <c r="A76" s="174">
        <v>12</v>
      </c>
      <c r="B76" s="68" t="str">
        <f t="shared" si="0"/>
        <v>GC - 308 - T3 - 66m²</v>
      </c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  <c r="R76" s="428"/>
      <c r="S76" s="428"/>
      <c r="T76" s="428"/>
      <c r="U76" s="428"/>
      <c r="V76" s="428">
        <v>21.100000000000023</v>
      </c>
      <c r="W76" s="428">
        <v>26.199999999999932</v>
      </c>
      <c r="X76" s="428">
        <v>25.100000000000136</v>
      </c>
      <c r="Y76" s="428">
        <v>22.199999999999818</v>
      </c>
      <c r="Z76" s="428"/>
      <c r="AA76" s="428"/>
      <c r="AB76" s="428"/>
      <c r="AC76" s="428"/>
      <c r="AD76" s="428"/>
      <c r="AE76" s="428"/>
      <c r="AF76" s="428"/>
      <c r="AG76" s="428"/>
      <c r="AH76" s="428"/>
      <c r="AI76" s="428"/>
      <c r="AJ76" s="428"/>
      <c r="AK76" s="428"/>
      <c r="AL76" s="428"/>
      <c r="AM76" s="428"/>
      <c r="AN76" s="428"/>
      <c r="AO76" s="428"/>
      <c r="AP76" s="428"/>
      <c r="AQ76" s="428"/>
      <c r="AR76" s="428"/>
      <c r="AS76" s="428"/>
      <c r="AT76" s="428"/>
      <c r="AU76" s="428"/>
      <c r="AV76" s="428"/>
      <c r="AW76" s="428"/>
      <c r="AX76" s="428"/>
      <c r="AY76" s="428"/>
      <c r="AZ76" s="428"/>
      <c r="BA76" s="428"/>
      <c r="BB76" s="428"/>
      <c r="BC76" s="428"/>
    </row>
    <row r="77" spans="1:55" x14ac:dyDescent="0.25">
      <c r="A77" s="174">
        <v>13</v>
      </c>
      <c r="B77" s="68" t="str">
        <f t="shared" si="0"/>
        <v>GC - 314 - T4 - 75m²</v>
      </c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428"/>
      <c r="P77" s="428"/>
      <c r="Q77" s="428"/>
      <c r="R77" s="428"/>
      <c r="S77" s="428"/>
      <c r="T77" s="428"/>
      <c r="U77" s="428"/>
      <c r="V77" s="428">
        <v>114.30000000000018</v>
      </c>
      <c r="W77" s="428">
        <v>121.80000000000018</v>
      </c>
      <c r="X77" s="428">
        <v>120.29999999999973</v>
      </c>
      <c r="Y77" s="428">
        <v>113.20000000000027</v>
      </c>
      <c r="Z77" s="428"/>
      <c r="AA77" s="428"/>
      <c r="AB77" s="428"/>
      <c r="AC77" s="428"/>
      <c r="AD77" s="428"/>
      <c r="AE77" s="428"/>
      <c r="AF77" s="428"/>
      <c r="AG77" s="428"/>
      <c r="AH77" s="428"/>
      <c r="AI77" s="428"/>
      <c r="AJ77" s="428"/>
      <c r="AK77" s="428"/>
      <c r="AL77" s="428"/>
      <c r="AM77" s="428"/>
      <c r="AN77" s="428"/>
      <c r="AO77" s="428"/>
      <c r="AP77" s="428"/>
      <c r="AQ77" s="428"/>
      <c r="AR77" s="428"/>
      <c r="AS77" s="428"/>
      <c r="AT77" s="428"/>
      <c r="AU77" s="428"/>
      <c r="AV77" s="428"/>
      <c r="AW77" s="428"/>
      <c r="AX77" s="428"/>
      <c r="AY77" s="428"/>
      <c r="AZ77" s="428"/>
      <c r="BA77" s="428"/>
      <c r="BB77" s="428"/>
      <c r="BC77" s="428"/>
    </row>
    <row r="78" spans="1:55" x14ac:dyDescent="0.25">
      <c r="A78" s="174">
        <v>14</v>
      </c>
      <c r="B78" s="497" t="str">
        <f t="shared" si="0"/>
        <v>MOYENNE GC</v>
      </c>
      <c r="C78" s="429"/>
      <c r="D78" s="429"/>
      <c r="E78" s="429"/>
      <c r="F78" s="429"/>
      <c r="G78" s="429"/>
      <c r="H78" s="429"/>
      <c r="I78" s="429"/>
      <c r="J78" s="429"/>
      <c r="K78" s="429"/>
      <c r="L78" s="429"/>
      <c r="M78" s="429"/>
      <c r="N78" s="429"/>
      <c r="O78" s="429"/>
      <c r="P78" s="429"/>
      <c r="Q78" s="429"/>
      <c r="R78" s="429"/>
      <c r="S78" s="429"/>
      <c r="T78" s="429"/>
      <c r="U78" s="429"/>
      <c r="V78" s="429">
        <v>42.930769230769243</v>
      </c>
      <c r="W78" s="429">
        <v>43.823076923076947</v>
      </c>
      <c r="X78" s="429">
        <v>44.661538461538456</v>
      </c>
      <c r="Y78" s="429">
        <v>40.961538461538481</v>
      </c>
      <c r="Z78" s="429"/>
      <c r="AA78" s="429"/>
      <c r="AB78" s="429"/>
      <c r="AC78" s="429"/>
      <c r="AD78" s="429"/>
      <c r="AE78" s="429"/>
      <c r="AF78" s="429"/>
      <c r="AG78" s="429"/>
      <c r="AH78" s="429"/>
      <c r="AI78" s="429"/>
      <c r="AJ78" s="429"/>
      <c r="AK78" s="429"/>
      <c r="AL78" s="429"/>
      <c r="AM78" s="429"/>
      <c r="AN78" s="429"/>
      <c r="AO78" s="429"/>
      <c r="AP78" s="429"/>
      <c r="AQ78" s="429"/>
      <c r="AR78" s="429"/>
      <c r="AS78" s="429"/>
      <c r="AT78" s="429"/>
      <c r="AU78" s="429"/>
      <c r="AV78" s="429"/>
      <c r="AW78" s="429"/>
      <c r="AX78" s="429"/>
      <c r="AY78" s="429"/>
      <c r="AZ78" s="429"/>
      <c r="BA78" s="429"/>
      <c r="BB78" s="429"/>
      <c r="BC78" s="429"/>
    </row>
    <row r="79" spans="1:55" x14ac:dyDescent="0.25">
      <c r="A79" s="174">
        <v>15</v>
      </c>
      <c r="B79" s="68" t="str">
        <f t="shared" ref="B79:B92" si="1">B24</f>
        <v>GE2.1 - 275 - T3 - 74m²</v>
      </c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428"/>
      <c r="P79" s="428"/>
      <c r="Q79" s="428"/>
      <c r="R79" s="428"/>
      <c r="S79" s="428"/>
      <c r="T79" s="428"/>
      <c r="U79" s="428"/>
      <c r="V79" s="428">
        <v>49</v>
      </c>
      <c r="W79" s="428">
        <v>66.899999999999864</v>
      </c>
      <c r="X79" s="428">
        <v>59.100000000000136</v>
      </c>
      <c r="Y79" s="428">
        <v>55</v>
      </c>
      <c r="Z79" s="428"/>
      <c r="AA79" s="428"/>
      <c r="AB79" s="428"/>
      <c r="AC79" s="428"/>
      <c r="AD79" s="428"/>
      <c r="AE79" s="428"/>
      <c r="AF79" s="428"/>
      <c r="AG79" s="428"/>
      <c r="AH79" s="428"/>
      <c r="AI79" s="428"/>
      <c r="AJ79" s="428"/>
      <c r="AK79" s="428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8"/>
      <c r="AX79" s="428"/>
      <c r="AY79" s="428"/>
      <c r="AZ79" s="428"/>
      <c r="BA79" s="428"/>
      <c r="BB79" s="428"/>
      <c r="BC79" s="428"/>
    </row>
    <row r="80" spans="1:55" x14ac:dyDescent="0.25">
      <c r="A80" s="174">
        <v>16</v>
      </c>
      <c r="B80" s="68" t="str">
        <f t="shared" si="1"/>
        <v>GE2.1 - 278 - T2 - 57m²</v>
      </c>
      <c r="C80" s="428"/>
      <c r="D80" s="428"/>
      <c r="E80" s="428"/>
      <c r="F80" s="428"/>
      <c r="G80" s="428"/>
      <c r="H80" s="428"/>
      <c r="I80" s="428"/>
      <c r="J80" s="428"/>
      <c r="K80" s="428"/>
      <c r="L80" s="428"/>
      <c r="M80" s="428"/>
      <c r="N80" s="428"/>
      <c r="O80" s="428"/>
      <c r="P80" s="428"/>
      <c r="Q80" s="428"/>
      <c r="R80" s="428"/>
      <c r="S80" s="428"/>
      <c r="T80" s="428"/>
      <c r="U80" s="428"/>
      <c r="V80" s="428">
        <v>4</v>
      </c>
      <c r="W80" s="428">
        <v>2.8000000000000114</v>
      </c>
      <c r="X80" s="428">
        <v>3.8999999999999773</v>
      </c>
      <c r="Y80" s="428">
        <v>3</v>
      </c>
      <c r="Z80" s="428"/>
      <c r="AA80" s="428"/>
      <c r="AB80" s="428"/>
      <c r="AC80" s="428"/>
      <c r="AD80" s="428"/>
      <c r="AE80" s="428"/>
      <c r="AF80" s="428"/>
      <c r="AG80" s="428"/>
      <c r="AH80" s="428"/>
      <c r="AI80" s="428"/>
      <c r="AJ80" s="428"/>
      <c r="AK80" s="428"/>
      <c r="AL80" s="428"/>
      <c r="AM80" s="428"/>
      <c r="AN80" s="428"/>
      <c r="AO80" s="428"/>
      <c r="AP80" s="428"/>
      <c r="AQ80" s="428"/>
      <c r="AR80" s="428"/>
      <c r="AS80" s="428"/>
      <c r="AT80" s="428"/>
      <c r="AU80" s="428"/>
      <c r="AV80" s="428"/>
      <c r="AW80" s="428"/>
      <c r="AX80" s="428"/>
      <c r="AY80" s="428"/>
      <c r="AZ80" s="428"/>
      <c r="BA80" s="428"/>
      <c r="BB80" s="428"/>
      <c r="BC80" s="428"/>
    </row>
    <row r="81" spans="1:55" x14ac:dyDescent="0.25">
      <c r="A81" s="174">
        <v>17</v>
      </c>
      <c r="B81" s="68" t="str">
        <f t="shared" si="1"/>
        <v>GE2.1 - 280 - T3 - 66m²</v>
      </c>
      <c r="C81" s="428"/>
      <c r="D81" s="428"/>
      <c r="E81" s="428"/>
      <c r="F81" s="428"/>
      <c r="G81" s="428"/>
      <c r="H81" s="428"/>
      <c r="I81" s="428"/>
      <c r="J81" s="428"/>
      <c r="K81" s="428"/>
      <c r="L81" s="428"/>
      <c r="M81" s="428"/>
      <c r="N81" s="428"/>
      <c r="O81" s="428"/>
      <c r="P81" s="428"/>
      <c r="Q81" s="428"/>
      <c r="R81" s="428"/>
      <c r="S81" s="428"/>
      <c r="T81" s="428"/>
      <c r="U81" s="428"/>
      <c r="V81" s="428">
        <v>0</v>
      </c>
      <c r="W81" s="428">
        <v>0.10000000000000009</v>
      </c>
      <c r="X81" s="428">
        <v>0.10000000000000009</v>
      </c>
      <c r="Y81" s="428">
        <v>0.39999999999999991</v>
      </c>
      <c r="Z81" s="428"/>
      <c r="AA81" s="428"/>
      <c r="AB81" s="428"/>
      <c r="AC81" s="428"/>
      <c r="AD81" s="428"/>
      <c r="AE81" s="428"/>
      <c r="AF81" s="428"/>
      <c r="AG81" s="428"/>
      <c r="AH81" s="428"/>
      <c r="AI81" s="428"/>
      <c r="AJ81" s="428"/>
      <c r="AK81" s="428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8"/>
      <c r="AX81" s="428"/>
      <c r="AY81" s="428"/>
      <c r="AZ81" s="428"/>
      <c r="BA81" s="428"/>
      <c r="BB81" s="428"/>
      <c r="BC81" s="428"/>
    </row>
    <row r="82" spans="1:55" x14ac:dyDescent="0.25">
      <c r="A82" s="174">
        <v>18</v>
      </c>
      <c r="B82" s="68" t="str">
        <f t="shared" si="1"/>
        <v>GE2.1 - 282 - T4 - 78m²</v>
      </c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>
        <v>27</v>
      </c>
      <c r="W82" s="428">
        <v>29.300000000000068</v>
      </c>
      <c r="X82" s="428">
        <v>25.899999999999977</v>
      </c>
      <c r="Y82" s="428">
        <v>29.299999999999955</v>
      </c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8"/>
      <c r="AX82" s="428"/>
      <c r="AY82" s="428"/>
      <c r="AZ82" s="428"/>
      <c r="BA82" s="428"/>
      <c r="BB82" s="428"/>
      <c r="BC82" s="428"/>
    </row>
    <row r="83" spans="1:55" x14ac:dyDescent="0.25">
      <c r="A83" s="174">
        <v>19</v>
      </c>
      <c r="B83" s="68" t="str">
        <f t="shared" si="1"/>
        <v>GE2.1 - 292 - T3 - 63m²</v>
      </c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428"/>
      <c r="Q83" s="428"/>
      <c r="R83" s="428"/>
      <c r="S83" s="428"/>
      <c r="T83" s="428"/>
      <c r="U83" s="428"/>
      <c r="V83" s="428">
        <v>32.399999999999977</v>
      </c>
      <c r="W83" s="428">
        <v>31.700000000000045</v>
      </c>
      <c r="X83" s="428">
        <v>34.199999999999932</v>
      </c>
      <c r="Y83" s="428">
        <v>35.5</v>
      </c>
      <c r="Z83" s="428"/>
      <c r="AA83" s="428"/>
      <c r="AB83" s="428"/>
      <c r="AC83" s="428"/>
      <c r="AD83" s="428"/>
      <c r="AE83" s="428"/>
      <c r="AF83" s="428"/>
      <c r="AG83" s="428"/>
      <c r="AH83" s="428"/>
      <c r="AI83" s="428"/>
      <c r="AJ83" s="428"/>
      <c r="AK83" s="428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8"/>
      <c r="AX83" s="428"/>
      <c r="AY83" s="428"/>
      <c r="AZ83" s="428"/>
      <c r="BA83" s="428"/>
      <c r="BB83" s="428"/>
      <c r="BC83" s="428"/>
    </row>
    <row r="84" spans="1:55" x14ac:dyDescent="0.25">
      <c r="A84" s="174">
        <v>20</v>
      </c>
      <c r="B84" s="68" t="str">
        <f t="shared" si="1"/>
        <v>GE2.1 - 293 - T3 - 63m²</v>
      </c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428"/>
      <c r="P84" s="428"/>
      <c r="Q84" s="428"/>
      <c r="R84" s="428"/>
      <c r="S84" s="428"/>
      <c r="T84" s="428"/>
      <c r="U84" s="428"/>
      <c r="V84" s="428">
        <v>24.300000000000011</v>
      </c>
      <c r="W84" s="428">
        <v>25.600000000000023</v>
      </c>
      <c r="X84" s="428">
        <v>33.899999999999977</v>
      </c>
      <c r="Y84" s="428">
        <v>25.699999999999989</v>
      </c>
      <c r="Z84" s="428"/>
      <c r="AA84" s="428"/>
      <c r="AB84" s="428"/>
      <c r="AC84" s="428"/>
      <c r="AD84" s="428"/>
      <c r="AE84" s="428"/>
      <c r="AF84" s="428"/>
      <c r="AG84" s="428"/>
      <c r="AH84" s="428"/>
      <c r="AI84" s="428"/>
      <c r="AJ84" s="428"/>
      <c r="AK84" s="428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8"/>
      <c r="AX84" s="428"/>
      <c r="AY84" s="428"/>
      <c r="AZ84" s="428"/>
      <c r="BA84" s="428"/>
      <c r="BB84" s="428"/>
      <c r="BC84" s="428"/>
    </row>
    <row r="85" spans="1:55" x14ac:dyDescent="0.25">
      <c r="A85" s="174">
        <v>21</v>
      </c>
      <c r="B85" s="68" t="str">
        <f t="shared" si="1"/>
        <v>GE2.1 - 295 - T3 - 63m²</v>
      </c>
      <c r="C85" s="428"/>
      <c r="D85" s="428"/>
      <c r="E85" s="428"/>
      <c r="F85" s="428"/>
      <c r="G85" s="428"/>
      <c r="H85" s="428"/>
      <c r="I85" s="428"/>
      <c r="J85" s="428"/>
      <c r="K85" s="428"/>
      <c r="L85" s="428"/>
      <c r="M85" s="428"/>
      <c r="N85" s="428"/>
      <c r="O85" s="428"/>
      <c r="P85" s="428"/>
      <c r="Q85" s="428"/>
      <c r="R85" s="428"/>
      <c r="S85" s="428"/>
      <c r="T85" s="428"/>
      <c r="U85" s="428"/>
      <c r="V85" s="428">
        <v>38.799999999999955</v>
      </c>
      <c r="W85" s="428">
        <v>50.200000000000045</v>
      </c>
      <c r="X85" s="428">
        <v>49.299999999999955</v>
      </c>
      <c r="Y85" s="428">
        <v>48.599999999999909</v>
      </c>
      <c r="Z85" s="428"/>
      <c r="AA85" s="428"/>
      <c r="AB85" s="428"/>
      <c r="AC85" s="428"/>
      <c r="AD85" s="428"/>
      <c r="AE85" s="428"/>
      <c r="AF85" s="428"/>
      <c r="AG85" s="428"/>
      <c r="AH85" s="428"/>
      <c r="AI85" s="428"/>
      <c r="AJ85" s="428"/>
      <c r="AK85" s="428"/>
      <c r="AL85" s="428"/>
      <c r="AM85" s="428"/>
      <c r="AN85" s="428"/>
      <c r="AO85" s="428"/>
      <c r="AP85" s="428"/>
      <c r="AQ85" s="428"/>
      <c r="AR85" s="428"/>
      <c r="AS85" s="428"/>
      <c r="AT85" s="428"/>
      <c r="AU85" s="428"/>
      <c r="AV85" s="428"/>
      <c r="AW85" s="428"/>
      <c r="AX85" s="428"/>
      <c r="AY85" s="428"/>
      <c r="AZ85" s="428"/>
      <c r="BA85" s="428"/>
      <c r="BB85" s="428"/>
      <c r="BC85" s="428"/>
    </row>
    <row r="86" spans="1:55" x14ac:dyDescent="0.25">
      <c r="A86" s="174">
        <v>22</v>
      </c>
      <c r="B86" s="68" t="str">
        <f t="shared" si="1"/>
        <v>GE2.1 - 296 - T4 - 78m²</v>
      </c>
      <c r="C86" s="428"/>
      <c r="D86" s="428"/>
      <c r="E86" s="428"/>
      <c r="F86" s="428"/>
      <c r="G86" s="428"/>
      <c r="H86" s="428"/>
      <c r="I86" s="428"/>
      <c r="J86" s="428"/>
      <c r="K86" s="428"/>
      <c r="L86" s="428"/>
      <c r="M86" s="428"/>
      <c r="N86" s="428"/>
      <c r="O86" s="428"/>
      <c r="P86" s="428"/>
      <c r="Q86" s="428"/>
      <c r="R86" s="428"/>
      <c r="S86" s="428"/>
      <c r="T86" s="428"/>
      <c r="U86" s="428"/>
      <c r="V86" s="428">
        <v>20.899999999999977</v>
      </c>
      <c r="W86" s="428">
        <v>21.399999999999977</v>
      </c>
      <c r="X86" s="428">
        <v>31.100000000000023</v>
      </c>
      <c r="Y86" s="428">
        <v>27.700000000000045</v>
      </c>
      <c r="Z86" s="428"/>
      <c r="AA86" s="428"/>
      <c r="AB86" s="428"/>
      <c r="AC86" s="428"/>
      <c r="AD86" s="428"/>
      <c r="AE86" s="428"/>
      <c r="AF86" s="428"/>
      <c r="AG86" s="428"/>
      <c r="AH86" s="428"/>
      <c r="AI86" s="428"/>
      <c r="AJ86" s="428"/>
      <c r="AK86" s="428"/>
      <c r="AL86" s="428"/>
      <c r="AM86" s="428"/>
      <c r="AN86" s="428"/>
      <c r="AO86" s="428"/>
      <c r="AP86" s="428"/>
      <c r="AQ86" s="428"/>
      <c r="AR86" s="428"/>
      <c r="AS86" s="428"/>
      <c r="AT86" s="428"/>
      <c r="AU86" s="428"/>
      <c r="AV86" s="428"/>
      <c r="AW86" s="428"/>
      <c r="AX86" s="428"/>
      <c r="AY86" s="428"/>
      <c r="AZ86" s="428"/>
      <c r="BA86" s="428"/>
      <c r="BB86" s="428"/>
      <c r="BC86" s="428"/>
    </row>
    <row r="87" spans="1:55" x14ac:dyDescent="0.25">
      <c r="A87" s="174">
        <v>23</v>
      </c>
      <c r="B87" s="68" t="str">
        <f t="shared" si="1"/>
        <v>GE2.1 - 297 - T4 - 79m²</v>
      </c>
      <c r="C87" s="428"/>
      <c r="D87" s="428"/>
      <c r="E87" s="428"/>
      <c r="F87" s="428"/>
      <c r="G87" s="428"/>
      <c r="H87" s="428"/>
      <c r="I87" s="428"/>
      <c r="J87" s="428"/>
      <c r="K87" s="428"/>
      <c r="L87" s="428"/>
      <c r="M87" s="428"/>
      <c r="N87" s="428"/>
      <c r="O87" s="428"/>
      <c r="P87" s="428"/>
      <c r="Q87" s="428"/>
      <c r="R87" s="428"/>
      <c r="S87" s="428"/>
      <c r="T87" s="428"/>
      <c r="U87" s="428"/>
      <c r="V87" s="428">
        <v>62.899999999999864</v>
      </c>
      <c r="W87" s="428">
        <v>64.100000000000136</v>
      </c>
      <c r="X87" s="428">
        <v>60</v>
      </c>
      <c r="Y87" s="428">
        <v>58.899999999999864</v>
      </c>
      <c r="Z87" s="428"/>
      <c r="AA87" s="428"/>
      <c r="AB87" s="428"/>
      <c r="AC87" s="428"/>
      <c r="AD87" s="428"/>
      <c r="AE87" s="428"/>
      <c r="AF87" s="428"/>
      <c r="AG87" s="428"/>
      <c r="AH87" s="428"/>
      <c r="AI87" s="428"/>
      <c r="AJ87" s="428"/>
      <c r="AK87" s="428"/>
      <c r="AL87" s="428"/>
      <c r="AM87" s="428"/>
      <c r="AN87" s="428"/>
      <c r="AO87" s="428"/>
      <c r="AP87" s="428"/>
      <c r="AQ87" s="428"/>
      <c r="AR87" s="428"/>
      <c r="AS87" s="428"/>
      <c r="AT87" s="428"/>
      <c r="AU87" s="428"/>
      <c r="AV87" s="428"/>
      <c r="AW87" s="428"/>
      <c r="AX87" s="428"/>
      <c r="AY87" s="428"/>
      <c r="AZ87" s="428"/>
      <c r="BA87" s="428"/>
      <c r="BB87" s="428"/>
      <c r="BC87" s="428"/>
    </row>
    <row r="88" spans="1:55" x14ac:dyDescent="0.25">
      <c r="A88" s="174">
        <v>24</v>
      </c>
      <c r="B88" s="68" t="str">
        <f t="shared" si="1"/>
        <v>GE2.1 - 299 - T4 - 79m²</v>
      </c>
      <c r="C88" s="428"/>
      <c r="D88" s="428"/>
      <c r="E88" s="428"/>
      <c r="F88" s="428"/>
      <c r="G88" s="428"/>
      <c r="H88" s="428"/>
      <c r="I88" s="428"/>
      <c r="J88" s="428"/>
      <c r="K88" s="428"/>
      <c r="L88" s="428"/>
      <c r="M88" s="428"/>
      <c r="N88" s="428"/>
      <c r="O88" s="428"/>
      <c r="P88" s="428"/>
      <c r="Q88" s="428"/>
      <c r="R88" s="428"/>
      <c r="S88" s="428"/>
      <c r="T88" s="428"/>
      <c r="U88" s="428"/>
      <c r="V88" s="428">
        <v>24.699999999999932</v>
      </c>
      <c r="W88" s="428">
        <v>21.100000000000023</v>
      </c>
      <c r="X88" s="428">
        <v>5.2000000000000455</v>
      </c>
      <c r="Y88" s="428">
        <v>22.299999999999955</v>
      </c>
      <c r="Z88" s="428"/>
      <c r="AA88" s="428"/>
      <c r="AB88" s="428"/>
      <c r="AC88" s="428"/>
      <c r="AD88" s="428"/>
      <c r="AE88" s="428"/>
      <c r="AF88" s="428"/>
      <c r="AG88" s="428"/>
      <c r="AH88" s="428"/>
      <c r="AI88" s="428"/>
      <c r="AJ88" s="428"/>
      <c r="AK88" s="428"/>
      <c r="AL88" s="428"/>
      <c r="AM88" s="428"/>
      <c r="AN88" s="428"/>
      <c r="AO88" s="428"/>
      <c r="AP88" s="428"/>
      <c r="AQ88" s="428"/>
      <c r="AR88" s="428"/>
      <c r="AS88" s="428"/>
      <c r="AT88" s="428"/>
      <c r="AU88" s="428"/>
      <c r="AV88" s="428"/>
      <c r="AW88" s="428"/>
      <c r="AX88" s="428"/>
      <c r="AY88" s="428"/>
      <c r="AZ88" s="428"/>
      <c r="BA88" s="428"/>
      <c r="BB88" s="428"/>
      <c r="BC88" s="428"/>
    </row>
    <row r="89" spans="1:55" x14ac:dyDescent="0.25">
      <c r="A89" s="174">
        <v>25</v>
      </c>
      <c r="B89" s="68" t="str">
        <f t="shared" si="1"/>
        <v>GE2.1 - 300 - T5 - 93m²</v>
      </c>
      <c r="C89" s="428"/>
      <c r="D89" s="428"/>
      <c r="E89" s="428"/>
      <c r="F89" s="428"/>
      <c r="G89" s="428"/>
      <c r="H89" s="428"/>
      <c r="I89" s="428"/>
      <c r="J89" s="428"/>
      <c r="K89" s="428"/>
      <c r="L89" s="428"/>
      <c r="M89" s="428"/>
      <c r="N89" s="428"/>
      <c r="O89" s="428"/>
      <c r="P89" s="428"/>
      <c r="Q89" s="428"/>
      <c r="R89" s="428"/>
      <c r="S89" s="428"/>
      <c r="T89" s="428"/>
      <c r="U89" s="428"/>
      <c r="V89" s="428">
        <v>63.700000000000045</v>
      </c>
      <c r="W89" s="428">
        <v>53.600000000000136</v>
      </c>
      <c r="X89" s="428">
        <v>58.199999999999818</v>
      </c>
      <c r="Y89" s="428">
        <v>49</v>
      </c>
      <c r="Z89" s="428"/>
      <c r="AA89" s="428"/>
      <c r="AB89" s="428"/>
      <c r="AC89" s="428"/>
      <c r="AD89" s="428"/>
      <c r="AE89" s="428"/>
      <c r="AF89" s="428"/>
      <c r="AG89" s="428"/>
      <c r="AH89" s="428"/>
      <c r="AI89" s="428"/>
      <c r="AJ89" s="428"/>
      <c r="AK89" s="428"/>
      <c r="AL89" s="428"/>
      <c r="AM89" s="428"/>
      <c r="AN89" s="428"/>
      <c r="AO89" s="428"/>
      <c r="AP89" s="428"/>
      <c r="AQ89" s="428"/>
      <c r="AR89" s="428"/>
      <c r="AS89" s="428"/>
      <c r="AT89" s="428"/>
      <c r="AU89" s="428"/>
      <c r="AV89" s="428"/>
      <c r="AW89" s="428"/>
      <c r="AX89" s="428"/>
      <c r="AY89" s="428"/>
      <c r="AZ89" s="428"/>
      <c r="BA89" s="428"/>
      <c r="BB89" s="428"/>
      <c r="BC89" s="428"/>
    </row>
    <row r="90" spans="1:55" x14ac:dyDescent="0.25">
      <c r="A90" s="174">
        <v>26</v>
      </c>
      <c r="B90" s="68" t="str">
        <f t="shared" si="1"/>
        <v>GE2.1 - 302 - T5 - 93m²</v>
      </c>
      <c r="C90" s="428"/>
      <c r="D90" s="428"/>
      <c r="E90" s="428"/>
      <c r="F90" s="428"/>
      <c r="G90" s="428"/>
      <c r="H90" s="428"/>
      <c r="I90" s="428"/>
      <c r="J90" s="428"/>
      <c r="K90" s="428"/>
      <c r="L90" s="428"/>
      <c r="M90" s="428"/>
      <c r="N90" s="428"/>
      <c r="O90" s="428"/>
      <c r="P90" s="428"/>
      <c r="Q90" s="428"/>
      <c r="R90" s="428"/>
      <c r="S90" s="428"/>
      <c r="T90" s="428"/>
      <c r="U90" s="428"/>
      <c r="V90" s="428">
        <v>43.5</v>
      </c>
      <c r="W90" s="428">
        <v>46.700000000000045</v>
      </c>
      <c r="X90" s="428">
        <v>48.799999999999955</v>
      </c>
      <c r="Y90" s="428">
        <v>51.799999999999955</v>
      </c>
      <c r="Z90" s="428"/>
      <c r="AA90" s="428"/>
      <c r="AB90" s="428"/>
      <c r="AC90" s="428"/>
      <c r="AD90" s="428"/>
      <c r="AE90" s="428"/>
      <c r="AF90" s="428"/>
      <c r="AG90" s="428"/>
      <c r="AH90" s="428"/>
      <c r="AI90" s="428"/>
      <c r="AJ90" s="428"/>
      <c r="AK90" s="428"/>
      <c r="AL90" s="428"/>
      <c r="AM90" s="428"/>
      <c r="AN90" s="428"/>
      <c r="AO90" s="428"/>
      <c r="AP90" s="428"/>
      <c r="AQ90" s="428"/>
      <c r="AR90" s="428"/>
      <c r="AS90" s="428"/>
      <c r="AT90" s="428"/>
      <c r="AU90" s="428"/>
      <c r="AV90" s="428"/>
      <c r="AW90" s="428"/>
      <c r="AX90" s="428"/>
      <c r="AY90" s="428"/>
      <c r="AZ90" s="428"/>
      <c r="BA90" s="428"/>
      <c r="BB90" s="428"/>
      <c r="BC90" s="428"/>
    </row>
    <row r="91" spans="1:55" x14ac:dyDescent="0.25">
      <c r="A91" s="174">
        <v>27</v>
      </c>
      <c r="B91" s="68" t="str">
        <f t="shared" si="1"/>
        <v>GE2.1 - 312 - T4 - 75m²</v>
      </c>
      <c r="C91" s="428"/>
      <c r="D91" s="428"/>
      <c r="E91" s="428"/>
      <c r="F91" s="428"/>
      <c r="G91" s="428"/>
      <c r="H91" s="428"/>
      <c r="I91" s="428"/>
      <c r="J91" s="428"/>
      <c r="K91" s="428"/>
      <c r="L91" s="428"/>
      <c r="M91" s="428"/>
      <c r="N91" s="428"/>
      <c r="O91" s="428"/>
      <c r="P91" s="428"/>
      <c r="Q91" s="428"/>
      <c r="R91" s="428"/>
      <c r="S91" s="428"/>
      <c r="T91" s="428"/>
      <c r="U91" s="428"/>
      <c r="V91" s="428">
        <v>39.19999999999709</v>
      </c>
      <c r="W91" s="428">
        <v>34.900000000001455</v>
      </c>
      <c r="X91" s="428">
        <v>30.299999999999272</v>
      </c>
      <c r="Y91" s="428">
        <v>31.799999999999272</v>
      </c>
      <c r="Z91" s="428"/>
      <c r="AA91" s="428"/>
      <c r="AB91" s="428"/>
      <c r="AC91" s="428"/>
      <c r="AD91" s="428"/>
      <c r="AE91" s="428"/>
      <c r="AF91" s="428"/>
      <c r="AG91" s="428"/>
      <c r="AH91" s="428"/>
      <c r="AI91" s="428"/>
      <c r="AJ91" s="428"/>
      <c r="AK91" s="428"/>
      <c r="AL91" s="428"/>
      <c r="AM91" s="428"/>
      <c r="AN91" s="428"/>
      <c r="AO91" s="428"/>
      <c r="AP91" s="428"/>
      <c r="AQ91" s="428"/>
      <c r="AR91" s="428"/>
      <c r="AS91" s="428"/>
      <c r="AT91" s="428"/>
      <c r="AU91" s="428"/>
      <c r="AV91" s="428"/>
      <c r="AW91" s="428"/>
      <c r="AX91" s="428"/>
      <c r="AY91" s="428"/>
      <c r="AZ91" s="428"/>
      <c r="BA91" s="428"/>
      <c r="BB91" s="428"/>
      <c r="BC91" s="428"/>
    </row>
    <row r="92" spans="1:55" x14ac:dyDescent="0.25">
      <c r="A92" s="174">
        <v>28</v>
      </c>
      <c r="B92" s="497" t="str">
        <f t="shared" si="1"/>
        <v>MOYENNE GE2.1</v>
      </c>
      <c r="C92" s="429"/>
      <c r="D92" s="429"/>
      <c r="E92" s="429"/>
      <c r="F92" s="429"/>
      <c r="G92" s="429"/>
      <c r="H92" s="429"/>
      <c r="I92" s="429"/>
      <c r="J92" s="429"/>
      <c r="K92" s="429"/>
      <c r="L92" s="429"/>
      <c r="M92" s="429"/>
      <c r="N92" s="429"/>
      <c r="O92" s="429"/>
      <c r="P92" s="429"/>
      <c r="Q92" s="429"/>
      <c r="R92" s="429"/>
      <c r="S92" s="429"/>
      <c r="T92" s="429"/>
      <c r="U92" s="429"/>
      <c r="V92" s="429">
        <v>33.107692307692062</v>
      </c>
      <c r="W92" s="429">
        <v>34.492307692307833</v>
      </c>
      <c r="X92" s="429">
        <v>33.846153846153776</v>
      </c>
      <c r="Y92" s="429">
        <v>33.769230769230688</v>
      </c>
      <c r="Z92" s="429"/>
      <c r="AA92" s="429"/>
      <c r="AB92" s="429"/>
      <c r="AC92" s="429"/>
      <c r="AD92" s="429"/>
      <c r="AE92" s="429"/>
      <c r="AF92" s="429"/>
      <c r="AG92" s="429"/>
      <c r="AH92" s="429"/>
      <c r="AI92" s="429"/>
      <c r="AJ92" s="429"/>
      <c r="AK92" s="429"/>
      <c r="AL92" s="429"/>
      <c r="AM92" s="429"/>
      <c r="AN92" s="429"/>
      <c r="AO92" s="429"/>
      <c r="AP92" s="429"/>
      <c r="AQ92" s="429"/>
      <c r="AR92" s="429"/>
      <c r="AS92" s="429"/>
      <c r="AT92" s="429"/>
      <c r="AU92" s="429"/>
      <c r="AV92" s="429"/>
      <c r="AW92" s="429"/>
      <c r="AX92" s="429"/>
      <c r="AY92" s="429"/>
      <c r="AZ92" s="429"/>
      <c r="BA92" s="429"/>
      <c r="BB92" s="429"/>
      <c r="BC92" s="429"/>
    </row>
    <row r="93" spans="1:55" x14ac:dyDescent="0.25">
      <c r="A93" s="174">
        <v>29</v>
      </c>
      <c r="B93" s="68" t="str">
        <f t="shared" ref="B93:B106" si="2">B38</f>
        <v>GE2.2 - 271 - T3 - 74m²</v>
      </c>
      <c r="C93" s="428"/>
      <c r="D93" s="428"/>
      <c r="E93" s="428"/>
      <c r="F93" s="428"/>
      <c r="G93" s="428"/>
      <c r="H93" s="428"/>
      <c r="I93" s="428"/>
      <c r="J93" s="428"/>
      <c r="K93" s="428"/>
      <c r="L93" s="428"/>
      <c r="M93" s="428"/>
      <c r="N93" s="428"/>
      <c r="O93" s="428"/>
      <c r="P93" s="428"/>
      <c r="Q93" s="428"/>
      <c r="R93" s="428"/>
      <c r="S93" s="428"/>
      <c r="T93" s="428"/>
      <c r="U93" s="428"/>
      <c r="V93" s="428">
        <v>26.300000000000068</v>
      </c>
      <c r="W93" s="428">
        <v>29.5</v>
      </c>
      <c r="X93" s="428">
        <v>26.199999999999932</v>
      </c>
      <c r="Y93" s="428">
        <v>31.800000000000068</v>
      </c>
      <c r="Z93" s="428"/>
      <c r="AA93" s="428"/>
      <c r="AB93" s="428"/>
      <c r="AC93" s="428"/>
      <c r="AD93" s="428"/>
      <c r="AE93" s="428"/>
      <c r="AF93" s="428"/>
      <c r="AG93" s="428"/>
      <c r="AH93" s="428"/>
      <c r="AI93" s="428"/>
      <c r="AJ93" s="428"/>
      <c r="AK93" s="428"/>
      <c r="AL93" s="428"/>
      <c r="AM93" s="428"/>
      <c r="AN93" s="428"/>
      <c r="AO93" s="428"/>
      <c r="AP93" s="428"/>
      <c r="AQ93" s="428"/>
      <c r="AR93" s="428"/>
      <c r="AS93" s="428"/>
      <c r="AT93" s="428"/>
      <c r="AU93" s="428"/>
      <c r="AV93" s="428"/>
      <c r="AW93" s="428"/>
      <c r="AX93" s="428"/>
      <c r="AY93" s="428"/>
      <c r="AZ93" s="428"/>
      <c r="BA93" s="428"/>
      <c r="BB93" s="428"/>
      <c r="BC93" s="428"/>
    </row>
    <row r="94" spans="1:55" x14ac:dyDescent="0.25">
      <c r="A94" s="174">
        <v>30</v>
      </c>
      <c r="B94" s="68" t="str">
        <f t="shared" si="2"/>
        <v>GE2.2 - 272 - T3 - 74m²</v>
      </c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8"/>
      <c r="N94" s="428"/>
      <c r="O94" s="428"/>
      <c r="P94" s="428"/>
      <c r="Q94" s="428"/>
      <c r="R94" s="428"/>
      <c r="S94" s="428"/>
      <c r="T94" s="428"/>
      <c r="U94" s="428"/>
      <c r="V94" s="428">
        <v>101.5</v>
      </c>
      <c r="W94" s="428">
        <v>91.400000000000091</v>
      </c>
      <c r="X94" s="428">
        <v>78.5</v>
      </c>
      <c r="Y94" s="428">
        <v>72.700000000000273</v>
      </c>
      <c r="Z94" s="428"/>
      <c r="AA94" s="428"/>
      <c r="AB94" s="428"/>
      <c r="AC94" s="428"/>
      <c r="AD94" s="428"/>
      <c r="AE94" s="428"/>
      <c r="AF94" s="428"/>
      <c r="AG94" s="428"/>
      <c r="AH94" s="428"/>
      <c r="AI94" s="428"/>
      <c r="AJ94" s="428"/>
      <c r="AK94" s="428"/>
      <c r="AL94" s="428"/>
      <c r="AM94" s="428"/>
      <c r="AN94" s="428"/>
      <c r="AO94" s="428"/>
      <c r="AP94" s="428"/>
      <c r="AQ94" s="428"/>
      <c r="AR94" s="428"/>
      <c r="AS94" s="428"/>
      <c r="AT94" s="428"/>
      <c r="AU94" s="428"/>
      <c r="AV94" s="428"/>
      <c r="AW94" s="428"/>
      <c r="AX94" s="428"/>
      <c r="AY94" s="428"/>
      <c r="AZ94" s="428"/>
      <c r="BA94" s="428"/>
      <c r="BB94" s="428"/>
      <c r="BC94" s="428"/>
    </row>
    <row r="95" spans="1:55" x14ac:dyDescent="0.25">
      <c r="A95" s="174">
        <v>31</v>
      </c>
      <c r="B95" s="68" t="str">
        <f t="shared" si="2"/>
        <v>GE2.2 - 273 - T3 - 74m²</v>
      </c>
      <c r="C95" s="428"/>
      <c r="D95" s="428"/>
      <c r="E95" s="428"/>
      <c r="F95" s="428"/>
      <c r="G95" s="428"/>
      <c r="H95" s="428"/>
      <c r="I95" s="428"/>
      <c r="J95" s="428"/>
      <c r="K95" s="428"/>
      <c r="L95" s="428"/>
      <c r="M95" s="428"/>
      <c r="N95" s="428"/>
      <c r="O95" s="428"/>
      <c r="P95" s="428"/>
      <c r="Q95" s="428"/>
      <c r="R95" s="428"/>
      <c r="S95" s="428"/>
      <c r="T95" s="428"/>
      <c r="U95" s="428"/>
      <c r="V95" s="428">
        <v>55.600000000000136</v>
      </c>
      <c r="W95" s="428">
        <v>50</v>
      </c>
      <c r="X95" s="428">
        <v>55.299999999999955</v>
      </c>
      <c r="Y95" s="428">
        <v>54.799999999999955</v>
      </c>
      <c r="Z95" s="428"/>
      <c r="AA95" s="428"/>
      <c r="AB95" s="428"/>
      <c r="AC95" s="428"/>
      <c r="AD95" s="428"/>
      <c r="AE95" s="428"/>
      <c r="AF95" s="428"/>
      <c r="AG95" s="428"/>
      <c r="AH95" s="428"/>
      <c r="AI95" s="428"/>
      <c r="AJ95" s="428"/>
      <c r="AK95" s="428"/>
      <c r="AL95" s="428"/>
      <c r="AM95" s="428"/>
      <c r="AN95" s="428"/>
      <c r="AO95" s="428"/>
      <c r="AP95" s="428"/>
      <c r="AQ95" s="428"/>
      <c r="AR95" s="428"/>
      <c r="AS95" s="428"/>
      <c r="AT95" s="428"/>
      <c r="AU95" s="428"/>
      <c r="AV95" s="428"/>
      <c r="AW95" s="428"/>
      <c r="AX95" s="428"/>
      <c r="AY95" s="428"/>
      <c r="AZ95" s="428"/>
      <c r="BA95" s="428"/>
      <c r="BB95" s="428"/>
      <c r="BC95" s="428"/>
    </row>
    <row r="96" spans="1:55" x14ac:dyDescent="0.25">
      <c r="A96" s="174">
        <v>32</v>
      </c>
      <c r="B96" s="68" t="str">
        <f t="shared" si="2"/>
        <v>GE2.2 - 276 - T4 - 83m²</v>
      </c>
      <c r="C96" s="428"/>
      <c r="D96" s="428"/>
      <c r="E96" s="428"/>
      <c r="F96" s="428"/>
      <c r="G96" s="428"/>
      <c r="H96" s="428"/>
      <c r="I96" s="428"/>
      <c r="J96" s="428"/>
      <c r="K96" s="428"/>
      <c r="L96" s="428"/>
      <c r="M96" s="428"/>
      <c r="N96" s="428"/>
      <c r="O96" s="428"/>
      <c r="P96" s="428"/>
      <c r="Q96" s="428"/>
      <c r="R96" s="428"/>
      <c r="S96" s="428"/>
      <c r="T96" s="428"/>
      <c r="U96" s="428"/>
      <c r="V96" s="428">
        <v>81</v>
      </c>
      <c r="W96" s="428">
        <v>83.5</v>
      </c>
      <c r="X96" s="428">
        <v>89.299999999999955</v>
      </c>
      <c r="Y96" s="428">
        <v>85.699999999999818</v>
      </c>
      <c r="Z96" s="428"/>
      <c r="AA96" s="428"/>
      <c r="AB96" s="428"/>
      <c r="AC96" s="428"/>
      <c r="AD96" s="428"/>
      <c r="AE96" s="428"/>
      <c r="AF96" s="428"/>
      <c r="AG96" s="428"/>
      <c r="AH96" s="428"/>
      <c r="AI96" s="428"/>
      <c r="AJ96" s="428"/>
      <c r="AK96" s="428"/>
      <c r="AL96" s="428"/>
      <c r="AM96" s="428"/>
      <c r="AN96" s="428"/>
      <c r="AO96" s="428"/>
      <c r="AP96" s="428"/>
      <c r="AQ96" s="428"/>
      <c r="AR96" s="428"/>
      <c r="AS96" s="428"/>
      <c r="AT96" s="428"/>
      <c r="AU96" s="428"/>
      <c r="AV96" s="428"/>
      <c r="AW96" s="428"/>
      <c r="AX96" s="428"/>
      <c r="AY96" s="428"/>
      <c r="AZ96" s="428"/>
      <c r="BA96" s="428"/>
      <c r="BB96" s="428"/>
      <c r="BC96" s="428"/>
    </row>
    <row r="97" spans="1:55" x14ac:dyDescent="0.25">
      <c r="A97" s="174">
        <v>33</v>
      </c>
      <c r="B97" s="68" t="str">
        <f t="shared" si="2"/>
        <v>GE2.2 - 279 - T3 - 70m²</v>
      </c>
      <c r="C97" s="428"/>
      <c r="D97" s="428"/>
      <c r="E97" s="428"/>
      <c r="F97" s="428"/>
      <c r="G97" s="428"/>
      <c r="H97" s="428"/>
      <c r="I97" s="428"/>
      <c r="J97" s="428"/>
      <c r="K97" s="428"/>
      <c r="L97" s="428"/>
      <c r="M97" s="428"/>
      <c r="N97" s="428"/>
      <c r="O97" s="428"/>
      <c r="P97" s="428"/>
      <c r="Q97" s="428"/>
      <c r="R97" s="428"/>
      <c r="S97" s="428"/>
      <c r="T97" s="428"/>
      <c r="U97" s="428"/>
      <c r="V97" s="428">
        <v>47.699999999999932</v>
      </c>
      <c r="W97" s="428">
        <v>43.399999999999977</v>
      </c>
      <c r="X97" s="428">
        <v>39.299999999999955</v>
      </c>
      <c r="Y97" s="428">
        <v>41.700000000000045</v>
      </c>
      <c r="Z97" s="428"/>
      <c r="AA97" s="428"/>
      <c r="AB97" s="428"/>
      <c r="AC97" s="428"/>
      <c r="AD97" s="428"/>
      <c r="AE97" s="428"/>
      <c r="AF97" s="428"/>
      <c r="AG97" s="428"/>
      <c r="AH97" s="428"/>
      <c r="AI97" s="428"/>
      <c r="AJ97" s="428"/>
      <c r="AK97" s="428"/>
      <c r="AL97" s="428"/>
      <c r="AM97" s="428"/>
      <c r="AN97" s="428"/>
      <c r="AO97" s="428"/>
      <c r="AP97" s="428"/>
      <c r="AQ97" s="428"/>
      <c r="AR97" s="428"/>
      <c r="AS97" s="428"/>
      <c r="AT97" s="428"/>
      <c r="AU97" s="428"/>
      <c r="AV97" s="428"/>
      <c r="AW97" s="428"/>
      <c r="AX97" s="428"/>
      <c r="AY97" s="428"/>
      <c r="AZ97" s="428"/>
      <c r="BA97" s="428"/>
      <c r="BB97" s="428"/>
      <c r="BC97" s="428"/>
    </row>
    <row r="98" spans="1:55" x14ac:dyDescent="0.25">
      <c r="A98" s="174">
        <v>34</v>
      </c>
      <c r="B98" s="68" t="str">
        <f t="shared" si="2"/>
        <v>GE2.2 - 288 - T3 - 68m²</v>
      </c>
      <c r="C98" s="428"/>
      <c r="D98" s="428"/>
      <c r="E98" s="428"/>
      <c r="F98" s="428"/>
      <c r="G98" s="428"/>
      <c r="H98" s="428"/>
      <c r="I98" s="428"/>
      <c r="J98" s="428"/>
      <c r="K98" s="428"/>
      <c r="L98" s="428"/>
      <c r="M98" s="428"/>
      <c r="N98" s="428"/>
      <c r="O98" s="428"/>
      <c r="P98" s="428"/>
      <c r="Q98" s="428"/>
      <c r="R98" s="428"/>
      <c r="S98" s="428"/>
      <c r="T98" s="428"/>
      <c r="U98" s="428"/>
      <c r="V98" s="428">
        <v>34.099999999999909</v>
      </c>
      <c r="W98" s="428">
        <v>35.100000000000023</v>
      </c>
      <c r="X98" s="428">
        <v>36.300000000000068</v>
      </c>
      <c r="Y98" s="428">
        <v>35.099999999999909</v>
      </c>
      <c r="Z98" s="428"/>
      <c r="AA98" s="428"/>
      <c r="AB98" s="428"/>
      <c r="AC98" s="428"/>
      <c r="AD98" s="428"/>
      <c r="AE98" s="428"/>
      <c r="AF98" s="428"/>
      <c r="AG98" s="428"/>
      <c r="AH98" s="428"/>
      <c r="AI98" s="428"/>
      <c r="AJ98" s="428"/>
      <c r="AK98" s="428"/>
      <c r="AL98" s="428"/>
      <c r="AM98" s="428"/>
      <c r="AN98" s="428"/>
      <c r="AO98" s="428"/>
      <c r="AP98" s="428"/>
      <c r="AQ98" s="428"/>
      <c r="AR98" s="428"/>
      <c r="AS98" s="428"/>
      <c r="AT98" s="428"/>
      <c r="AU98" s="428"/>
      <c r="AV98" s="428"/>
      <c r="AW98" s="428"/>
      <c r="AX98" s="428"/>
      <c r="AY98" s="428"/>
      <c r="AZ98" s="428"/>
      <c r="BA98" s="428"/>
      <c r="BB98" s="428"/>
      <c r="BC98" s="428"/>
    </row>
    <row r="99" spans="1:55" x14ac:dyDescent="0.25">
      <c r="A99" s="174">
        <v>35</v>
      </c>
      <c r="B99" s="430" t="str">
        <f t="shared" si="2"/>
        <v>GE2.2 - 291 - T3 - 62m²</v>
      </c>
      <c r="C99" s="428"/>
      <c r="D99" s="428"/>
      <c r="E99" s="428"/>
      <c r="F99" s="428"/>
      <c r="G99" s="428"/>
      <c r="H99" s="428"/>
      <c r="I99" s="428"/>
      <c r="J99" s="428"/>
      <c r="K99" s="428"/>
      <c r="L99" s="428"/>
      <c r="M99" s="428"/>
      <c r="N99" s="428"/>
      <c r="O99" s="428"/>
      <c r="P99" s="428"/>
      <c r="Q99" s="428"/>
      <c r="R99" s="428"/>
      <c r="S99" s="428"/>
      <c r="T99" s="428"/>
      <c r="U99" s="428"/>
      <c r="V99" s="428">
        <v>12.5</v>
      </c>
      <c r="W99" s="428">
        <v>22.600000000000136</v>
      </c>
      <c r="X99" s="428">
        <v>12.599999999999909</v>
      </c>
      <c r="Y99" s="428">
        <v>18.799999999999955</v>
      </c>
      <c r="Z99" s="428"/>
      <c r="AA99" s="428"/>
      <c r="AB99" s="428"/>
      <c r="AC99" s="428"/>
      <c r="AD99" s="428"/>
      <c r="AE99" s="428"/>
      <c r="AF99" s="428"/>
      <c r="AG99" s="428"/>
      <c r="AH99" s="428"/>
      <c r="AI99" s="428"/>
      <c r="AJ99" s="428"/>
      <c r="AK99" s="428"/>
      <c r="AL99" s="428"/>
      <c r="AM99" s="428"/>
      <c r="AN99" s="428"/>
      <c r="AO99" s="428"/>
      <c r="AP99" s="428"/>
      <c r="AQ99" s="428"/>
      <c r="AR99" s="428"/>
      <c r="AS99" s="428"/>
      <c r="AT99" s="428"/>
      <c r="AU99" s="428"/>
      <c r="AV99" s="428"/>
      <c r="AW99" s="428"/>
      <c r="AX99" s="428"/>
      <c r="AY99" s="428"/>
      <c r="AZ99" s="428"/>
      <c r="BA99" s="428"/>
      <c r="BB99" s="428"/>
      <c r="BC99" s="428"/>
    </row>
    <row r="100" spans="1:55" x14ac:dyDescent="0.25">
      <c r="A100" s="174">
        <v>36</v>
      </c>
      <c r="B100" s="68" t="str">
        <f t="shared" si="2"/>
        <v>GE2.2 - 294 - T3 - 63m²</v>
      </c>
      <c r="C100" s="428"/>
      <c r="D100" s="428"/>
      <c r="E100" s="428"/>
      <c r="F100" s="428"/>
      <c r="G100" s="428"/>
      <c r="H100" s="428"/>
      <c r="I100" s="428"/>
      <c r="J100" s="428"/>
      <c r="K100" s="428"/>
      <c r="L100" s="428"/>
      <c r="M100" s="428"/>
      <c r="N100" s="428"/>
      <c r="O100" s="428"/>
      <c r="P100" s="428"/>
      <c r="Q100" s="428"/>
      <c r="R100" s="428"/>
      <c r="S100" s="428"/>
      <c r="T100" s="428"/>
      <c r="U100" s="428"/>
      <c r="V100" s="428">
        <v>47.300000000000182</v>
      </c>
      <c r="W100" s="428">
        <v>67.799999999999727</v>
      </c>
      <c r="X100" s="428">
        <v>56.700000000000273</v>
      </c>
      <c r="Y100" s="428">
        <v>59</v>
      </c>
      <c r="Z100" s="428"/>
      <c r="AA100" s="428"/>
      <c r="AB100" s="428"/>
      <c r="AC100" s="428"/>
      <c r="AD100" s="428"/>
      <c r="AE100" s="428"/>
      <c r="AF100" s="428"/>
      <c r="AG100" s="428"/>
      <c r="AH100" s="428"/>
      <c r="AI100" s="428"/>
      <c r="AJ100" s="428"/>
      <c r="AK100" s="428"/>
      <c r="AL100" s="428"/>
      <c r="AM100" s="428"/>
      <c r="AN100" s="428"/>
      <c r="AO100" s="428"/>
      <c r="AP100" s="428"/>
      <c r="AQ100" s="428"/>
      <c r="AR100" s="428"/>
      <c r="AS100" s="428"/>
      <c r="AT100" s="428"/>
      <c r="AU100" s="428"/>
      <c r="AV100" s="428"/>
      <c r="AW100" s="428"/>
      <c r="AX100" s="428"/>
      <c r="AY100" s="428"/>
      <c r="AZ100" s="428"/>
      <c r="BA100" s="428"/>
      <c r="BB100" s="428"/>
      <c r="BC100" s="428"/>
    </row>
    <row r="101" spans="1:55" x14ac:dyDescent="0.25">
      <c r="A101" s="174">
        <v>37</v>
      </c>
      <c r="B101" s="68" t="str">
        <f t="shared" si="2"/>
        <v>GE2.2 - 298 - T5 - 93m²</v>
      </c>
      <c r="C101" s="428"/>
      <c r="D101" s="428"/>
      <c r="E101" s="428"/>
      <c r="F101" s="428"/>
      <c r="G101" s="428"/>
      <c r="H101" s="428"/>
      <c r="I101" s="428"/>
      <c r="J101" s="428"/>
      <c r="K101" s="428"/>
      <c r="L101" s="428"/>
      <c r="M101" s="428"/>
      <c r="N101" s="428"/>
      <c r="O101" s="428"/>
      <c r="P101" s="428"/>
      <c r="Q101" s="428"/>
      <c r="R101" s="428"/>
      <c r="S101" s="428"/>
      <c r="T101" s="428"/>
      <c r="U101" s="428"/>
      <c r="V101" s="428">
        <v>72.400000000000091</v>
      </c>
      <c r="W101" s="428">
        <v>74</v>
      </c>
      <c r="X101" s="428">
        <v>74.599999999999909</v>
      </c>
      <c r="Y101" s="428">
        <v>70.700000000000045</v>
      </c>
      <c r="Z101" s="428"/>
      <c r="AA101" s="428"/>
      <c r="AB101" s="428"/>
      <c r="AC101" s="428"/>
      <c r="AD101" s="428"/>
      <c r="AE101" s="428"/>
      <c r="AF101" s="428"/>
      <c r="AG101" s="428"/>
      <c r="AH101" s="428"/>
      <c r="AI101" s="428"/>
      <c r="AJ101" s="428"/>
      <c r="AK101" s="428"/>
      <c r="AL101" s="428"/>
      <c r="AM101" s="428"/>
      <c r="AN101" s="428"/>
      <c r="AO101" s="428"/>
      <c r="AP101" s="428"/>
      <c r="AQ101" s="428"/>
      <c r="AR101" s="428"/>
      <c r="AS101" s="428"/>
      <c r="AT101" s="428"/>
      <c r="AU101" s="428"/>
      <c r="AV101" s="428"/>
      <c r="AW101" s="428"/>
      <c r="AX101" s="428"/>
      <c r="AY101" s="428"/>
      <c r="AZ101" s="428"/>
      <c r="BA101" s="428"/>
      <c r="BB101" s="428"/>
      <c r="BC101" s="428"/>
    </row>
    <row r="102" spans="1:55" x14ac:dyDescent="0.25">
      <c r="A102" s="174">
        <v>38</v>
      </c>
      <c r="B102" s="68" t="str">
        <f t="shared" si="2"/>
        <v>GE2.2 - 301 - T4 - 79m²</v>
      </c>
      <c r="C102" s="428"/>
      <c r="D102" s="428"/>
      <c r="E102" s="428"/>
      <c r="F102" s="428"/>
      <c r="G102" s="428"/>
      <c r="H102" s="428"/>
      <c r="I102" s="428"/>
      <c r="J102" s="428"/>
      <c r="K102" s="428"/>
      <c r="L102" s="428"/>
      <c r="M102" s="428"/>
      <c r="N102" s="428"/>
      <c r="O102" s="428"/>
      <c r="P102" s="428"/>
      <c r="Q102" s="428"/>
      <c r="R102" s="428"/>
      <c r="S102" s="428"/>
      <c r="T102" s="428"/>
      <c r="U102" s="428"/>
      <c r="V102" s="428">
        <v>70.5</v>
      </c>
      <c r="W102" s="428">
        <v>75.099999999999909</v>
      </c>
      <c r="X102" s="428">
        <v>76.400000000000091</v>
      </c>
      <c r="Y102" s="428">
        <v>65</v>
      </c>
      <c r="Z102" s="428"/>
      <c r="AA102" s="428"/>
      <c r="AB102" s="428"/>
      <c r="AC102" s="428"/>
      <c r="AD102" s="428"/>
      <c r="AE102" s="428"/>
      <c r="AF102" s="428"/>
      <c r="AG102" s="428"/>
      <c r="AH102" s="428"/>
      <c r="AI102" s="428"/>
      <c r="AJ102" s="428"/>
      <c r="AK102" s="428"/>
      <c r="AL102" s="428"/>
      <c r="AM102" s="428"/>
      <c r="AN102" s="428"/>
      <c r="AO102" s="428"/>
      <c r="AP102" s="428"/>
      <c r="AQ102" s="428"/>
      <c r="AR102" s="428"/>
      <c r="AS102" s="428"/>
      <c r="AT102" s="428"/>
      <c r="AU102" s="428"/>
      <c r="AV102" s="428"/>
      <c r="AW102" s="428"/>
      <c r="AX102" s="428"/>
      <c r="AY102" s="428"/>
      <c r="AZ102" s="428"/>
      <c r="BA102" s="428"/>
      <c r="BB102" s="428"/>
      <c r="BC102" s="428"/>
    </row>
    <row r="103" spans="1:55" x14ac:dyDescent="0.25">
      <c r="A103" s="174">
        <v>39</v>
      </c>
      <c r="B103" s="68" t="str">
        <f t="shared" si="2"/>
        <v>GE2.2 - 311 - T4 - 74m²</v>
      </c>
      <c r="C103" s="428"/>
      <c r="D103" s="428"/>
      <c r="E103" s="428"/>
      <c r="F103" s="428"/>
      <c r="G103" s="428"/>
      <c r="H103" s="428"/>
      <c r="I103" s="428"/>
      <c r="J103" s="428"/>
      <c r="K103" s="428"/>
      <c r="L103" s="428"/>
      <c r="M103" s="428"/>
      <c r="N103" s="428"/>
      <c r="O103" s="428"/>
      <c r="P103" s="428"/>
      <c r="Q103" s="428"/>
      <c r="R103" s="428"/>
      <c r="S103" s="428"/>
      <c r="T103" s="428"/>
      <c r="U103" s="428"/>
      <c r="V103" s="428">
        <v>37.5</v>
      </c>
      <c r="W103" s="428">
        <v>32.600000000000023</v>
      </c>
      <c r="X103" s="428">
        <v>32.799999999999955</v>
      </c>
      <c r="Y103" s="428">
        <v>36</v>
      </c>
      <c r="Z103" s="428"/>
      <c r="AA103" s="428"/>
      <c r="AB103" s="428"/>
      <c r="AC103" s="428"/>
      <c r="AD103" s="428"/>
      <c r="AE103" s="428"/>
      <c r="AF103" s="428"/>
      <c r="AG103" s="428"/>
      <c r="AH103" s="428"/>
      <c r="AI103" s="428"/>
      <c r="AJ103" s="428"/>
      <c r="AK103" s="428"/>
      <c r="AL103" s="428"/>
      <c r="AM103" s="428"/>
      <c r="AN103" s="428"/>
      <c r="AO103" s="428"/>
      <c r="AP103" s="428"/>
      <c r="AQ103" s="428"/>
      <c r="AR103" s="428"/>
      <c r="AS103" s="428"/>
      <c r="AT103" s="428"/>
      <c r="AU103" s="428"/>
      <c r="AV103" s="428"/>
      <c r="AW103" s="428"/>
      <c r="AX103" s="428"/>
      <c r="AY103" s="428"/>
      <c r="AZ103" s="428"/>
      <c r="BA103" s="428"/>
      <c r="BB103" s="428"/>
      <c r="BC103" s="428"/>
    </row>
    <row r="104" spans="1:55" x14ac:dyDescent="0.25">
      <c r="A104" s="174">
        <v>40</v>
      </c>
      <c r="B104" s="68" t="str">
        <f t="shared" si="2"/>
        <v>GE2.2 - 313 - T4 - 75m²</v>
      </c>
      <c r="C104" s="428"/>
      <c r="D104" s="428"/>
      <c r="E104" s="428"/>
      <c r="F104" s="428"/>
      <c r="G104" s="428"/>
      <c r="H104" s="428"/>
      <c r="I104" s="428"/>
      <c r="J104" s="428"/>
      <c r="K104" s="428"/>
      <c r="L104" s="428"/>
      <c r="M104" s="428"/>
      <c r="N104" s="428"/>
      <c r="O104" s="428"/>
      <c r="P104" s="428"/>
      <c r="Q104" s="428"/>
      <c r="R104" s="428"/>
      <c r="S104" s="428"/>
      <c r="T104" s="428"/>
      <c r="U104" s="428"/>
      <c r="V104" s="428">
        <v>29.299999999999955</v>
      </c>
      <c r="W104" s="428">
        <v>25.600000000000023</v>
      </c>
      <c r="X104" s="428">
        <v>28.200000000000045</v>
      </c>
      <c r="Y104" s="428">
        <v>25.799999999999955</v>
      </c>
      <c r="Z104" s="428"/>
      <c r="AA104" s="428"/>
      <c r="AB104" s="428"/>
      <c r="AC104" s="428"/>
      <c r="AD104" s="428"/>
      <c r="AE104" s="428"/>
      <c r="AF104" s="428"/>
      <c r="AG104" s="428"/>
      <c r="AH104" s="428"/>
      <c r="AI104" s="428"/>
      <c r="AJ104" s="428"/>
      <c r="AK104" s="428"/>
      <c r="AL104" s="428"/>
      <c r="AM104" s="428"/>
      <c r="AN104" s="428"/>
      <c r="AO104" s="428"/>
      <c r="AP104" s="428"/>
      <c r="AQ104" s="428"/>
      <c r="AR104" s="428"/>
      <c r="AS104" s="428"/>
      <c r="AT104" s="428"/>
      <c r="AU104" s="428"/>
      <c r="AV104" s="428"/>
      <c r="AW104" s="428"/>
      <c r="AX104" s="428"/>
      <c r="AY104" s="428"/>
      <c r="AZ104" s="428"/>
      <c r="BA104" s="428"/>
      <c r="BB104" s="428"/>
      <c r="BC104" s="428"/>
    </row>
    <row r="105" spans="1:55" x14ac:dyDescent="0.25">
      <c r="A105" s="174">
        <v>41</v>
      </c>
      <c r="B105" s="68" t="str">
        <f t="shared" si="2"/>
        <v>GE2.2 - 315 - T4 - 75m²</v>
      </c>
      <c r="C105" s="428"/>
      <c r="D105" s="428"/>
      <c r="E105" s="428"/>
      <c r="F105" s="428"/>
      <c r="G105" s="428"/>
      <c r="H105" s="428"/>
      <c r="I105" s="428"/>
      <c r="J105" s="428"/>
      <c r="K105" s="428"/>
      <c r="L105" s="428"/>
      <c r="M105" s="428"/>
      <c r="N105" s="428"/>
      <c r="O105" s="428"/>
      <c r="P105" s="428"/>
      <c r="Q105" s="428"/>
      <c r="R105" s="428"/>
      <c r="S105" s="428"/>
      <c r="T105" s="428"/>
      <c r="U105" s="428"/>
      <c r="V105" s="428">
        <v>50</v>
      </c>
      <c r="W105" s="428">
        <v>59.699999999999818</v>
      </c>
      <c r="X105" s="428">
        <v>53.100000000000136</v>
      </c>
      <c r="Y105" s="428">
        <v>49.799999999999955</v>
      </c>
      <c r="Z105" s="428"/>
      <c r="AA105" s="428"/>
      <c r="AB105" s="428"/>
      <c r="AC105" s="428"/>
      <c r="AD105" s="428"/>
      <c r="AE105" s="428"/>
      <c r="AF105" s="428"/>
      <c r="AG105" s="428"/>
      <c r="AH105" s="428"/>
      <c r="AI105" s="428"/>
      <c r="AJ105" s="428"/>
      <c r="AK105" s="428"/>
      <c r="AL105" s="428"/>
      <c r="AM105" s="428"/>
      <c r="AN105" s="428"/>
      <c r="AO105" s="428"/>
      <c r="AP105" s="428"/>
      <c r="AQ105" s="428"/>
      <c r="AR105" s="428"/>
      <c r="AS105" s="428"/>
      <c r="AT105" s="428"/>
      <c r="AU105" s="428"/>
      <c r="AV105" s="428"/>
      <c r="AW105" s="428"/>
      <c r="AX105" s="428"/>
      <c r="AY105" s="428"/>
      <c r="AZ105" s="428"/>
      <c r="BA105" s="428"/>
      <c r="BB105" s="428"/>
      <c r="BC105" s="428"/>
    </row>
    <row r="106" spans="1:55" x14ac:dyDescent="0.25">
      <c r="A106" s="174">
        <v>42</v>
      </c>
      <c r="B106" s="497" t="str">
        <f t="shared" si="2"/>
        <v>MOYENNE GE2.2</v>
      </c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429"/>
      <c r="T106" s="429"/>
      <c r="U106" s="429"/>
      <c r="V106" s="429">
        <v>51.207692307692326</v>
      </c>
      <c r="W106" s="429">
        <v>53.09999999999998</v>
      </c>
      <c r="X106" s="429">
        <v>50.715384615384629</v>
      </c>
      <c r="Y106" s="429">
        <v>49.761538461538457</v>
      </c>
      <c r="Z106" s="429"/>
      <c r="AA106" s="429"/>
      <c r="AB106" s="429"/>
      <c r="AC106" s="429"/>
      <c r="AD106" s="429"/>
      <c r="AE106" s="429"/>
      <c r="AF106" s="429"/>
      <c r="AG106" s="429"/>
      <c r="AH106" s="429"/>
      <c r="AI106" s="429"/>
      <c r="AJ106" s="429"/>
      <c r="AK106" s="429"/>
      <c r="AL106" s="429"/>
      <c r="AM106" s="429"/>
      <c r="AN106" s="429"/>
      <c r="AO106" s="429"/>
      <c r="AP106" s="429"/>
      <c r="AQ106" s="429"/>
      <c r="AR106" s="429"/>
      <c r="AS106" s="429"/>
      <c r="AT106" s="429"/>
      <c r="AU106" s="429"/>
      <c r="AV106" s="429"/>
      <c r="AW106" s="429"/>
      <c r="AX106" s="429"/>
      <c r="AY106" s="429"/>
      <c r="AZ106" s="429"/>
      <c r="BA106" s="429"/>
      <c r="BB106" s="429"/>
      <c r="BC106" s="429"/>
    </row>
    <row r="107" spans="1:55" x14ac:dyDescent="0.25">
      <c r="A107" s="174">
        <v>43</v>
      </c>
      <c r="B107" s="68" t="str">
        <f t="shared" ref="B107:B113" si="3">B52</f>
        <v>SO - 284 - T - 64m²</v>
      </c>
      <c r="C107" s="428"/>
      <c r="D107" s="428"/>
      <c r="E107" s="428"/>
      <c r="F107" s="428"/>
      <c r="G107" s="428"/>
      <c r="H107" s="428"/>
      <c r="I107" s="428"/>
      <c r="J107" s="428"/>
      <c r="K107" s="428"/>
      <c r="L107" s="428"/>
      <c r="M107" s="428"/>
      <c r="N107" s="428"/>
      <c r="O107" s="428"/>
      <c r="P107" s="428"/>
      <c r="Q107" s="428"/>
      <c r="R107" s="428"/>
      <c r="S107" s="428"/>
      <c r="T107" s="428"/>
      <c r="U107" s="428"/>
      <c r="V107" s="428">
        <v>63.800000000000182</v>
      </c>
      <c r="W107" s="428">
        <v>63.199999999999818</v>
      </c>
      <c r="X107" s="428">
        <v>64</v>
      </c>
      <c r="Y107" s="428">
        <v>63.400000000000091</v>
      </c>
      <c r="Z107" s="428"/>
      <c r="AA107" s="428"/>
      <c r="AB107" s="428"/>
      <c r="AC107" s="428"/>
      <c r="AD107" s="428"/>
      <c r="AE107" s="428"/>
      <c r="AF107" s="428"/>
      <c r="AG107" s="428"/>
      <c r="AH107" s="428"/>
      <c r="AI107" s="428"/>
      <c r="AJ107" s="428"/>
      <c r="AK107" s="428"/>
      <c r="AL107" s="428"/>
      <c r="AM107" s="428"/>
      <c r="AN107" s="428"/>
      <c r="AO107" s="428"/>
      <c r="AP107" s="428"/>
      <c r="AQ107" s="428"/>
      <c r="AR107" s="428"/>
      <c r="AS107" s="428"/>
      <c r="AT107" s="428"/>
      <c r="AU107" s="428"/>
      <c r="AV107" s="428"/>
      <c r="AW107" s="428"/>
      <c r="AX107" s="428"/>
      <c r="AY107" s="428"/>
      <c r="AZ107" s="428"/>
      <c r="BA107" s="428"/>
      <c r="BB107" s="428"/>
      <c r="BC107" s="428"/>
    </row>
    <row r="108" spans="1:55" x14ac:dyDescent="0.25">
      <c r="A108" s="174">
        <v>44</v>
      </c>
      <c r="B108" s="68" t="str">
        <f t="shared" si="3"/>
        <v>SO - 287 - T - 81m²</v>
      </c>
      <c r="C108" s="428"/>
      <c r="D108" s="428"/>
      <c r="E108" s="428"/>
      <c r="F108" s="428"/>
      <c r="G108" s="428"/>
      <c r="H108" s="428"/>
      <c r="I108" s="428"/>
      <c r="J108" s="428"/>
      <c r="K108" s="428"/>
      <c r="L108" s="428"/>
      <c r="M108" s="428"/>
      <c r="N108" s="428"/>
      <c r="O108" s="428"/>
      <c r="P108" s="428"/>
      <c r="Q108" s="428"/>
      <c r="R108" s="428"/>
      <c r="S108" s="428"/>
      <c r="T108" s="428"/>
      <c r="U108" s="428"/>
      <c r="V108" s="428">
        <v>34.799999999999955</v>
      </c>
      <c r="W108" s="428">
        <v>33.200000000000045</v>
      </c>
      <c r="X108" s="428">
        <v>34.399999999999864</v>
      </c>
      <c r="Y108" s="428">
        <v>35.600000000000136</v>
      </c>
      <c r="Z108" s="428"/>
      <c r="AA108" s="428"/>
      <c r="AB108" s="428"/>
      <c r="AC108" s="428"/>
      <c r="AD108" s="428"/>
      <c r="AE108" s="428"/>
      <c r="AF108" s="428"/>
      <c r="AG108" s="428"/>
      <c r="AH108" s="428"/>
      <c r="AI108" s="428"/>
      <c r="AJ108" s="428"/>
      <c r="AK108" s="428"/>
      <c r="AL108" s="428"/>
      <c r="AM108" s="428"/>
      <c r="AN108" s="428"/>
      <c r="AO108" s="428"/>
      <c r="AP108" s="428"/>
      <c r="AQ108" s="428"/>
      <c r="AR108" s="428"/>
      <c r="AS108" s="428"/>
      <c r="AT108" s="428"/>
      <c r="AU108" s="428"/>
      <c r="AV108" s="428"/>
      <c r="AW108" s="428"/>
      <c r="AX108" s="428"/>
      <c r="AY108" s="428"/>
      <c r="AZ108" s="428"/>
      <c r="BA108" s="428"/>
      <c r="BB108" s="428"/>
      <c r="BC108" s="428"/>
    </row>
    <row r="109" spans="1:55" x14ac:dyDescent="0.25">
      <c r="A109" s="174">
        <v>45</v>
      </c>
      <c r="B109" s="430" t="str">
        <f t="shared" si="3"/>
        <v>SO - 290 - T - 40m²</v>
      </c>
      <c r="C109" s="428"/>
      <c r="D109" s="428"/>
      <c r="E109" s="428"/>
      <c r="F109" s="428"/>
      <c r="G109" s="428"/>
      <c r="H109" s="428"/>
      <c r="I109" s="428"/>
      <c r="J109" s="428"/>
      <c r="K109" s="428"/>
      <c r="L109" s="428"/>
      <c r="M109" s="428"/>
      <c r="N109" s="428"/>
      <c r="O109" s="428"/>
      <c r="P109" s="428"/>
      <c r="Q109" s="428"/>
      <c r="R109" s="428"/>
      <c r="S109" s="428"/>
      <c r="T109" s="428"/>
      <c r="U109" s="428"/>
      <c r="V109" s="428">
        <v>22.699999999999989</v>
      </c>
      <c r="W109" s="428">
        <v>26.699999999999989</v>
      </c>
      <c r="X109" s="428">
        <v>23</v>
      </c>
      <c r="Y109" s="428">
        <v>26.799999999999955</v>
      </c>
      <c r="Z109" s="428"/>
      <c r="AA109" s="428"/>
      <c r="AB109" s="428"/>
      <c r="AC109" s="428"/>
      <c r="AD109" s="428"/>
      <c r="AE109" s="428"/>
      <c r="AF109" s="428"/>
      <c r="AG109" s="428"/>
      <c r="AH109" s="428"/>
      <c r="AI109" s="428"/>
      <c r="AJ109" s="428"/>
      <c r="AK109" s="428"/>
      <c r="AL109" s="428"/>
      <c r="AM109" s="428"/>
      <c r="AN109" s="428"/>
      <c r="AO109" s="428"/>
      <c r="AP109" s="428"/>
      <c r="AQ109" s="428"/>
      <c r="AR109" s="428"/>
      <c r="AS109" s="428"/>
      <c r="AT109" s="428"/>
      <c r="AU109" s="428"/>
      <c r="AV109" s="428"/>
      <c r="AW109" s="428"/>
      <c r="AX109" s="428"/>
      <c r="AY109" s="428"/>
      <c r="AZ109" s="428"/>
      <c r="BA109" s="428"/>
      <c r="BB109" s="428"/>
      <c r="BC109" s="428"/>
    </row>
    <row r="110" spans="1:55" x14ac:dyDescent="0.25">
      <c r="A110" s="174">
        <v>46</v>
      </c>
      <c r="B110" s="430" t="str">
        <f t="shared" si="3"/>
        <v>SO - 305 - T - 66m²</v>
      </c>
      <c r="C110" s="428"/>
      <c r="D110" s="428"/>
      <c r="E110" s="428"/>
      <c r="F110" s="428"/>
      <c r="G110" s="428"/>
      <c r="H110" s="428"/>
      <c r="I110" s="428"/>
      <c r="J110" s="428"/>
      <c r="K110" s="428"/>
      <c r="L110" s="428"/>
      <c r="M110" s="428"/>
      <c r="N110" s="428"/>
      <c r="O110" s="428"/>
      <c r="P110" s="428"/>
      <c r="Q110" s="428"/>
      <c r="R110" s="428"/>
      <c r="S110" s="428"/>
      <c r="T110" s="428"/>
      <c r="U110" s="428"/>
      <c r="V110" s="428">
        <v>38.300000000000068</v>
      </c>
      <c r="W110" s="428">
        <v>37.599999999999909</v>
      </c>
      <c r="X110" s="428">
        <v>40.700000000000045</v>
      </c>
      <c r="Y110" s="428">
        <v>43.799999999999955</v>
      </c>
      <c r="Z110" s="428"/>
      <c r="AA110" s="428"/>
      <c r="AB110" s="428"/>
      <c r="AC110" s="428"/>
      <c r="AD110" s="428"/>
      <c r="AE110" s="428"/>
      <c r="AF110" s="428"/>
      <c r="AG110" s="428"/>
      <c r="AH110" s="428"/>
      <c r="AI110" s="428"/>
      <c r="AJ110" s="428"/>
      <c r="AK110" s="428"/>
      <c r="AL110" s="428"/>
      <c r="AM110" s="428"/>
      <c r="AN110" s="428"/>
      <c r="AO110" s="428"/>
      <c r="AP110" s="428"/>
      <c r="AQ110" s="428"/>
      <c r="AR110" s="428"/>
      <c r="AS110" s="428"/>
      <c r="AT110" s="428"/>
      <c r="AU110" s="428"/>
      <c r="AV110" s="428"/>
      <c r="AW110" s="428"/>
      <c r="AX110" s="428"/>
      <c r="AY110" s="428"/>
      <c r="AZ110" s="428"/>
      <c r="BA110" s="428"/>
      <c r="BB110" s="428"/>
      <c r="BC110" s="428"/>
    </row>
    <row r="111" spans="1:55" x14ac:dyDescent="0.25">
      <c r="A111" s="174">
        <v>47</v>
      </c>
      <c r="B111" s="68" t="str">
        <f t="shared" si="3"/>
        <v>SO - 309 - T - 66m²</v>
      </c>
      <c r="C111" s="428"/>
      <c r="D111" s="428"/>
      <c r="E111" s="428"/>
      <c r="F111" s="428"/>
      <c r="G111" s="428"/>
      <c r="H111" s="428"/>
      <c r="I111" s="428"/>
      <c r="J111" s="428"/>
      <c r="K111" s="428"/>
      <c r="L111" s="428"/>
      <c r="M111" s="428"/>
      <c r="N111" s="428"/>
      <c r="O111" s="428"/>
      <c r="P111" s="428"/>
      <c r="Q111" s="428"/>
      <c r="R111" s="428"/>
      <c r="S111" s="428"/>
      <c r="T111" s="428"/>
      <c r="U111" s="428"/>
      <c r="V111" s="428">
        <v>22.300000000000068</v>
      </c>
      <c r="W111" s="428">
        <v>20.199999999999932</v>
      </c>
      <c r="X111" s="428">
        <v>19.5</v>
      </c>
      <c r="Y111" s="428">
        <v>17</v>
      </c>
      <c r="Z111" s="428"/>
      <c r="AA111" s="428"/>
      <c r="AB111" s="428"/>
      <c r="AC111" s="428"/>
      <c r="AD111" s="428"/>
      <c r="AE111" s="428"/>
      <c r="AF111" s="428"/>
      <c r="AG111" s="428"/>
      <c r="AH111" s="428"/>
      <c r="AI111" s="428"/>
      <c r="AJ111" s="428"/>
      <c r="AK111" s="428"/>
      <c r="AL111" s="428"/>
      <c r="AM111" s="428"/>
      <c r="AN111" s="428"/>
      <c r="AO111" s="428"/>
      <c r="AP111" s="428"/>
      <c r="AQ111" s="428"/>
      <c r="AR111" s="428"/>
      <c r="AS111" s="428"/>
      <c r="AT111" s="428"/>
      <c r="AU111" s="428"/>
      <c r="AV111" s="428"/>
      <c r="AW111" s="428"/>
      <c r="AX111" s="428"/>
      <c r="AY111" s="428"/>
      <c r="AZ111" s="428"/>
      <c r="BA111" s="428"/>
      <c r="BB111" s="428"/>
      <c r="BC111" s="428"/>
    </row>
    <row r="112" spans="1:55" x14ac:dyDescent="0.25">
      <c r="A112" s="174">
        <v>48</v>
      </c>
      <c r="B112" s="68" t="str">
        <f t="shared" si="3"/>
        <v>SO - 310 - T - 54m²</v>
      </c>
      <c r="C112" s="428"/>
      <c r="D112" s="428"/>
      <c r="E112" s="428"/>
      <c r="F112" s="428"/>
      <c r="G112" s="428"/>
      <c r="H112" s="428"/>
      <c r="I112" s="428"/>
      <c r="J112" s="428"/>
      <c r="K112" s="428"/>
      <c r="L112" s="428"/>
      <c r="M112" s="428"/>
      <c r="N112" s="428"/>
      <c r="O112" s="428"/>
      <c r="P112" s="428"/>
      <c r="Q112" s="428"/>
      <c r="R112" s="428"/>
      <c r="S112" s="428"/>
      <c r="T112" s="428"/>
      <c r="U112" s="428"/>
      <c r="V112" s="428">
        <v>55.599999999999909</v>
      </c>
      <c r="W112" s="428">
        <v>54.299999999999955</v>
      </c>
      <c r="X112" s="428">
        <v>35.200000000000045</v>
      </c>
      <c r="Y112" s="428">
        <v>15.299999999999955</v>
      </c>
      <c r="Z112" s="428"/>
      <c r="AA112" s="428"/>
      <c r="AB112" s="428"/>
      <c r="AC112" s="428"/>
      <c r="AD112" s="428"/>
      <c r="AE112" s="428"/>
      <c r="AF112" s="428"/>
      <c r="AG112" s="428"/>
      <c r="AH112" s="428"/>
      <c r="AI112" s="428"/>
      <c r="AJ112" s="428"/>
      <c r="AK112" s="428"/>
      <c r="AL112" s="428"/>
      <c r="AM112" s="428"/>
      <c r="AN112" s="428"/>
      <c r="AO112" s="428"/>
      <c r="AP112" s="428"/>
      <c r="AQ112" s="428"/>
      <c r="AR112" s="428"/>
      <c r="AS112" s="428"/>
      <c r="AT112" s="428"/>
      <c r="AU112" s="428"/>
      <c r="AV112" s="428"/>
      <c r="AW112" s="428"/>
      <c r="AX112" s="428"/>
      <c r="AY112" s="428"/>
      <c r="AZ112" s="428"/>
      <c r="BA112" s="428"/>
      <c r="BB112" s="428"/>
      <c r="BC112" s="428"/>
    </row>
    <row r="113" spans="1:55" x14ac:dyDescent="0.25">
      <c r="A113" s="174"/>
      <c r="B113" s="497" t="str">
        <f t="shared" si="3"/>
        <v>MOYENNE SO</v>
      </c>
      <c r="C113" s="429"/>
      <c r="D113" s="429"/>
      <c r="E113" s="429"/>
      <c r="F113" s="429"/>
      <c r="G113" s="429"/>
      <c r="H113" s="429"/>
      <c r="I113" s="429"/>
      <c r="J113" s="429"/>
      <c r="K113" s="429"/>
      <c r="L113" s="429"/>
      <c r="M113" s="429"/>
      <c r="N113" s="429"/>
      <c r="O113" s="429"/>
      <c r="P113" s="429"/>
      <c r="Q113" s="429"/>
      <c r="R113" s="429"/>
      <c r="S113" s="429"/>
      <c r="T113" s="429"/>
      <c r="U113" s="429"/>
      <c r="V113" s="429">
        <v>39.583333333333364</v>
      </c>
      <c r="W113" s="429">
        <v>39.199999999999939</v>
      </c>
      <c r="X113" s="429">
        <v>45.331952662721925</v>
      </c>
      <c r="Y113" s="429">
        <v>42.920118343195277</v>
      </c>
      <c r="Z113" s="429"/>
      <c r="AA113" s="429"/>
      <c r="AB113" s="429"/>
      <c r="AC113" s="429"/>
      <c r="AD113" s="429"/>
      <c r="AE113" s="429"/>
      <c r="AF113" s="429"/>
      <c r="AG113" s="429"/>
      <c r="AH113" s="429"/>
      <c r="AI113" s="429"/>
      <c r="AJ113" s="429"/>
      <c r="AK113" s="429"/>
      <c r="AL113" s="429"/>
      <c r="AM113" s="429"/>
      <c r="AN113" s="429"/>
      <c r="AO113" s="429"/>
      <c r="AP113" s="429"/>
      <c r="AQ113" s="429"/>
      <c r="AR113" s="429"/>
      <c r="AS113" s="429"/>
      <c r="AT113" s="429"/>
      <c r="AU113" s="429"/>
      <c r="AV113" s="429"/>
      <c r="AW113" s="429"/>
      <c r="AX113" s="429"/>
      <c r="AY113" s="429"/>
      <c r="AZ113" s="429"/>
      <c r="BA113" s="429"/>
      <c r="BB113" s="429"/>
      <c r="BC113" s="429"/>
    </row>
    <row r="114" spans="1:55" x14ac:dyDescent="0.25">
      <c r="A114" s="175"/>
    </row>
    <row r="115" spans="1:55" x14ac:dyDescent="0.25">
      <c r="A115" s="175"/>
    </row>
    <row r="116" spans="1:55" x14ac:dyDescent="0.25">
      <c r="A116" s="175"/>
    </row>
    <row r="117" spans="1:55" x14ac:dyDescent="0.25">
      <c r="A117" s="175"/>
      <c r="B117" s="340" t="s">
        <v>250</v>
      </c>
      <c r="C117" s="148" t="s">
        <v>240</v>
      </c>
    </row>
    <row r="118" spans="1:55" x14ac:dyDescent="0.25">
      <c r="A118" s="175"/>
      <c r="B118" s="163" t="s">
        <v>132</v>
      </c>
      <c r="C118" s="174">
        <v>3</v>
      </c>
      <c r="D118" s="174">
        <v>4</v>
      </c>
      <c r="E118" s="174">
        <v>5</v>
      </c>
      <c r="F118" s="174">
        <v>6</v>
      </c>
      <c r="G118" s="174">
        <v>7</v>
      </c>
      <c r="H118" s="174">
        <v>8</v>
      </c>
      <c r="I118" s="174">
        <v>9</v>
      </c>
      <c r="J118" s="174">
        <v>10</v>
      </c>
      <c r="K118" s="174">
        <v>11</v>
      </c>
      <c r="L118" s="174">
        <v>12</v>
      </c>
      <c r="M118" s="174">
        <v>13</v>
      </c>
      <c r="N118" s="174">
        <v>14</v>
      </c>
      <c r="O118" s="174">
        <v>15</v>
      </c>
      <c r="P118" s="174">
        <v>16</v>
      </c>
      <c r="Q118" s="174">
        <v>17</v>
      </c>
      <c r="R118" s="174">
        <v>18</v>
      </c>
      <c r="S118" s="174">
        <v>19</v>
      </c>
      <c r="T118" s="174">
        <v>20</v>
      </c>
      <c r="U118" s="174">
        <v>21</v>
      </c>
      <c r="V118" s="174">
        <v>22</v>
      </c>
      <c r="W118" s="174">
        <v>23</v>
      </c>
      <c r="X118" s="174">
        <v>24</v>
      </c>
      <c r="Y118" s="174">
        <v>25</v>
      </c>
      <c r="Z118" s="174">
        <v>26</v>
      </c>
      <c r="AA118" s="174">
        <v>27</v>
      </c>
      <c r="AB118" s="174">
        <v>28</v>
      </c>
      <c r="AC118" s="174">
        <v>29</v>
      </c>
      <c r="AD118" s="174">
        <v>30</v>
      </c>
      <c r="AE118" s="174">
        <v>31</v>
      </c>
      <c r="AF118" s="174">
        <v>32</v>
      </c>
      <c r="AG118" s="174">
        <v>33</v>
      </c>
      <c r="AH118" s="174">
        <v>34</v>
      </c>
      <c r="AI118" s="174">
        <v>35</v>
      </c>
      <c r="AJ118" s="174">
        <v>36</v>
      </c>
      <c r="AK118" s="174">
        <v>37</v>
      </c>
      <c r="AL118" s="174">
        <v>38</v>
      </c>
      <c r="AM118" s="174">
        <v>39</v>
      </c>
      <c r="AN118" s="174">
        <v>40</v>
      </c>
      <c r="AO118" s="174">
        <v>41</v>
      </c>
      <c r="AP118" s="174">
        <v>42</v>
      </c>
      <c r="AQ118" s="174">
        <v>43</v>
      </c>
      <c r="AR118" s="174">
        <v>44</v>
      </c>
      <c r="AS118" s="174">
        <v>45</v>
      </c>
      <c r="AT118" s="174">
        <v>46</v>
      </c>
      <c r="AU118" s="174">
        <v>47</v>
      </c>
      <c r="AV118" s="174">
        <v>48</v>
      </c>
      <c r="AW118" s="174">
        <v>49</v>
      </c>
      <c r="AX118" s="174">
        <v>50</v>
      </c>
      <c r="AY118" s="174">
        <v>51</v>
      </c>
      <c r="AZ118" s="174">
        <v>52</v>
      </c>
      <c r="BA118" s="174">
        <v>53</v>
      </c>
      <c r="BB118" s="174">
        <v>53</v>
      </c>
      <c r="BC118" s="174"/>
    </row>
    <row r="119" spans="1:55" s="19" customFormat="1" x14ac:dyDescent="0.25">
      <c r="A119" s="179"/>
      <c r="B119" s="67" t="s">
        <v>250</v>
      </c>
      <c r="C119" s="71" t="str">
        <f>C64</f>
        <v>2014-S01</v>
      </c>
      <c r="D119" s="71" t="str">
        <f t="shared" ref="D119:BC119" si="4">D64</f>
        <v>2014-S02</v>
      </c>
      <c r="E119" s="71" t="str">
        <f t="shared" si="4"/>
        <v>2014-S03</v>
      </c>
      <c r="F119" s="71" t="str">
        <f t="shared" si="4"/>
        <v>2014-S04</v>
      </c>
      <c r="G119" s="71" t="str">
        <f t="shared" si="4"/>
        <v>2014-S05</v>
      </c>
      <c r="H119" s="71" t="str">
        <f t="shared" si="4"/>
        <v>2014-S06</v>
      </c>
      <c r="I119" s="71" t="str">
        <f t="shared" si="4"/>
        <v>2014-S07</v>
      </c>
      <c r="J119" s="71" t="str">
        <f t="shared" si="4"/>
        <v>2014-S08</v>
      </c>
      <c r="K119" s="71" t="str">
        <f t="shared" si="4"/>
        <v>2014-S09</v>
      </c>
      <c r="L119" s="71" t="str">
        <f t="shared" si="4"/>
        <v>2014-S10</v>
      </c>
      <c r="M119" s="71" t="str">
        <f t="shared" si="4"/>
        <v>2014-S11</v>
      </c>
      <c r="N119" s="71" t="str">
        <f t="shared" si="4"/>
        <v>2014-S12</v>
      </c>
      <c r="O119" s="71" t="str">
        <f t="shared" si="4"/>
        <v>2014-S13</v>
      </c>
      <c r="P119" s="71" t="str">
        <f t="shared" si="4"/>
        <v>2014-S14</v>
      </c>
      <c r="Q119" s="71" t="str">
        <f t="shared" si="4"/>
        <v>2014-S15</v>
      </c>
      <c r="R119" s="71" t="str">
        <f t="shared" si="4"/>
        <v>2014-S16</v>
      </c>
      <c r="S119" s="71" t="str">
        <f t="shared" si="4"/>
        <v>2014-S17</v>
      </c>
      <c r="T119" s="71" t="str">
        <f t="shared" si="4"/>
        <v>2014-S18</v>
      </c>
      <c r="U119" s="71" t="str">
        <f t="shared" si="4"/>
        <v>2014-S19</v>
      </c>
      <c r="V119" s="71" t="str">
        <f t="shared" si="4"/>
        <v>2014-S20</v>
      </c>
      <c r="W119" s="71" t="str">
        <f t="shared" si="4"/>
        <v>2014-S21</v>
      </c>
      <c r="X119" s="71" t="str">
        <f t="shared" si="4"/>
        <v>2014-S22</v>
      </c>
      <c r="Y119" s="71" t="str">
        <f t="shared" si="4"/>
        <v>2014-S23</v>
      </c>
      <c r="Z119" s="71" t="str">
        <f t="shared" si="4"/>
        <v>2014-S24</v>
      </c>
      <c r="AA119" s="71" t="str">
        <f t="shared" si="4"/>
        <v>2014-S25</v>
      </c>
      <c r="AB119" s="71" t="str">
        <f t="shared" si="4"/>
        <v>2014-S26</v>
      </c>
      <c r="AC119" s="71" t="str">
        <f t="shared" si="4"/>
        <v>2014-S27</v>
      </c>
      <c r="AD119" s="71" t="str">
        <f t="shared" si="4"/>
        <v>2014-S28</v>
      </c>
      <c r="AE119" s="71" t="str">
        <f t="shared" si="4"/>
        <v>2014-S29</v>
      </c>
      <c r="AF119" s="71" t="str">
        <f t="shared" si="4"/>
        <v>2014-S30</v>
      </c>
      <c r="AG119" s="71" t="str">
        <f t="shared" si="4"/>
        <v>2014-S31</v>
      </c>
      <c r="AH119" s="71" t="str">
        <f t="shared" si="4"/>
        <v>2014-S32</v>
      </c>
      <c r="AI119" s="71" t="str">
        <f t="shared" si="4"/>
        <v>2014-S33</v>
      </c>
      <c r="AJ119" s="71" t="str">
        <f t="shared" si="4"/>
        <v>2014-S34</v>
      </c>
      <c r="AK119" s="71" t="str">
        <f t="shared" si="4"/>
        <v>2014-S35</v>
      </c>
      <c r="AL119" s="71" t="str">
        <f t="shared" si="4"/>
        <v>2014-S36</v>
      </c>
      <c r="AM119" s="71" t="str">
        <f t="shared" si="4"/>
        <v>2014-S37</v>
      </c>
      <c r="AN119" s="71" t="str">
        <f t="shared" si="4"/>
        <v>2014-S38</v>
      </c>
      <c r="AO119" s="71" t="str">
        <f t="shared" si="4"/>
        <v>2014-S39</v>
      </c>
      <c r="AP119" s="71" t="str">
        <f t="shared" si="4"/>
        <v>2014-S40</v>
      </c>
      <c r="AQ119" s="71" t="str">
        <f t="shared" si="4"/>
        <v>2014-S41</v>
      </c>
      <c r="AR119" s="71" t="str">
        <f t="shared" si="4"/>
        <v>2014-S42</v>
      </c>
      <c r="AS119" s="71" t="str">
        <f t="shared" si="4"/>
        <v>2014-S43</v>
      </c>
      <c r="AT119" s="71" t="str">
        <f t="shared" si="4"/>
        <v>2014-S44</v>
      </c>
      <c r="AU119" s="71" t="str">
        <f t="shared" si="4"/>
        <v>2014-S45</v>
      </c>
      <c r="AV119" s="71" t="str">
        <f t="shared" si="4"/>
        <v>2014-S46</v>
      </c>
      <c r="AW119" s="71" t="str">
        <f t="shared" si="4"/>
        <v>2014-S47</v>
      </c>
      <c r="AX119" s="71" t="str">
        <f t="shared" si="4"/>
        <v>2014-S48</v>
      </c>
      <c r="AY119" s="71" t="str">
        <f t="shared" si="4"/>
        <v>2014-S49</v>
      </c>
      <c r="AZ119" s="71" t="str">
        <f t="shared" si="4"/>
        <v>2014-S50</v>
      </c>
      <c r="BA119" s="71" t="str">
        <f t="shared" si="4"/>
        <v>2014-S51</v>
      </c>
      <c r="BB119" s="71" t="str">
        <f t="shared" si="4"/>
        <v>2014-S52</v>
      </c>
      <c r="BC119" s="71" t="str">
        <f t="shared" si="4"/>
        <v>2014-S53</v>
      </c>
    </row>
    <row r="120" spans="1:55" x14ac:dyDescent="0.25">
      <c r="A120" s="174">
        <v>1</v>
      </c>
      <c r="B120" s="68" t="str">
        <f t="shared" ref="B120:B133" si="5">B65</f>
        <v>GC - 274 - T4 - 83m²</v>
      </c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>
        <v>2000</v>
      </c>
      <c r="W120" s="182">
        <v>2199.9999999999959</v>
      </c>
      <c r="X120" s="182">
        <v>1899.9999999999986</v>
      </c>
      <c r="Y120" s="182">
        <v>2400.0000000000055</v>
      </c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</row>
    <row r="121" spans="1:55" x14ac:dyDescent="0.25">
      <c r="A121" s="174">
        <v>2</v>
      </c>
      <c r="B121" s="68" t="str">
        <f t="shared" si="5"/>
        <v>GC - 277 - T2 - 53m²</v>
      </c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>
        <v>500</v>
      </c>
      <c r="W121" s="182">
        <v>1100.0000000000014</v>
      </c>
      <c r="X121" s="182">
        <v>1100.0000000000014</v>
      </c>
      <c r="Y121" s="182">
        <v>500</v>
      </c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</row>
    <row r="122" spans="1:55" x14ac:dyDescent="0.25">
      <c r="A122" s="174">
        <v>3</v>
      </c>
      <c r="B122" s="68" t="str">
        <f t="shared" si="5"/>
        <v>GC - 281 - T3 - 71m²</v>
      </c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>
        <v>2599.9999999999945</v>
      </c>
      <c r="W122" s="182">
        <v>2000</v>
      </c>
      <c r="X122" s="182">
        <v>2800.0000000000041</v>
      </c>
      <c r="Y122" s="182">
        <v>2000</v>
      </c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</row>
    <row r="123" spans="1:55" x14ac:dyDescent="0.25">
      <c r="A123" s="174">
        <v>4</v>
      </c>
      <c r="B123" s="68" t="str">
        <f t="shared" si="5"/>
        <v>GC - 283 - T3 - 70m²</v>
      </c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>
        <v>1000</v>
      </c>
      <c r="W123" s="182">
        <v>1099.999999999998</v>
      </c>
      <c r="X123" s="182">
        <v>1000</v>
      </c>
      <c r="Y123" s="182">
        <v>1199.9999999999993</v>
      </c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</row>
    <row r="124" spans="1:55" x14ac:dyDescent="0.25">
      <c r="A124" s="174">
        <v>5</v>
      </c>
      <c r="B124" s="68" t="str">
        <f t="shared" si="5"/>
        <v>GC - 285 - T3 - 64m²</v>
      </c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>
        <v>1399.9999999999986</v>
      </c>
      <c r="W124" s="182">
        <v>1600.0000000000014</v>
      </c>
      <c r="X124" s="182">
        <v>1299.9999999999973</v>
      </c>
      <c r="Y124" s="182">
        <v>1600.0000000000014</v>
      </c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</row>
    <row r="125" spans="1:55" x14ac:dyDescent="0.25">
      <c r="A125" s="174">
        <v>6</v>
      </c>
      <c r="B125" s="68" t="str">
        <f t="shared" si="5"/>
        <v>GC - 286 - T3 - 68m²</v>
      </c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>
        <v>2899.9999999999986</v>
      </c>
      <c r="W125" s="182">
        <v>3100.0000000000014</v>
      </c>
      <c r="X125" s="182">
        <v>3100.0000000000014</v>
      </c>
      <c r="Y125" s="182">
        <v>3500</v>
      </c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</row>
    <row r="126" spans="1:55" x14ac:dyDescent="0.25">
      <c r="A126" s="174">
        <v>7</v>
      </c>
      <c r="B126" s="68" t="str">
        <f t="shared" si="5"/>
        <v>GC - 289 - T3 - 76m²</v>
      </c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>
        <v>400.00000000000034</v>
      </c>
      <c r="W126" s="182">
        <v>700.00000000000102</v>
      </c>
      <c r="X126" s="182">
        <v>500</v>
      </c>
      <c r="Y126" s="182">
        <v>500</v>
      </c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</row>
    <row r="127" spans="1:55" x14ac:dyDescent="0.25">
      <c r="A127" s="174">
        <v>8</v>
      </c>
      <c r="B127" s="68" t="str">
        <f t="shared" si="5"/>
        <v>GC - 303 - T4 - 81m²</v>
      </c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>
        <v>1899.9999999999986</v>
      </c>
      <c r="W127" s="182">
        <v>1500</v>
      </c>
      <c r="X127" s="182">
        <v>2799.9999999999973</v>
      </c>
      <c r="Y127" s="182">
        <v>2100.0000000000014</v>
      </c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</row>
    <row r="128" spans="1:55" x14ac:dyDescent="0.25">
      <c r="A128" s="174">
        <v>9</v>
      </c>
      <c r="B128" s="68" t="str">
        <f t="shared" si="5"/>
        <v>GC - 304 - T3 - 66m²</v>
      </c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>
        <v>3500</v>
      </c>
      <c r="W128" s="182">
        <v>3399.9999999999986</v>
      </c>
      <c r="X128" s="182">
        <v>1899.9999999999986</v>
      </c>
      <c r="Y128" s="182">
        <v>1799.9999999999973</v>
      </c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</row>
    <row r="129" spans="1:55" x14ac:dyDescent="0.25">
      <c r="A129" s="174">
        <v>10</v>
      </c>
      <c r="B129" s="68" t="str">
        <f t="shared" si="5"/>
        <v>GC - 306 - T3 - 66m²</v>
      </c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>
        <v>899.99999999999864</v>
      </c>
      <c r="W129" s="182">
        <v>899.99999999999864</v>
      </c>
      <c r="X129" s="182">
        <v>1100.0000000000014</v>
      </c>
      <c r="Y129" s="182">
        <v>1600.0000000000014</v>
      </c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</row>
    <row r="130" spans="1:55" x14ac:dyDescent="0.25">
      <c r="A130" s="174">
        <v>11</v>
      </c>
      <c r="B130" s="430" t="str">
        <f t="shared" si="5"/>
        <v>GC - 307 - T3 - 66m²</v>
      </c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>
        <v>3300.0000000000114</v>
      </c>
      <c r="W130" s="182">
        <v>3500</v>
      </c>
      <c r="X130" s="182">
        <v>3099.9999999999945</v>
      </c>
      <c r="Y130" s="182">
        <v>3400.0000000000055</v>
      </c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</row>
    <row r="131" spans="1:55" x14ac:dyDescent="0.25">
      <c r="A131" s="174">
        <v>12</v>
      </c>
      <c r="B131" s="68" t="str">
        <f t="shared" si="5"/>
        <v>GC - 308 - T3 - 66m²</v>
      </c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>
        <v>1699.9999999999993</v>
      </c>
      <c r="W131" s="182">
        <v>2000</v>
      </c>
      <c r="X131" s="182">
        <v>2699.9999999999991</v>
      </c>
      <c r="Y131" s="182">
        <v>1500</v>
      </c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</row>
    <row r="132" spans="1:55" x14ac:dyDescent="0.25">
      <c r="A132" s="174">
        <v>13</v>
      </c>
      <c r="B132" s="68" t="str">
        <f t="shared" si="5"/>
        <v>GC - 314 - T4 - 75m²</v>
      </c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>
        <v>4700.0000000000027</v>
      </c>
      <c r="W132" s="182">
        <v>4400.0000000000055</v>
      </c>
      <c r="X132" s="182">
        <v>4899.9999999999918</v>
      </c>
      <c r="Y132" s="182">
        <v>4400.0000000000055</v>
      </c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</row>
    <row r="133" spans="1:55" x14ac:dyDescent="0.25">
      <c r="A133" s="174">
        <v>14</v>
      </c>
      <c r="B133" s="498" t="str">
        <f t="shared" si="5"/>
        <v>MOYENNE GC</v>
      </c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>
        <v>2061.5384615384619</v>
      </c>
      <c r="W133" s="183">
        <v>2115.3846153846162</v>
      </c>
      <c r="X133" s="183">
        <v>2169.2307692307681</v>
      </c>
      <c r="Y133" s="183">
        <v>2038.4615384615395</v>
      </c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</row>
    <row r="134" spans="1:55" x14ac:dyDescent="0.25">
      <c r="A134" s="174">
        <v>15</v>
      </c>
      <c r="B134" s="68" t="str">
        <f t="shared" ref="B134:B147" si="6">B79</f>
        <v>GE2.1 - 275 - T3 - 74m²</v>
      </c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>
        <v>1500</v>
      </c>
      <c r="W134" s="182">
        <v>2200.0000000000027</v>
      </c>
      <c r="X134" s="182">
        <v>2699.9999999999959</v>
      </c>
      <c r="Y134" s="182">
        <v>2300.0000000000041</v>
      </c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</row>
    <row r="135" spans="1:55" x14ac:dyDescent="0.25">
      <c r="A135" s="174">
        <v>16</v>
      </c>
      <c r="B135" s="68" t="str">
        <f t="shared" si="6"/>
        <v>GE2.1 - 278 - T2 - 57m²</v>
      </c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>
        <v>400.00000000000034</v>
      </c>
      <c r="W135" s="182">
        <v>399.99999999999858</v>
      </c>
      <c r="X135" s="182">
        <v>300.00000000000068</v>
      </c>
      <c r="Y135" s="182">
        <v>400.00000000000034</v>
      </c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</row>
    <row r="136" spans="1:55" x14ac:dyDescent="0.25">
      <c r="A136" s="174">
        <v>17</v>
      </c>
      <c r="B136" s="68" t="str">
        <f t="shared" si="6"/>
        <v>GE2.1 - 280 - T3 - 66m²</v>
      </c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>
        <v>0</v>
      </c>
      <c r="W136" s="182">
        <v>100.00000000000009</v>
      </c>
      <c r="X136" s="182">
        <v>0</v>
      </c>
      <c r="Y136" s="182">
        <v>300.00000000000006</v>
      </c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</row>
    <row r="137" spans="1:55" x14ac:dyDescent="0.25">
      <c r="A137" s="174">
        <v>18</v>
      </c>
      <c r="B137" s="68" t="str">
        <f t="shared" si="6"/>
        <v>GE2.1 - 282 - T4 - 78m²</v>
      </c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>
        <v>599.99999999999966</v>
      </c>
      <c r="W137" s="182">
        <v>700.00000000000102</v>
      </c>
      <c r="X137" s="182">
        <v>599.99999999999966</v>
      </c>
      <c r="Y137" s="182">
        <v>699.99999999999932</v>
      </c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</row>
    <row r="138" spans="1:55" x14ac:dyDescent="0.25">
      <c r="A138" s="174">
        <v>19</v>
      </c>
      <c r="B138" s="68" t="str">
        <f t="shared" si="6"/>
        <v>GE2.1 - 292 - T3 - 63m²</v>
      </c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>
        <v>800.00000000000068</v>
      </c>
      <c r="W138" s="182">
        <v>800.00000000000068</v>
      </c>
      <c r="X138" s="182">
        <v>899.99999999999864</v>
      </c>
      <c r="Y138" s="182">
        <v>1000</v>
      </c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182"/>
      <c r="AT138" s="182"/>
      <c r="AU138" s="182"/>
      <c r="AV138" s="182"/>
      <c r="AW138" s="182"/>
      <c r="AX138" s="182"/>
      <c r="AY138" s="182"/>
      <c r="AZ138" s="182"/>
      <c r="BA138" s="182"/>
      <c r="BB138" s="182"/>
      <c r="BC138" s="182"/>
    </row>
    <row r="139" spans="1:55" x14ac:dyDescent="0.25">
      <c r="A139" s="174">
        <v>20</v>
      </c>
      <c r="B139" s="68" t="str">
        <f t="shared" si="6"/>
        <v>GE2.1 - 293 - T3 - 63m²</v>
      </c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>
        <v>3499.9999999999964</v>
      </c>
      <c r="W139" s="182">
        <v>3200.0000000000027</v>
      </c>
      <c r="X139" s="182">
        <v>3100.0000000000014</v>
      </c>
      <c r="Y139" s="182">
        <v>2699.9999999999959</v>
      </c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182"/>
      <c r="AT139" s="182"/>
      <c r="AU139" s="182"/>
      <c r="AV139" s="182"/>
      <c r="AW139" s="182"/>
      <c r="AX139" s="182"/>
      <c r="AY139" s="182"/>
      <c r="AZ139" s="182"/>
      <c r="BA139" s="182"/>
      <c r="BB139" s="182"/>
      <c r="BC139" s="182"/>
    </row>
    <row r="140" spans="1:55" x14ac:dyDescent="0.25">
      <c r="A140" s="174">
        <v>21</v>
      </c>
      <c r="B140" s="68" t="str">
        <f t="shared" si="6"/>
        <v>GE2.1 - 295 - T3 - 63m²</v>
      </c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>
        <v>3600.0000000000086</v>
      </c>
      <c r="W140" s="182">
        <v>3899.9999999999914</v>
      </c>
      <c r="X140" s="182">
        <v>3700.0000000000027</v>
      </c>
      <c r="Y140" s="182">
        <v>4100.0000000000082</v>
      </c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  <c r="AX140" s="182"/>
      <c r="AY140" s="182"/>
      <c r="AZ140" s="182"/>
      <c r="BA140" s="182"/>
      <c r="BB140" s="182"/>
      <c r="BC140" s="182"/>
    </row>
    <row r="141" spans="1:55" x14ac:dyDescent="0.25">
      <c r="A141" s="174">
        <v>22</v>
      </c>
      <c r="B141" s="68" t="str">
        <f t="shared" si="6"/>
        <v>GE2.1 - 296 - T4 - 78m²</v>
      </c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>
        <v>1600.0000000000014</v>
      </c>
      <c r="W141" s="182">
        <v>899.99999999999864</v>
      </c>
      <c r="X141" s="182">
        <v>1199.9999999999957</v>
      </c>
      <c r="Y141" s="182">
        <v>1000</v>
      </c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/>
      <c r="BA141" s="182"/>
      <c r="BB141" s="182"/>
      <c r="BC141" s="182"/>
    </row>
    <row r="142" spans="1:55" x14ac:dyDescent="0.25">
      <c r="A142" s="174">
        <v>23</v>
      </c>
      <c r="B142" s="68" t="str">
        <f t="shared" si="6"/>
        <v>GE2.1 - 297 - T4 - 79m²</v>
      </c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>
        <v>4799.9999999999973</v>
      </c>
      <c r="W142" s="182">
        <v>4700.0000000000027</v>
      </c>
      <c r="X142" s="182">
        <v>5000</v>
      </c>
      <c r="Y142" s="182">
        <v>4599.9999999999945</v>
      </c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  <c r="AX142" s="182"/>
      <c r="AY142" s="182"/>
      <c r="AZ142" s="182"/>
      <c r="BA142" s="182"/>
      <c r="BB142" s="182"/>
      <c r="BC142" s="182"/>
    </row>
    <row r="143" spans="1:55" x14ac:dyDescent="0.25">
      <c r="A143" s="174">
        <v>24</v>
      </c>
      <c r="B143" s="68" t="str">
        <f t="shared" si="6"/>
        <v>GE2.1 - 299 - T4 - 79m²</v>
      </c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>
        <v>1300.0000000000007</v>
      </c>
      <c r="W143" s="182">
        <v>699.99999999999932</v>
      </c>
      <c r="X143" s="182">
        <v>0</v>
      </c>
      <c r="Y143" s="182">
        <v>800.00000000000068</v>
      </c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182"/>
      <c r="AT143" s="182"/>
      <c r="AU143" s="182"/>
      <c r="AV143" s="182"/>
      <c r="AW143" s="182"/>
      <c r="AX143" s="182"/>
      <c r="AY143" s="182"/>
      <c r="AZ143" s="182"/>
      <c r="BA143" s="182"/>
      <c r="BB143" s="182"/>
      <c r="BC143" s="182"/>
    </row>
    <row r="144" spans="1:55" x14ac:dyDescent="0.25">
      <c r="A144" s="174">
        <v>25</v>
      </c>
      <c r="B144" s="68" t="str">
        <f t="shared" si="6"/>
        <v>GE2.1 - 300 - T5 - 93m²</v>
      </c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>
        <v>2699.9999999999959</v>
      </c>
      <c r="W144" s="182">
        <v>2700.0000000000027</v>
      </c>
      <c r="X144" s="182">
        <v>2399.9999999999986</v>
      </c>
      <c r="Y144" s="182">
        <v>2500</v>
      </c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  <c r="AK144" s="182"/>
      <c r="AL144" s="182"/>
      <c r="AM144" s="182"/>
      <c r="AN144" s="182"/>
      <c r="AO144" s="182"/>
      <c r="AP144" s="182"/>
      <c r="AQ144" s="182"/>
      <c r="AR144" s="182"/>
      <c r="AS144" s="182"/>
      <c r="AT144" s="182"/>
      <c r="AU144" s="182"/>
      <c r="AV144" s="182"/>
      <c r="AW144" s="182"/>
      <c r="AX144" s="182"/>
      <c r="AY144" s="182"/>
      <c r="AZ144" s="182"/>
      <c r="BA144" s="182"/>
      <c r="BB144" s="182"/>
      <c r="BC144" s="182"/>
    </row>
    <row r="145" spans="1:55" x14ac:dyDescent="0.25">
      <c r="A145" s="174">
        <v>26</v>
      </c>
      <c r="B145" s="68" t="str">
        <f t="shared" si="6"/>
        <v>GE2.1 - 302 - T5 - 93m²</v>
      </c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>
        <v>1899.9999999999986</v>
      </c>
      <c r="W145" s="182">
        <v>2399.9999999999986</v>
      </c>
      <c r="X145" s="182">
        <v>1899.9999999999986</v>
      </c>
      <c r="Y145" s="182">
        <v>2100.0000000000014</v>
      </c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  <c r="AK145" s="182"/>
      <c r="AL145" s="182"/>
      <c r="AM145" s="182"/>
      <c r="AN145" s="182"/>
      <c r="AO145" s="182"/>
      <c r="AP145" s="182"/>
      <c r="AQ145" s="182"/>
      <c r="AR145" s="182"/>
      <c r="AS145" s="182"/>
      <c r="AT145" s="182"/>
      <c r="AU145" s="182"/>
      <c r="AV145" s="182"/>
      <c r="AW145" s="182"/>
      <c r="AX145" s="182"/>
      <c r="AY145" s="182"/>
      <c r="AZ145" s="182"/>
      <c r="BA145" s="182"/>
      <c r="BB145" s="182"/>
      <c r="BC145" s="182"/>
    </row>
    <row r="146" spans="1:55" x14ac:dyDescent="0.25">
      <c r="A146" s="174">
        <v>27</v>
      </c>
      <c r="B146" s="68" t="str">
        <f t="shared" si="6"/>
        <v>GE2.1 - 312 - T4 - 75m²</v>
      </c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>
        <v>2000</v>
      </c>
      <c r="W146" s="182">
        <v>1100.0000000000014</v>
      </c>
      <c r="X146" s="182">
        <v>799.99999999999716</v>
      </c>
      <c r="Y146" s="182">
        <v>1100.0000000000014</v>
      </c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2"/>
      <c r="AT146" s="182"/>
      <c r="AU146" s="182"/>
      <c r="AV146" s="182"/>
      <c r="AW146" s="182"/>
      <c r="AX146" s="182"/>
      <c r="AY146" s="182"/>
      <c r="AZ146" s="182"/>
      <c r="BA146" s="182"/>
      <c r="BB146" s="182"/>
      <c r="BC146" s="182"/>
    </row>
    <row r="147" spans="1:55" x14ac:dyDescent="0.25">
      <c r="A147" s="174">
        <v>28</v>
      </c>
      <c r="B147" s="498" t="str">
        <f t="shared" si="6"/>
        <v>MOYENNE GE2.1</v>
      </c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>
        <v>1900</v>
      </c>
      <c r="W147" s="183">
        <v>1830.7692307692307</v>
      </c>
      <c r="X147" s="183">
        <v>1738.4615384615379</v>
      </c>
      <c r="Y147" s="183">
        <v>1815.3846153846155</v>
      </c>
      <c r="Z147" s="183"/>
      <c r="AA147" s="183"/>
      <c r="AB147" s="183"/>
      <c r="AC147" s="183"/>
      <c r="AD147" s="183"/>
      <c r="AE147" s="183"/>
      <c r="AF147" s="183"/>
      <c r="AG147" s="183"/>
      <c r="AH147" s="183"/>
      <c r="AI147" s="183"/>
      <c r="AJ147" s="183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</row>
    <row r="148" spans="1:55" x14ac:dyDescent="0.25">
      <c r="A148" s="174">
        <v>29</v>
      </c>
      <c r="B148" s="68" t="str">
        <f t="shared" ref="B148:B161" si="7">B93</f>
        <v>GE2.2 - 271 - T3 - 74m²</v>
      </c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>
        <v>1800.0000000000043</v>
      </c>
      <c r="W148" s="182">
        <v>2299.9999999999973</v>
      </c>
      <c r="X148" s="182">
        <v>1399.9999999999986</v>
      </c>
      <c r="Y148" s="182">
        <v>1800.0000000000043</v>
      </c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2"/>
      <c r="AT148" s="182"/>
      <c r="AU148" s="182"/>
      <c r="AV148" s="182"/>
      <c r="AW148" s="182"/>
      <c r="AX148" s="182"/>
      <c r="AY148" s="182"/>
      <c r="AZ148" s="182"/>
      <c r="BA148" s="182"/>
      <c r="BB148" s="182"/>
      <c r="BC148" s="182"/>
    </row>
    <row r="149" spans="1:55" x14ac:dyDescent="0.25">
      <c r="A149" s="174">
        <v>30</v>
      </c>
      <c r="B149" s="68" t="str">
        <f t="shared" si="7"/>
        <v>GE2.2 - 272 - T3 - 74m²</v>
      </c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>
        <v>1899.9999999999986</v>
      </c>
      <c r="W149" s="182">
        <v>1700.0000000000027</v>
      </c>
      <c r="X149" s="182">
        <v>1899.9999999999986</v>
      </c>
      <c r="Y149" s="182">
        <v>1799.9999999999973</v>
      </c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2"/>
      <c r="AT149" s="182"/>
      <c r="AU149" s="182"/>
      <c r="AV149" s="182"/>
      <c r="AW149" s="182"/>
      <c r="AX149" s="182"/>
      <c r="AY149" s="182"/>
      <c r="AZ149" s="182"/>
      <c r="BA149" s="182"/>
      <c r="BB149" s="182"/>
      <c r="BC149" s="182"/>
    </row>
    <row r="150" spans="1:55" x14ac:dyDescent="0.25">
      <c r="A150" s="174">
        <v>31</v>
      </c>
      <c r="B150" s="68" t="str">
        <f t="shared" si="7"/>
        <v>GE2.2 - 273 - T3 - 74m²</v>
      </c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>
        <v>1900.000000000002</v>
      </c>
      <c r="W150" s="182">
        <v>2000</v>
      </c>
      <c r="X150" s="182">
        <v>2500</v>
      </c>
      <c r="Y150" s="182">
        <v>2000</v>
      </c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2"/>
      <c r="AT150" s="182"/>
      <c r="AU150" s="182"/>
      <c r="AV150" s="182"/>
      <c r="AW150" s="182"/>
      <c r="AX150" s="182"/>
      <c r="AY150" s="182"/>
      <c r="AZ150" s="182"/>
      <c r="BA150" s="182"/>
      <c r="BB150" s="182"/>
      <c r="BC150" s="182"/>
    </row>
    <row r="151" spans="1:55" x14ac:dyDescent="0.25">
      <c r="A151" s="174">
        <v>32</v>
      </c>
      <c r="B151" s="68" t="str">
        <f t="shared" si="7"/>
        <v>GE2.2 - 276 - T4 - 83m²</v>
      </c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>
        <v>2000</v>
      </c>
      <c r="W151" s="182">
        <v>1899.9999999999986</v>
      </c>
      <c r="X151" s="182">
        <v>2299.9999999999973</v>
      </c>
      <c r="Y151" s="182">
        <v>2100.0000000000014</v>
      </c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2"/>
      <c r="AT151" s="182"/>
      <c r="AU151" s="182"/>
      <c r="AV151" s="182"/>
      <c r="AW151" s="182"/>
      <c r="AX151" s="182"/>
      <c r="AY151" s="182"/>
      <c r="AZ151" s="182"/>
      <c r="BA151" s="182"/>
      <c r="BB151" s="182"/>
      <c r="BC151" s="182"/>
    </row>
    <row r="152" spans="1:55" x14ac:dyDescent="0.25">
      <c r="A152" s="174">
        <v>33</v>
      </c>
      <c r="B152" s="68" t="str">
        <f t="shared" si="7"/>
        <v>GE2.2 - 279 - T3 - 70m²</v>
      </c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>
        <v>1400.000000000002</v>
      </c>
      <c r="W152" s="182">
        <v>1899.9999999999986</v>
      </c>
      <c r="X152" s="182">
        <v>1300.0000000000007</v>
      </c>
      <c r="Y152" s="182">
        <v>1800.0000000000007</v>
      </c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2"/>
      <c r="AT152" s="182"/>
      <c r="AU152" s="182"/>
      <c r="AV152" s="182"/>
      <c r="AW152" s="182"/>
      <c r="AX152" s="182"/>
      <c r="AY152" s="182"/>
      <c r="AZ152" s="182"/>
      <c r="BA152" s="182"/>
      <c r="BB152" s="182"/>
      <c r="BC152" s="182"/>
    </row>
    <row r="153" spans="1:55" x14ac:dyDescent="0.25">
      <c r="A153" s="174">
        <v>34</v>
      </c>
      <c r="B153" s="68" t="str">
        <f t="shared" si="7"/>
        <v>GE2.2 - 288 - T3 - 68m²</v>
      </c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>
        <v>899.99999999999864</v>
      </c>
      <c r="W153" s="182">
        <v>899.99999999999864</v>
      </c>
      <c r="X153" s="182">
        <v>1000</v>
      </c>
      <c r="Y153" s="182">
        <v>900.00000000000216</v>
      </c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2"/>
      <c r="AT153" s="182"/>
      <c r="AU153" s="182"/>
      <c r="AV153" s="182"/>
      <c r="AW153" s="182"/>
      <c r="AX153" s="182"/>
      <c r="AY153" s="182"/>
      <c r="AZ153" s="182"/>
      <c r="BA153" s="182"/>
      <c r="BB153" s="182"/>
      <c r="BC153" s="182"/>
    </row>
    <row r="154" spans="1:55" x14ac:dyDescent="0.25">
      <c r="A154" s="174">
        <v>35</v>
      </c>
      <c r="B154" s="430" t="str">
        <f t="shared" si="7"/>
        <v>GE2.2 - 291 - T3 - 62m²</v>
      </c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>
        <v>100.00000000000142</v>
      </c>
      <c r="W154" s="182">
        <v>699.99999999999932</v>
      </c>
      <c r="X154" s="182">
        <v>100.00000000000142</v>
      </c>
      <c r="Y154" s="182">
        <v>399.99999999999858</v>
      </c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2"/>
      <c r="AT154" s="182"/>
      <c r="AU154" s="182"/>
      <c r="AV154" s="182"/>
      <c r="AW154" s="182"/>
      <c r="AX154" s="182"/>
      <c r="AY154" s="182"/>
      <c r="AZ154" s="182"/>
      <c r="BA154" s="182"/>
      <c r="BB154" s="182"/>
      <c r="BC154" s="182"/>
    </row>
    <row r="155" spans="1:55" x14ac:dyDescent="0.25">
      <c r="A155" s="174">
        <v>36</v>
      </c>
      <c r="B155" s="68" t="str">
        <f t="shared" si="7"/>
        <v>GE2.2 - 294 - T3 - 63m²</v>
      </c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>
        <v>699.99999999999932</v>
      </c>
      <c r="W155" s="182">
        <v>1199.9999999999993</v>
      </c>
      <c r="X155" s="182">
        <v>1199.9999999999993</v>
      </c>
      <c r="Y155" s="182">
        <v>1399.9999999999986</v>
      </c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2"/>
      <c r="AT155" s="182"/>
      <c r="AU155" s="182"/>
      <c r="AV155" s="182"/>
      <c r="AW155" s="182"/>
      <c r="AX155" s="182"/>
      <c r="AY155" s="182"/>
      <c r="AZ155" s="182"/>
      <c r="BA155" s="182"/>
      <c r="BB155" s="182"/>
      <c r="BC155" s="182"/>
    </row>
    <row r="156" spans="1:55" x14ac:dyDescent="0.25">
      <c r="A156" s="174">
        <v>37</v>
      </c>
      <c r="B156" s="68" t="str">
        <f t="shared" si="7"/>
        <v>GE2.2 - 298 - T5 - 93m²</v>
      </c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>
        <v>5099.9999999999945</v>
      </c>
      <c r="W156" s="182">
        <v>4800.0000000000109</v>
      </c>
      <c r="X156" s="182">
        <v>5299.9999999999973</v>
      </c>
      <c r="Y156" s="182">
        <v>4700.0000000000027</v>
      </c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2"/>
      <c r="AT156" s="182"/>
      <c r="AU156" s="182"/>
      <c r="AV156" s="182"/>
      <c r="AW156" s="182"/>
      <c r="AX156" s="182"/>
      <c r="AY156" s="182"/>
      <c r="AZ156" s="182"/>
      <c r="BA156" s="182"/>
      <c r="BB156" s="182"/>
      <c r="BC156" s="182"/>
    </row>
    <row r="157" spans="1:55" x14ac:dyDescent="0.25">
      <c r="A157" s="174">
        <v>38</v>
      </c>
      <c r="B157" s="68" t="str">
        <f t="shared" si="7"/>
        <v>GE2.2 - 301 - T4 - 79m²</v>
      </c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>
        <v>2099.9999999999945</v>
      </c>
      <c r="W157" s="182">
        <v>1800.0000000000043</v>
      </c>
      <c r="X157" s="182">
        <v>2699.9999999999959</v>
      </c>
      <c r="Y157" s="182">
        <v>1500</v>
      </c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2"/>
      <c r="AT157" s="182"/>
      <c r="AU157" s="182"/>
      <c r="AV157" s="182"/>
      <c r="AW157" s="182"/>
      <c r="AX157" s="182"/>
      <c r="AY157" s="182"/>
      <c r="AZ157" s="182"/>
      <c r="BA157" s="182"/>
      <c r="BB157" s="182"/>
      <c r="BC157" s="182"/>
    </row>
    <row r="158" spans="1:55" x14ac:dyDescent="0.25">
      <c r="A158" s="174">
        <v>39</v>
      </c>
      <c r="B158" s="68" t="str">
        <f t="shared" si="7"/>
        <v>GE2.2 - 311 - T4 - 74m²</v>
      </c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>
        <v>2299.9999999999973</v>
      </c>
      <c r="W158" s="182">
        <v>1500</v>
      </c>
      <c r="X158" s="182">
        <v>1900.0000000000057</v>
      </c>
      <c r="Y158" s="182">
        <v>2000</v>
      </c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2"/>
      <c r="AT158" s="182"/>
      <c r="AU158" s="182"/>
      <c r="AV158" s="182"/>
      <c r="AW158" s="182"/>
      <c r="AX158" s="182"/>
      <c r="AY158" s="182"/>
      <c r="AZ158" s="182"/>
      <c r="BA158" s="182"/>
      <c r="BB158" s="182"/>
      <c r="BC158" s="182"/>
    </row>
    <row r="159" spans="1:55" x14ac:dyDescent="0.25">
      <c r="A159" s="174">
        <v>40</v>
      </c>
      <c r="B159" s="68" t="str">
        <f t="shared" si="7"/>
        <v>GE2.2 - 313 - T4 - 75m²</v>
      </c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>
        <v>1100.0000000000014</v>
      </c>
      <c r="W159" s="182">
        <v>1300.0000000000007</v>
      </c>
      <c r="X159" s="182">
        <v>1000</v>
      </c>
      <c r="Y159" s="182">
        <v>899.99999999999864</v>
      </c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2"/>
      <c r="AT159" s="182"/>
      <c r="AU159" s="182"/>
      <c r="AV159" s="182"/>
      <c r="AW159" s="182"/>
      <c r="AX159" s="182"/>
      <c r="AY159" s="182"/>
      <c r="AZ159" s="182"/>
      <c r="BA159" s="182"/>
      <c r="BB159" s="182"/>
      <c r="BC159" s="182"/>
    </row>
    <row r="160" spans="1:55" x14ac:dyDescent="0.25">
      <c r="A160" s="174">
        <v>41</v>
      </c>
      <c r="B160" s="68" t="str">
        <f t="shared" si="7"/>
        <v>GE2.2 - 315 - T4 - 75m²</v>
      </c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>
        <v>2200.0000000000027</v>
      </c>
      <c r="W160" s="182">
        <v>3299.9999999999973</v>
      </c>
      <c r="X160" s="182">
        <v>2899.9999999999986</v>
      </c>
      <c r="Y160" s="182">
        <v>2600.0000000000014</v>
      </c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2"/>
      <c r="AT160" s="182"/>
      <c r="AU160" s="182"/>
      <c r="AV160" s="182"/>
      <c r="AW160" s="182"/>
      <c r="AX160" s="182"/>
      <c r="AY160" s="182"/>
      <c r="AZ160" s="182"/>
      <c r="BA160" s="182"/>
      <c r="BB160" s="182"/>
      <c r="BC160" s="182"/>
    </row>
    <row r="161" spans="1:55" x14ac:dyDescent="0.25">
      <c r="A161" s="174">
        <v>42</v>
      </c>
      <c r="B161" s="498" t="str">
        <f t="shared" si="7"/>
        <v>MOYENNE GE2.2</v>
      </c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>
        <v>1807.6923076923074</v>
      </c>
      <c r="W161" s="183">
        <v>1946.1538461538466</v>
      </c>
      <c r="X161" s="183">
        <v>1961.5384615384612</v>
      </c>
      <c r="Y161" s="183">
        <v>1838.4615384615388</v>
      </c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</row>
    <row r="162" spans="1:55" x14ac:dyDescent="0.25">
      <c r="A162" s="174">
        <v>43</v>
      </c>
      <c r="B162" s="68" t="str">
        <f t="shared" ref="B162:B168" si="8">B107</f>
        <v>SO - 284 - T - 64m²</v>
      </c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>
        <v>200.00000000000017</v>
      </c>
      <c r="W162" s="182">
        <v>399.99999999999949</v>
      </c>
      <c r="X162" s="182">
        <v>300.00000000000068</v>
      </c>
      <c r="Y162" s="182">
        <v>199.99999999999929</v>
      </c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2"/>
      <c r="AT162" s="182"/>
      <c r="AU162" s="182"/>
      <c r="AV162" s="182"/>
      <c r="AW162" s="182"/>
      <c r="AX162" s="182"/>
      <c r="AY162" s="182"/>
      <c r="AZ162" s="182"/>
      <c r="BA162" s="182"/>
      <c r="BB162" s="182"/>
      <c r="BC162" s="182"/>
    </row>
    <row r="163" spans="1:55" x14ac:dyDescent="0.25">
      <c r="A163" s="174">
        <v>44</v>
      </c>
      <c r="B163" s="68" t="str">
        <f t="shared" si="8"/>
        <v>SO - 287 - T - 81m²</v>
      </c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>
        <v>1000</v>
      </c>
      <c r="W163" s="182">
        <v>1000</v>
      </c>
      <c r="X163" s="182">
        <v>1200.0000000000027</v>
      </c>
      <c r="Y163" s="182">
        <v>1199.9999999999957</v>
      </c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2"/>
      <c r="AT163" s="182"/>
      <c r="AU163" s="182"/>
      <c r="AV163" s="182"/>
      <c r="AW163" s="182"/>
      <c r="AX163" s="182"/>
      <c r="AY163" s="182"/>
      <c r="AZ163" s="182"/>
      <c r="BA163" s="182"/>
      <c r="BB163" s="182"/>
      <c r="BC163" s="182"/>
    </row>
    <row r="164" spans="1:55" x14ac:dyDescent="0.25">
      <c r="A164" s="174">
        <v>45</v>
      </c>
      <c r="B164" s="430" t="str">
        <f t="shared" si="8"/>
        <v>SO - 290 - T - 40m²</v>
      </c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>
        <v>899.99999999999864</v>
      </c>
      <c r="W164" s="182">
        <v>1500</v>
      </c>
      <c r="X164" s="182">
        <v>700.00000000000284</v>
      </c>
      <c r="Y164" s="182">
        <v>1099.999999999998</v>
      </c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2"/>
      <c r="AT164" s="182"/>
      <c r="AU164" s="182"/>
      <c r="AV164" s="182"/>
      <c r="AW164" s="182"/>
      <c r="AX164" s="182"/>
      <c r="AY164" s="182"/>
      <c r="AZ164" s="182"/>
      <c r="BA164" s="182"/>
      <c r="BB164" s="182"/>
      <c r="BC164" s="182"/>
    </row>
    <row r="165" spans="1:55" x14ac:dyDescent="0.25">
      <c r="A165" s="174">
        <v>46</v>
      </c>
      <c r="B165" s="430" t="str">
        <f t="shared" si="8"/>
        <v>SO - 305 - T - 66m²</v>
      </c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>
        <v>1299.9999999999973</v>
      </c>
      <c r="W165" s="182">
        <v>1700.0000000000027</v>
      </c>
      <c r="X165" s="182">
        <v>2000</v>
      </c>
      <c r="Y165" s="182">
        <v>2000</v>
      </c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  <c r="AK165" s="182"/>
      <c r="AL165" s="182"/>
      <c r="AM165" s="182"/>
      <c r="AN165" s="182"/>
      <c r="AO165" s="182"/>
      <c r="AP165" s="182"/>
      <c r="AQ165" s="182"/>
      <c r="AR165" s="182"/>
      <c r="AS165" s="182"/>
      <c r="AT165" s="182"/>
      <c r="AU165" s="182"/>
      <c r="AV165" s="182"/>
      <c r="AW165" s="182"/>
      <c r="AX165" s="182"/>
      <c r="AY165" s="182"/>
      <c r="AZ165" s="182"/>
      <c r="BA165" s="182"/>
      <c r="BB165" s="182"/>
      <c r="BC165" s="182"/>
    </row>
    <row r="166" spans="1:55" x14ac:dyDescent="0.25">
      <c r="A166" s="174">
        <v>47</v>
      </c>
      <c r="B166" s="68" t="str">
        <f t="shared" si="8"/>
        <v>SO - 309 - T - 66m²</v>
      </c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>
        <v>1199.9999999999993</v>
      </c>
      <c r="W166" s="182">
        <v>800.00000000000068</v>
      </c>
      <c r="X166" s="182">
        <v>1100.0000000000014</v>
      </c>
      <c r="Y166" s="182">
        <v>1500</v>
      </c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  <c r="AK166" s="182"/>
      <c r="AL166" s="182"/>
      <c r="AM166" s="182"/>
      <c r="AN166" s="182"/>
      <c r="AO166" s="182"/>
      <c r="AP166" s="182"/>
      <c r="AQ166" s="182"/>
      <c r="AR166" s="182"/>
      <c r="AS166" s="182"/>
      <c r="AT166" s="182"/>
      <c r="AU166" s="182"/>
      <c r="AV166" s="182"/>
      <c r="AW166" s="182"/>
      <c r="AX166" s="182"/>
      <c r="AY166" s="182"/>
      <c r="AZ166" s="182"/>
      <c r="BA166" s="182"/>
      <c r="BB166" s="182"/>
      <c r="BC166" s="182"/>
    </row>
    <row r="167" spans="1:55" x14ac:dyDescent="0.25">
      <c r="A167" s="174">
        <v>48</v>
      </c>
      <c r="B167" s="68" t="str">
        <f t="shared" si="8"/>
        <v>SO - 310 - T - 54m²</v>
      </c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>
        <v>1800.0000000000007</v>
      </c>
      <c r="W167" s="182">
        <v>1800.0000000000007</v>
      </c>
      <c r="X167" s="182">
        <v>1700.0000000000027</v>
      </c>
      <c r="Y167" s="182">
        <v>1599.9999999999943</v>
      </c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  <c r="AK167" s="182"/>
      <c r="AL167" s="182"/>
      <c r="AM167" s="182"/>
      <c r="AN167" s="182"/>
      <c r="AO167" s="182"/>
      <c r="AP167" s="182"/>
      <c r="AQ167" s="182"/>
      <c r="AR167" s="182"/>
      <c r="AS167" s="182"/>
      <c r="AT167" s="182"/>
      <c r="AU167" s="182"/>
      <c r="AV167" s="182"/>
      <c r="AW167" s="182"/>
      <c r="AX167" s="182"/>
      <c r="AY167" s="182"/>
      <c r="AZ167" s="182"/>
      <c r="BA167" s="182"/>
      <c r="BB167" s="182"/>
      <c r="BC167" s="182"/>
    </row>
    <row r="168" spans="1:55" x14ac:dyDescent="0.25">
      <c r="A168" s="174"/>
      <c r="B168" s="498" t="str">
        <f t="shared" si="8"/>
        <v>MOYENNE SO</v>
      </c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>
        <v>1066.6666666666661</v>
      </c>
      <c r="W168" s="183">
        <v>1200.0000000000007</v>
      </c>
      <c r="X168" s="183">
        <v>1843.1952662721899</v>
      </c>
      <c r="Y168" s="183">
        <v>1733.7278106508868</v>
      </c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</row>
    <row r="169" spans="1:55" x14ac:dyDescent="0.25">
      <c r="A169" s="175"/>
    </row>
    <row r="170" spans="1:55" x14ac:dyDescent="0.25">
      <c r="A170" s="175"/>
    </row>
    <row r="172" spans="1:55" x14ac:dyDescent="0.25">
      <c r="A172" s="175"/>
      <c r="B172" s="413" t="s">
        <v>251</v>
      </c>
      <c r="C172" s="148" t="s">
        <v>240</v>
      </c>
    </row>
    <row r="173" spans="1:55" x14ac:dyDescent="0.25">
      <c r="A173" s="175"/>
      <c r="B173" s="163" t="s">
        <v>132</v>
      </c>
      <c r="C173" s="174">
        <v>3</v>
      </c>
      <c r="D173" s="174">
        <v>4</v>
      </c>
      <c r="E173" s="174">
        <v>5</v>
      </c>
      <c r="F173" s="174">
        <v>6</v>
      </c>
      <c r="G173" s="174">
        <v>7</v>
      </c>
      <c r="H173" s="174">
        <v>8</v>
      </c>
      <c r="I173" s="174">
        <v>9</v>
      </c>
      <c r="J173" s="174">
        <v>10</v>
      </c>
      <c r="K173" s="174">
        <v>11</v>
      </c>
      <c r="L173" s="174">
        <v>12</v>
      </c>
      <c r="M173" s="174">
        <v>13</v>
      </c>
      <c r="N173" s="174">
        <v>14</v>
      </c>
      <c r="O173" s="174">
        <v>15</v>
      </c>
      <c r="P173" s="174">
        <v>16</v>
      </c>
      <c r="Q173" s="174">
        <v>17</v>
      </c>
      <c r="R173" s="174">
        <v>18</v>
      </c>
      <c r="S173" s="174">
        <v>19</v>
      </c>
      <c r="T173" s="174">
        <v>20</v>
      </c>
      <c r="U173" s="174">
        <v>21</v>
      </c>
      <c r="V173" s="174">
        <v>22</v>
      </c>
      <c r="W173" s="174">
        <v>23</v>
      </c>
      <c r="X173" s="174">
        <v>24</v>
      </c>
      <c r="Y173" s="174">
        <v>25</v>
      </c>
      <c r="Z173" s="174">
        <v>26</v>
      </c>
      <c r="AA173" s="174">
        <v>27</v>
      </c>
      <c r="AB173" s="174">
        <v>28</v>
      </c>
      <c r="AC173" s="174">
        <v>29</v>
      </c>
      <c r="AD173" s="174">
        <v>30</v>
      </c>
      <c r="AE173" s="174">
        <v>31</v>
      </c>
      <c r="AF173" s="174">
        <v>32</v>
      </c>
      <c r="AG173" s="174">
        <v>33</v>
      </c>
      <c r="AH173" s="174">
        <v>34</v>
      </c>
      <c r="AI173" s="174">
        <v>35</v>
      </c>
      <c r="AJ173" s="174">
        <v>36</v>
      </c>
      <c r="AK173" s="174">
        <v>37</v>
      </c>
      <c r="AL173" s="174">
        <v>38</v>
      </c>
      <c r="AM173" s="174">
        <v>39</v>
      </c>
      <c r="AN173" s="174">
        <v>40</v>
      </c>
      <c r="AO173" s="174">
        <v>41</v>
      </c>
      <c r="AP173" s="174">
        <v>42</v>
      </c>
      <c r="AQ173" s="174">
        <v>43</v>
      </c>
      <c r="AR173" s="174">
        <v>44</v>
      </c>
      <c r="AS173" s="174">
        <v>45</v>
      </c>
      <c r="AT173" s="174">
        <v>46</v>
      </c>
      <c r="AU173" s="174">
        <v>47</v>
      </c>
      <c r="AV173" s="174">
        <v>48</v>
      </c>
      <c r="AW173" s="174">
        <v>49</v>
      </c>
      <c r="AX173" s="174">
        <v>50</v>
      </c>
      <c r="AY173" s="174">
        <v>51</v>
      </c>
      <c r="AZ173" s="174">
        <v>52</v>
      </c>
      <c r="BA173" s="174">
        <v>53</v>
      </c>
      <c r="BB173" s="174">
        <v>53</v>
      </c>
      <c r="BC173" s="174"/>
    </row>
    <row r="174" spans="1:55" s="19" customFormat="1" x14ac:dyDescent="0.25">
      <c r="A174" s="179"/>
      <c r="B174" s="411" t="s">
        <v>251</v>
      </c>
      <c r="C174" s="412" t="str">
        <f>C119</f>
        <v>2014-S01</v>
      </c>
      <c r="D174" s="412" t="str">
        <f t="shared" ref="D174:BC174" si="9">D119</f>
        <v>2014-S02</v>
      </c>
      <c r="E174" s="412" t="str">
        <f t="shared" si="9"/>
        <v>2014-S03</v>
      </c>
      <c r="F174" s="412" t="str">
        <f t="shared" si="9"/>
        <v>2014-S04</v>
      </c>
      <c r="G174" s="412" t="str">
        <f t="shared" si="9"/>
        <v>2014-S05</v>
      </c>
      <c r="H174" s="412" t="str">
        <f t="shared" si="9"/>
        <v>2014-S06</v>
      </c>
      <c r="I174" s="412" t="str">
        <f t="shared" si="9"/>
        <v>2014-S07</v>
      </c>
      <c r="J174" s="412" t="str">
        <f t="shared" si="9"/>
        <v>2014-S08</v>
      </c>
      <c r="K174" s="412" t="str">
        <f t="shared" si="9"/>
        <v>2014-S09</v>
      </c>
      <c r="L174" s="412" t="str">
        <f t="shared" si="9"/>
        <v>2014-S10</v>
      </c>
      <c r="M174" s="412" t="str">
        <f t="shared" si="9"/>
        <v>2014-S11</v>
      </c>
      <c r="N174" s="412" t="str">
        <f t="shared" si="9"/>
        <v>2014-S12</v>
      </c>
      <c r="O174" s="412" t="str">
        <f t="shared" si="9"/>
        <v>2014-S13</v>
      </c>
      <c r="P174" s="412" t="str">
        <f t="shared" si="9"/>
        <v>2014-S14</v>
      </c>
      <c r="Q174" s="412" t="str">
        <f t="shared" si="9"/>
        <v>2014-S15</v>
      </c>
      <c r="R174" s="412" t="str">
        <f t="shared" si="9"/>
        <v>2014-S16</v>
      </c>
      <c r="S174" s="412" t="str">
        <f t="shared" si="9"/>
        <v>2014-S17</v>
      </c>
      <c r="T174" s="412" t="str">
        <f t="shared" si="9"/>
        <v>2014-S18</v>
      </c>
      <c r="U174" s="412" t="str">
        <f t="shared" si="9"/>
        <v>2014-S19</v>
      </c>
      <c r="V174" s="412" t="str">
        <f t="shared" si="9"/>
        <v>2014-S20</v>
      </c>
      <c r="W174" s="412" t="str">
        <f t="shared" si="9"/>
        <v>2014-S21</v>
      </c>
      <c r="X174" s="412" t="str">
        <f t="shared" si="9"/>
        <v>2014-S22</v>
      </c>
      <c r="Y174" s="412" t="str">
        <f t="shared" si="9"/>
        <v>2014-S23</v>
      </c>
      <c r="Z174" s="412" t="str">
        <f t="shared" si="9"/>
        <v>2014-S24</v>
      </c>
      <c r="AA174" s="412" t="str">
        <f t="shared" si="9"/>
        <v>2014-S25</v>
      </c>
      <c r="AB174" s="412" t="str">
        <f t="shared" si="9"/>
        <v>2014-S26</v>
      </c>
      <c r="AC174" s="412" t="str">
        <f t="shared" si="9"/>
        <v>2014-S27</v>
      </c>
      <c r="AD174" s="412" t="str">
        <f t="shared" si="9"/>
        <v>2014-S28</v>
      </c>
      <c r="AE174" s="412" t="str">
        <f t="shared" si="9"/>
        <v>2014-S29</v>
      </c>
      <c r="AF174" s="412" t="str">
        <f t="shared" si="9"/>
        <v>2014-S30</v>
      </c>
      <c r="AG174" s="412" t="str">
        <f t="shared" si="9"/>
        <v>2014-S31</v>
      </c>
      <c r="AH174" s="412" t="str">
        <f t="shared" si="9"/>
        <v>2014-S32</v>
      </c>
      <c r="AI174" s="412" t="str">
        <f t="shared" si="9"/>
        <v>2014-S33</v>
      </c>
      <c r="AJ174" s="412" t="str">
        <f t="shared" si="9"/>
        <v>2014-S34</v>
      </c>
      <c r="AK174" s="412" t="str">
        <f t="shared" si="9"/>
        <v>2014-S35</v>
      </c>
      <c r="AL174" s="412" t="str">
        <f t="shared" si="9"/>
        <v>2014-S36</v>
      </c>
      <c r="AM174" s="412" t="str">
        <f t="shared" si="9"/>
        <v>2014-S37</v>
      </c>
      <c r="AN174" s="412" t="str">
        <f t="shared" si="9"/>
        <v>2014-S38</v>
      </c>
      <c r="AO174" s="412" t="str">
        <f t="shared" si="9"/>
        <v>2014-S39</v>
      </c>
      <c r="AP174" s="412" t="str">
        <f t="shared" si="9"/>
        <v>2014-S40</v>
      </c>
      <c r="AQ174" s="412" t="str">
        <f t="shared" si="9"/>
        <v>2014-S41</v>
      </c>
      <c r="AR174" s="412" t="str">
        <f t="shared" si="9"/>
        <v>2014-S42</v>
      </c>
      <c r="AS174" s="412" t="str">
        <f t="shared" si="9"/>
        <v>2014-S43</v>
      </c>
      <c r="AT174" s="412" t="str">
        <f t="shared" si="9"/>
        <v>2014-S44</v>
      </c>
      <c r="AU174" s="412" t="str">
        <f t="shared" si="9"/>
        <v>2014-S45</v>
      </c>
      <c r="AV174" s="412" t="str">
        <f t="shared" si="9"/>
        <v>2014-S46</v>
      </c>
      <c r="AW174" s="412" t="str">
        <f t="shared" si="9"/>
        <v>2014-S47</v>
      </c>
      <c r="AX174" s="412" t="str">
        <f t="shared" si="9"/>
        <v>2014-S48</v>
      </c>
      <c r="AY174" s="412" t="str">
        <f t="shared" si="9"/>
        <v>2014-S49</v>
      </c>
      <c r="AZ174" s="412" t="str">
        <f t="shared" si="9"/>
        <v>2014-S50</v>
      </c>
      <c r="BA174" s="412" t="str">
        <f t="shared" si="9"/>
        <v>2014-S51</v>
      </c>
      <c r="BB174" s="412" t="str">
        <f t="shared" si="9"/>
        <v>2014-S52</v>
      </c>
      <c r="BC174" s="412" t="str">
        <f t="shared" si="9"/>
        <v>2014-S53</v>
      </c>
    </row>
    <row r="175" spans="1:55" x14ac:dyDescent="0.25">
      <c r="A175" s="174">
        <v>1</v>
      </c>
      <c r="B175" s="68" t="str">
        <f t="shared" ref="B175:B188" si="10">B120</f>
        <v>GC - 274 - T4 - 83m²</v>
      </c>
      <c r="C175" s="288"/>
      <c r="D175" s="288"/>
      <c r="E175" s="288"/>
      <c r="F175" s="288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288"/>
      <c r="R175" s="288"/>
      <c r="S175" s="288"/>
      <c r="T175" s="288"/>
      <c r="U175" s="288"/>
      <c r="V175" s="288">
        <v>0.43480589022757732</v>
      </c>
      <c r="W175" s="288">
        <v>0.48915662650602426</v>
      </c>
      <c r="X175" s="288">
        <v>0.32610441767068249</v>
      </c>
      <c r="Y175" s="288">
        <v>0.43480589022757732</v>
      </c>
      <c r="Z175" s="288"/>
      <c r="AA175" s="288"/>
      <c r="AB175" s="288"/>
      <c r="AC175" s="288"/>
      <c r="AD175" s="288"/>
      <c r="AE175" s="288"/>
      <c r="AF175" s="288"/>
      <c r="AG175" s="288"/>
      <c r="AH175" s="288"/>
      <c r="AI175" s="288"/>
      <c r="AJ175" s="288"/>
      <c r="AK175" s="288"/>
      <c r="AL175" s="288"/>
      <c r="AM175" s="288"/>
      <c r="AN175" s="288"/>
      <c r="AO175" s="288"/>
      <c r="AP175" s="288"/>
      <c r="AQ175" s="288"/>
      <c r="AR175" s="288"/>
      <c r="AS175" s="288"/>
      <c r="AT175" s="288"/>
      <c r="AU175" s="288"/>
      <c r="AV175" s="288"/>
      <c r="AW175" s="288"/>
      <c r="AX175" s="288"/>
      <c r="AY175" s="288"/>
      <c r="AZ175" s="288"/>
      <c r="BA175" s="288"/>
      <c r="BB175" s="288"/>
      <c r="BC175" s="288"/>
    </row>
    <row r="176" spans="1:55" x14ac:dyDescent="0.25">
      <c r="A176" s="174">
        <v>2</v>
      </c>
      <c r="B176" s="68" t="str">
        <f t="shared" si="10"/>
        <v>GC - 277 - T2 - 53m²</v>
      </c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88"/>
      <c r="P176" s="288"/>
      <c r="Q176" s="288"/>
      <c r="R176" s="288"/>
      <c r="S176" s="288"/>
      <c r="T176" s="288"/>
      <c r="U176" s="288"/>
      <c r="V176" s="288">
        <v>0.17023060796645642</v>
      </c>
      <c r="W176" s="288">
        <v>0.34046121593291429</v>
      </c>
      <c r="X176" s="288">
        <v>0.34046121593291429</v>
      </c>
      <c r="Y176" s="288">
        <v>0.17023060796645642</v>
      </c>
      <c r="Z176" s="288"/>
      <c r="AA176" s="288"/>
      <c r="AB176" s="288"/>
      <c r="AC176" s="288"/>
      <c r="AD176" s="288"/>
      <c r="AE176" s="288"/>
      <c r="AF176" s="288"/>
      <c r="AG176" s="288"/>
      <c r="AH176" s="288"/>
      <c r="AI176" s="288"/>
      <c r="AJ176" s="288"/>
      <c r="AK176" s="288"/>
      <c r="AL176" s="288"/>
      <c r="AM176" s="288"/>
      <c r="AN176" s="288"/>
      <c r="AO176" s="288"/>
      <c r="AP176" s="288"/>
      <c r="AQ176" s="288"/>
      <c r="AR176" s="288"/>
      <c r="AS176" s="288"/>
      <c r="AT176" s="288"/>
      <c r="AU176" s="288"/>
      <c r="AV176" s="288"/>
      <c r="AW176" s="288"/>
      <c r="AX176" s="288"/>
      <c r="AY176" s="288"/>
      <c r="AZ176" s="288"/>
      <c r="BA176" s="288"/>
      <c r="BB176" s="288"/>
      <c r="BC176" s="288"/>
    </row>
    <row r="177" spans="1:55" x14ac:dyDescent="0.25">
      <c r="A177" s="174">
        <v>3</v>
      </c>
      <c r="B177" s="68" t="str">
        <f t="shared" si="10"/>
        <v>GC - 281 - T3 - 71m²</v>
      </c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88"/>
      <c r="P177" s="288"/>
      <c r="Q177" s="288"/>
      <c r="R177" s="288"/>
      <c r="S177" s="288"/>
      <c r="T177" s="288"/>
      <c r="U177" s="288"/>
      <c r="V177" s="288">
        <v>1.0165884194053194</v>
      </c>
      <c r="W177" s="288">
        <v>0.69890453834115895</v>
      </c>
      <c r="X177" s="288">
        <v>1.0801251956181528</v>
      </c>
      <c r="Y177" s="288">
        <v>0.63536776212832546</v>
      </c>
      <c r="Z177" s="288"/>
      <c r="AA177" s="288"/>
      <c r="AB177" s="288"/>
      <c r="AC177" s="288"/>
      <c r="AD177" s="288"/>
      <c r="AE177" s="288"/>
      <c r="AF177" s="288"/>
      <c r="AG177" s="288"/>
      <c r="AH177" s="288"/>
      <c r="AI177" s="288"/>
      <c r="AJ177" s="288"/>
      <c r="AK177" s="288"/>
      <c r="AL177" s="288"/>
      <c r="AM177" s="288"/>
      <c r="AN177" s="288"/>
      <c r="AO177" s="288"/>
      <c r="AP177" s="288"/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288"/>
      <c r="BC177" s="288"/>
    </row>
    <row r="178" spans="1:55" x14ac:dyDescent="0.25">
      <c r="A178" s="174">
        <v>4</v>
      </c>
      <c r="B178" s="68" t="str">
        <f t="shared" si="10"/>
        <v>GC - 283 - T3 - 70m²</v>
      </c>
      <c r="C178" s="288"/>
      <c r="D178" s="288"/>
      <c r="E178" s="288"/>
      <c r="F178" s="288"/>
      <c r="G178" s="288"/>
      <c r="H178" s="288"/>
      <c r="I178" s="288"/>
      <c r="J178" s="288"/>
      <c r="K178" s="288"/>
      <c r="L178" s="288"/>
      <c r="M178" s="288"/>
      <c r="N178" s="288"/>
      <c r="O178" s="288"/>
      <c r="P178" s="288"/>
      <c r="Q178" s="288"/>
      <c r="R178" s="288"/>
      <c r="S178" s="288"/>
      <c r="T178" s="288"/>
      <c r="U178" s="288"/>
      <c r="V178" s="288">
        <v>0.19333333333333322</v>
      </c>
      <c r="W178" s="288">
        <v>0.25777777777777799</v>
      </c>
      <c r="X178" s="288">
        <v>0.19333333333333322</v>
      </c>
      <c r="Y178" s="288">
        <v>0.128888888888889</v>
      </c>
      <c r="Z178" s="288"/>
      <c r="AA178" s="288"/>
      <c r="AB178" s="288"/>
      <c r="AC178" s="288"/>
      <c r="AD178" s="288"/>
      <c r="AE178" s="288"/>
      <c r="AF178" s="288"/>
      <c r="AG178" s="288"/>
      <c r="AH178" s="288"/>
      <c r="AI178" s="288"/>
      <c r="AJ178" s="288"/>
      <c r="AK178" s="288"/>
      <c r="AL178" s="288"/>
      <c r="AM178" s="288"/>
      <c r="AN178" s="288"/>
      <c r="AO178" s="288"/>
      <c r="AP178" s="288"/>
      <c r="AQ178" s="288"/>
      <c r="AR178" s="288"/>
      <c r="AS178" s="288"/>
      <c r="AT178" s="288"/>
      <c r="AU178" s="288"/>
      <c r="AV178" s="288"/>
      <c r="AW178" s="288"/>
      <c r="AX178" s="288"/>
      <c r="AY178" s="288"/>
      <c r="AZ178" s="288"/>
      <c r="BA178" s="288"/>
      <c r="BB178" s="288"/>
      <c r="BC178" s="288"/>
    </row>
    <row r="179" spans="1:55" x14ac:dyDescent="0.25">
      <c r="A179" s="174">
        <v>5</v>
      </c>
      <c r="B179" s="507" t="str">
        <f t="shared" si="10"/>
        <v>GC - 285 - T3 - 64m²</v>
      </c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>
        <v>0</v>
      </c>
      <c r="W179" s="288">
        <v>0</v>
      </c>
      <c r="X179" s="288">
        <v>-0.21145833336615596</v>
      </c>
      <c r="Y179" s="288">
        <v>-0.35243055555555552</v>
      </c>
      <c r="Z179" s="288"/>
      <c r="AA179" s="288"/>
      <c r="AB179" s="288"/>
      <c r="AC179" s="288"/>
      <c r="AD179" s="288"/>
      <c r="AE179" s="288"/>
      <c r="AF179" s="288"/>
      <c r="AG179" s="288"/>
      <c r="AH179" s="288"/>
      <c r="AI179" s="288"/>
      <c r="AJ179" s="288"/>
      <c r="AK179" s="288"/>
      <c r="AL179" s="288"/>
      <c r="AM179" s="288"/>
      <c r="AN179" s="288"/>
      <c r="AO179" s="288"/>
      <c r="AP179" s="288"/>
      <c r="AQ179" s="288"/>
      <c r="AR179" s="288"/>
      <c r="AS179" s="288"/>
      <c r="AT179" s="288"/>
      <c r="AU179" s="288"/>
      <c r="AV179" s="288"/>
      <c r="AW179" s="288"/>
      <c r="AX179" s="288"/>
      <c r="AY179" s="288"/>
      <c r="AZ179" s="288"/>
      <c r="BA179" s="288"/>
      <c r="BB179" s="288"/>
      <c r="BC179" s="288"/>
    </row>
    <row r="180" spans="1:55" x14ac:dyDescent="0.25">
      <c r="A180" s="174">
        <v>6</v>
      </c>
      <c r="B180" s="68" t="str">
        <f t="shared" si="10"/>
        <v>GC - 286 - T3 - 68m²</v>
      </c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>
        <v>0.79607843137254852</v>
      </c>
      <c r="W180" s="288">
        <v>0.59705882352941075</v>
      </c>
      <c r="X180" s="288">
        <v>0.86241830065359526</v>
      </c>
      <c r="Y180" s="288">
        <v>0.92875816993464178</v>
      </c>
      <c r="Z180" s="288"/>
      <c r="AA180" s="288"/>
      <c r="AB180" s="288"/>
      <c r="AC180" s="288"/>
      <c r="AD180" s="288"/>
      <c r="AE180" s="288"/>
      <c r="AF180" s="288"/>
      <c r="AG180" s="288"/>
      <c r="AH180" s="288"/>
      <c r="AI180" s="288"/>
      <c r="AJ180" s="288"/>
      <c r="AK180" s="288"/>
      <c r="AL180" s="288"/>
      <c r="AM180" s="288"/>
      <c r="AN180" s="288"/>
      <c r="AO180" s="288"/>
      <c r="AP180" s="288"/>
      <c r="AQ180" s="288"/>
      <c r="AR180" s="288"/>
      <c r="AS180" s="288"/>
      <c r="AT180" s="288"/>
      <c r="AU180" s="288"/>
      <c r="AV180" s="288"/>
      <c r="AW180" s="288"/>
      <c r="AX180" s="288"/>
      <c r="AY180" s="288"/>
      <c r="AZ180" s="288"/>
      <c r="BA180" s="288"/>
      <c r="BB180" s="288"/>
      <c r="BC180" s="288"/>
    </row>
    <row r="181" spans="1:55" x14ac:dyDescent="0.25">
      <c r="A181" s="174">
        <v>7</v>
      </c>
      <c r="B181" s="68" t="str">
        <f t="shared" si="10"/>
        <v>GC - 289 - T3 - 76m²</v>
      </c>
      <c r="C181" s="288"/>
      <c r="D181" s="288"/>
      <c r="E181" s="288"/>
      <c r="F181" s="288"/>
      <c r="G181" s="288"/>
      <c r="H181" s="288"/>
      <c r="I181" s="288"/>
      <c r="J181" s="288"/>
      <c r="K181" s="288"/>
      <c r="L181" s="288"/>
      <c r="M181" s="288"/>
      <c r="N181" s="288"/>
      <c r="O181" s="288"/>
      <c r="P181" s="288"/>
      <c r="Q181" s="288"/>
      <c r="R181" s="288"/>
      <c r="S181" s="288"/>
      <c r="T181" s="288"/>
      <c r="U181" s="288"/>
      <c r="V181" s="288">
        <v>5.9356725146199142E-2</v>
      </c>
      <c r="W181" s="288">
        <v>-5.9356725146198622E-2</v>
      </c>
      <c r="X181" s="288">
        <v>0.11871345029239724</v>
      </c>
      <c r="Y181" s="288">
        <v>5.9356725146199142E-2</v>
      </c>
      <c r="Z181" s="288"/>
      <c r="AA181" s="288"/>
      <c r="AB181" s="288"/>
      <c r="AC181" s="288"/>
      <c r="AD181" s="288"/>
      <c r="AE181" s="288"/>
      <c r="AF181" s="288"/>
      <c r="AG181" s="288"/>
      <c r="AH181" s="288"/>
      <c r="AI181" s="288"/>
      <c r="AJ181" s="288"/>
      <c r="AK181" s="288"/>
      <c r="AL181" s="288"/>
      <c r="AM181" s="288"/>
      <c r="AN181" s="288"/>
      <c r="AO181" s="288"/>
      <c r="AP181" s="288"/>
      <c r="AQ181" s="288"/>
      <c r="AR181" s="288"/>
      <c r="AS181" s="288"/>
      <c r="AT181" s="288"/>
      <c r="AU181" s="288"/>
      <c r="AV181" s="288"/>
      <c r="AW181" s="288"/>
      <c r="AX181" s="288"/>
      <c r="AY181" s="288"/>
      <c r="AZ181" s="288"/>
      <c r="BA181" s="288"/>
      <c r="BB181" s="288"/>
      <c r="BC181" s="288"/>
    </row>
    <row r="182" spans="1:55" x14ac:dyDescent="0.25">
      <c r="A182" s="174">
        <v>8</v>
      </c>
      <c r="B182" s="68" t="str">
        <f t="shared" si="10"/>
        <v>GC - 303 - T4 - 81m²</v>
      </c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88"/>
      <c r="P182" s="288"/>
      <c r="Q182" s="288"/>
      <c r="R182" s="288"/>
      <c r="S182" s="288"/>
      <c r="T182" s="288"/>
      <c r="U182" s="288"/>
      <c r="V182" s="288">
        <v>0.2784636488340192</v>
      </c>
      <c r="W182" s="288">
        <v>0.2784636488340192</v>
      </c>
      <c r="X182" s="288">
        <v>0.33415637860082281</v>
      </c>
      <c r="Y182" s="288">
        <v>0.22277091906721555</v>
      </c>
      <c r="Z182" s="288"/>
      <c r="AA182" s="288"/>
      <c r="AB182" s="288"/>
      <c r="AC182" s="288"/>
      <c r="AD182" s="288"/>
      <c r="AE182" s="288"/>
      <c r="AF182" s="288"/>
      <c r="AG182" s="288"/>
      <c r="AH182" s="288"/>
      <c r="AI182" s="288"/>
      <c r="AJ182" s="288"/>
      <c r="AK182" s="288"/>
      <c r="AL182" s="288"/>
      <c r="AM182" s="288"/>
      <c r="AN182" s="288"/>
      <c r="AO182" s="288"/>
      <c r="AP182" s="288"/>
      <c r="AQ182" s="288"/>
      <c r="AR182" s="288"/>
      <c r="AS182" s="288"/>
      <c r="AT182" s="288"/>
      <c r="AU182" s="288"/>
      <c r="AV182" s="288"/>
      <c r="AW182" s="288"/>
      <c r="AX182" s="288"/>
      <c r="AY182" s="288"/>
      <c r="AZ182" s="288"/>
      <c r="BA182" s="288"/>
      <c r="BB182" s="288"/>
      <c r="BC182" s="288"/>
    </row>
    <row r="183" spans="1:55" x14ac:dyDescent="0.25">
      <c r="A183" s="174">
        <v>9</v>
      </c>
      <c r="B183" s="68" t="str">
        <f t="shared" si="10"/>
        <v>GC - 304 - T3 - 66m²</v>
      </c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88"/>
      <c r="P183" s="288"/>
      <c r="Q183" s="288"/>
      <c r="R183" s="288"/>
      <c r="S183" s="288"/>
      <c r="T183" s="288"/>
      <c r="U183" s="288"/>
      <c r="V183" s="288">
        <v>1.2986531986531975</v>
      </c>
      <c r="W183" s="288">
        <v>1.3670033670033668</v>
      </c>
      <c r="X183" s="288">
        <v>0.61515151515151412</v>
      </c>
      <c r="Y183" s="288">
        <v>0.47845117845118035</v>
      </c>
      <c r="Z183" s="288"/>
      <c r="AA183" s="288"/>
      <c r="AB183" s="288"/>
      <c r="AC183" s="288"/>
      <c r="AD183" s="288"/>
      <c r="AE183" s="288"/>
      <c r="AF183" s="288"/>
      <c r="AG183" s="288"/>
      <c r="AH183" s="288"/>
      <c r="AI183" s="288"/>
      <c r="AJ183" s="288"/>
      <c r="AK183" s="288"/>
      <c r="AL183" s="288"/>
      <c r="AM183" s="288"/>
      <c r="AN183" s="288"/>
      <c r="AO183" s="288"/>
      <c r="AP183" s="288"/>
      <c r="AQ183" s="288"/>
      <c r="AR183" s="288"/>
      <c r="AS183" s="288"/>
      <c r="AT183" s="288"/>
      <c r="AU183" s="288"/>
      <c r="AV183" s="288"/>
      <c r="AW183" s="288"/>
      <c r="AX183" s="288"/>
      <c r="AY183" s="288"/>
      <c r="AZ183" s="288"/>
      <c r="BA183" s="288"/>
      <c r="BB183" s="288"/>
      <c r="BC183" s="288"/>
    </row>
    <row r="184" spans="1:55" x14ac:dyDescent="0.25">
      <c r="A184" s="174">
        <v>10</v>
      </c>
      <c r="B184" s="68" t="str">
        <f t="shared" si="10"/>
        <v>GC - 306 - T3 - 66m²</v>
      </c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>
        <v>0.27340067340067359</v>
      </c>
      <c r="W184" s="288">
        <v>0.41010101010100986</v>
      </c>
      <c r="X184" s="288">
        <v>0.27340067340067359</v>
      </c>
      <c r="Y184" s="288">
        <v>0.20505050505050551</v>
      </c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288"/>
      <c r="AJ184" s="288"/>
      <c r="AK184" s="288"/>
      <c r="AL184" s="288"/>
      <c r="AM184" s="288"/>
      <c r="AN184" s="288"/>
      <c r="AO184" s="288"/>
      <c r="AP184" s="288"/>
      <c r="AQ184" s="288"/>
      <c r="AR184" s="288"/>
      <c r="AS184" s="288"/>
      <c r="AT184" s="288"/>
      <c r="AU184" s="288"/>
      <c r="AV184" s="288"/>
      <c r="AW184" s="288"/>
      <c r="AX184" s="288"/>
      <c r="AY184" s="288"/>
      <c r="AZ184" s="288"/>
      <c r="BA184" s="288"/>
      <c r="BB184" s="288"/>
      <c r="BC184" s="288"/>
    </row>
    <row r="185" spans="1:55" x14ac:dyDescent="0.25">
      <c r="A185" s="174">
        <v>11</v>
      </c>
      <c r="B185" s="430" t="str">
        <f t="shared" si="10"/>
        <v>GC - 307 - T3 - 66m²</v>
      </c>
      <c r="C185" s="288"/>
      <c r="D185" s="288"/>
      <c r="E185" s="288"/>
      <c r="F185" s="288"/>
      <c r="G185" s="288"/>
      <c r="H185" s="288"/>
      <c r="I185" s="288"/>
      <c r="J185" s="288"/>
      <c r="K185" s="288"/>
      <c r="L185" s="288"/>
      <c r="M185" s="288"/>
      <c r="N185" s="288"/>
      <c r="O185" s="288"/>
      <c r="P185" s="288"/>
      <c r="Q185" s="288"/>
      <c r="R185" s="288"/>
      <c r="S185" s="288"/>
      <c r="T185" s="288"/>
      <c r="U185" s="288"/>
      <c r="V185" s="288">
        <v>0</v>
      </c>
      <c r="W185" s="288">
        <v>0</v>
      </c>
      <c r="X185" s="288">
        <v>0</v>
      </c>
      <c r="Y185" s="288">
        <v>0</v>
      </c>
      <c r="Z185" s="288"/>
      <c r="AA185" s="288"/>
      <c r="AB185" s="288"/>
      <c r="AC185" s="288"/>
      <c r="AD185" s="288"/>
      <c r="AE185" s="288"/>
      <c r="AF185" s="288"/>
      <c r="AG185" s="288"/>
      <c r="AH185" s="288"/>
      <c r="AI185" s="288"/>
      <c r="AJ185" s="288"/>
      <c r="AK185" s="288"/>
      <c r="AL185" s="288"/>
      <c r="AM185" s="288"/>
      <c r="AN185" s="288"/>
      <c r="AO185" s="288"/>
      <c r="AP185" s="288"/>
      <c r="AQ185" s="288"/>
      <c r="AR185" s="288"/>
      <c r="AS185" s="288"/>
      <c r="AT185" s="288"/>
      <c r="AU185" s="288"/>
      <c r="AV185" s="288"/>
      <c r="AW185" s="288"/>
      <c r="AX185" s="288"/>
      <c r="AY185" s="288"/>
      <c r="AZ185" s="288"/>
      <c r="BA185" s="288"/>
      <c r="BB185" s="288"/>
      <c r="BC185" s="288"/>
    </row>
    <row r="186" spans="1:55" x14ac:dyDescent="0.25">
      <c r="A186" s="174">
        <v>12</v>
      </c>
      <c r="B186" s="68" t="str">
        <f t="shared" si="10"/>
        <v>GC - 308 - T3 - 66m²</v>
      </c>
      <c r="C186" s="288"/>
      <c r="D186" s="288"/>
      <c r="E186" s="288"/>
      <c r="F186" s="288"/>
      <c r="G186" s="288"/>
      <c r="H186" s="288"/>
      <c r="I186" s="288"/>
      <c r="J186" s="288"/>
      <c r="K186" s="288"/>
      <c r="L186" s="288"/>
      <c r="M186" s="288"/>
      <c r="N186" s="288"/>
      <c r="O186" s="288"/>
      <c r="P186" s="288"/>
      <c r="Q186" s="288"/>
      <c r="R186" s="288"/>
      <c r="S186" s="288"/>
      <c r="T186" s="288"/>
      <c r="U186" s="288"/>
      <c r="V186" s="288">
        <v>0.41010101010100986</v>
      </c>
      <c r="W186" s="288">
        <v>0.47845117845117796</v>
      </c>
      <c r="X186" s="288">
        <v>0.68350168350168339</v>
      </c>
      <c r="Y186" s="288">
        <v>0.34175084175084169</v>
      </c>
      <c r="Z186" s="288"/>
      <c r="AA186" s="288"/>
      <c r="AB186" s="288"/>
      <c r="AC186" s="288"/>
      <c r="AD186" s="288"/>
      <c r="AE186" s="288"/>
      <c r="AF186" s="288"/>
      <c r="AG186" s="288"/>
      <c r="AH186" s="288"/>
      <c r="AI186" s="288"/>
      <c r="AJ186" s="288"/>
      <c r="AK186" s="288"/>
      <c r="AL186" s="288"/>
      <c r="AM186" s="288"/>
      <c r="AN186" s="288"/>
      <c r="AO186" s="288"/>
      <c r="AP186" s="288"/>
      <c r="AQ186" s="288"/>
      <c r="AR186" s="288"/>
      <c r="AS186" s="288"/>
      <c r="AT186" s="288"/>
      <c r="AU186" s="288"/>
      <c r="AV186" s="288"/>
      <c r="AW186" s="288"/>
      <c r="AX186" s="288"/>
      <c r="AY186" s="288"/>
      <c r="AZ186" s="288"/>
      <c r="BA186" s="288"/>
      <c r="BB186" s="288"/>
      <c r="BC186" s="288"/>
    </row>
    <row r="187" spans="1:55" x14ac:dyDescent="0.25">
      <c r="A187" s="174">
        <v>13</v>
      </c>
      <c r="B187" s="68" t="str">
        <f t="shared" si="10"/>
        <v>GC - 314 - T4 - 75m²</v>
      </c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>
        <v>1.6240000000000014</v>
      </c>
      <c r="W187" s="288">
        <v>1.6841481481481464</v>
      </c>
      <c r="X187" s="288">
        <v>1.5638518518518527</v>
      </c>
      <c r="Y187" s="288">
        <v>1.3232592592592609</v>
      </c>
      <c r="Z187" s="288"/>
      <c r="AA187" s="288"/>
      <c r="AB187" s="288"/>
      <c r="AC187" s="288"/>
      <c r="AD187" s="288"/>
      <c r="AE187" s="288"/>
      <c r="AF187" s="288"/>
      <c r="AG187" s="288"/>
      <c r="AH187" s="288"/>
      <c r="AI187" s="288"/>
      <c r="AJ187" s="288"/>
      <c r="AK187" s="288"/>
      <c r="AL187" s="288"/>
      <c r="AM187" s="288"/>
      <c r="AN187" s="288"/>
      <c r="AO187" s="288"/>
      <c r="AP187" s="288"/>
      <c r="AQ187" s="288"/>
      <c r="AR187" s="288"/>
      <c r="AS187" s="288"/>
      <c r="AT187" s="288"/>
      <c r="AU187" s="288"/>
      <c r="AV187" s="288"/>
      <c r="AW187" s="288"/>
      <c r="AX187" s="288"/>
      <c r="AY187" s="288"/>
      <c r="AZ187" s="288"/>
      <c r="BA187" s="288"/>
      <c r="BB187" s="288"/>
      <c r="BC187" s="288"/>
    </row>
    <row r="188" spans="1:55" x14ac:dyDescent="0.25">
      <c r="A188" s="174">
        <v>14</v>
      </c>
      <c r="B188" s="499" t="str">
        <f t="shared" si="10"/>
        <v>MOYENNE GC</v>
      </c>
      <c r="C188" s="289"/>
      <c r="D188" s="289"/>
      <c r="E188" s="289"/>
      <c r="F188" s="289"/>
      <c r="G188" s="289"/>
      <c r="H188" s="289"/>
      <c r="I188" s="289"/>
      <c r="J188" s="289"/>
      <c r="K188" s="289"/>
      <c r="L188" s="289"/>
      <c r="M188" s="289"/>
      <c r="N188" s="289"/>
      <c r="O188" s="289"/>
      <c r="P188" s="289"/>
      <c r="Q188" s="289"/>
      <c r="R188" s="289"/>
      <c r="S188" s="289"/>
      <c r="T188" s="289"/>
      <c r="U188" s="289"/>
      <c r="V188" s="289">
        <v>0.5042316875723335</v>
      </c>
      <c r="W188" s="289">
        <v>0.50324381611375446</v>
      </c>
      <c r="X188" s="289">
        <v>0.47536612943395889</v>
      </c>
      <c r="Y188" s="289">
        <v>0.35202001479350287</v>
      </c>
      <c r="Z188" s="289"/>
      <c r="AA188" s="289"/>
      <c r="AB188" s="289"/>
      <c r="AC188" s="289"/>
      <c r="AD188" s="289"/>
      <c r="AE188" s="289"/>
      <c r="AF188" s="289"/>
      <c r="AG188" s="289"/>
      <c r="AH188" s="289"/>
      <c r="AI188" s="289"/>
      <c r="AJ188" s="289"/>
      <c r="AK188" s="289"/>
      <c r="AL188" s="289"/>
      <c r="AM188" s="289"/>
      <c r="AN188" s="289"/>
      <c r="AO188" s="289"/>
      <c r="AP188" s="289"/>
      <c r="AQ188" s="289"/>
      <c r="AR188" s="289"/>
      <c r="AS188" s="289"/>
      <c r="AT188" s="289"/>
      <c r="AU188" s="289"/>
      <c r="AV188" s="289"/>
      <c r="AW188" s="289"/>
      <c r="AX188" s="289"/>
      <c r="AY188" s="289"/>
      <c r="AZ188" s="289"/>
      <c r="BA188" s="289"/>
      <c r="BB188" s="289"/>
      <c r="BC188" s="289"/>
    </row>
    <row r="189" spans="1:55" x14ac:dyDescent="0.25">
      <c r="A189" s="174">
        <v>15</v>
      </c>
      <c r="B189" s="68" t="str">
        <f t="shared" ref="B189:B202" si="11">B134</f>
        <v>GE2.1 - 275 - T3 - 74m²</v>
      </c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88"/>
      <c r="P189" s="288"/>
      <c r="Q189" s="288"/>
      <c r="R189" s="288"/>
      <c r="S189" s="288"/>
      <c r="T189" s="288"/>
      <c r="U189" s="288"/>
      <c r="V189" s="288">
        <v>0.48768768768768805</v>
      </c>
      <c r="W189" s="288">
        <v>0.60960960960960953</v>
      </c>
      <c r="X189" s="288">
        <v>0.91441441441441429</v>
      </c>
      <c r="Y189" s="288">
        <v>0.60960960960960953</v>
      </c>
      <c r="Z189" s="288"/>
      <c r="AA189" s="288"/>
      <c r="AB189" s="288"/>
      <c r="AC189" s="288"/>
      <c r="AD189" s="288"/>
      <c r="AE189" s="288"/>
      <c r="AF189" s="288"/>
      <c r="AG189" s="288"/>
      <c r="AH189" s="288"/>
      <c r="AI189" s="288"/>
      <c r="AJ189" s="288"/>
      <c r="AK189" s="288"/>
      <c r="AL189" s="288"/>
      <c r="AM189" s="288"/>
      <c r="AN189" s="288"/>
      <c r="AO189" s="288"/>
      <c r="AP189" s="288"/>
      <c r="AQ189" s="288"/>
      <c r="AR189" s="288"/>
      <c r="AS189" s="288"/>
      <c r="AT189" s="288"/>
      <c r="AU189" s="288"/>
      <c r="AV189" s="288"/>
      <c r="AW189" s="288"/>
      <c r="AX189" s="288"/>
      <c r="AY189" s="288"/>
      <c r="AZ189" s="288"/>
      <c r="BA189" s="288"/>
      <c r="BB189" s="288"/>
      <c r="BC189" s="288"/>
    </row>
    <row r="190" spans="1:55" x14ac:dyDescent="0.25">
      <c r="A190" s="174">
        <v>16</v>
      </c>
      <c r="B190" s="68" t="str">
        <f t="shared" si="11"/>
        <v>GE2.1 - 278 - T2 - 57m²</v>
      </c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88"/>
      <c r="P190" s="288"/>
      <c r="Q190" s="288"/>
      <c r="R190" s="288"/>
      <c r="S190" s="288"/>
      <c r="T190" s="288"/>
      <c r="U190" s="288"/>
      <c r="V190" s="288">
        <v>7.9142300194931833E-2</v>
      </c>
      <c r="W190" s="288">
        <v>0.39571150097465885</v>
      </c>
      <c r="X190" s="288">
        <v>7.9142300194931833E-2</v>
      </c>
      <c r="Y190" s="288">
        <v>7.9142300194931833E-2</v>
      </c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288"/>
      <c r="AJ190" s="288"/>
      <c r="AK190" s="288"/>
      <c r="AL190" s="288"/>
      <c r="AM190" s="288"/>
      <c r="AN190" s="288"/>
      <c r="AO190" s="288"/>
      <c r="AP190" s="288"/>
      <c r="AQ190" s="288"/>
      <c r="AR190" s="288"/>
      <c r="AS190" s="288"/>
      <c r="AT190" s="288"/>
      <c r="AU190" s="288"/>
      <c r="AV190" s="288"/>
      <c r="AW190" s="288"/>
      <c r="AX190" s="288"/>
      <c r="AY190" s="288"/>
      <c r="AZ190" s="288"/>
      <c r="BA190" s="288"/>
      <c r="BB190" s="288"/>
      <c r="BC190" s="288"/>
    </row>
    <row r="191" spans="1:55" x14ac:dyDescent="0.25">
      <c r="A191" s="174">
        <v>17</v>
      </c>
      <c r="B191" s="68" t="str">
        <f t="shared" si="11"/>
        <v>GE2.1 - 280 - T3 - 66m²</v>
      </c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>
        <v>0</v>
      </c>
      <c r="W191" s="288">
        <v>0.20505050505050501</v>
      </c>
      <c r="X191" s="288">
        <v>0</v>
      </c>
      <c r="Y191" s="288">
        <v>6.8350168350168369E-2</v>
      </c>
      <c r="Z191" s="288"/>
      <c r="AA191" s="288"/>
      <c r="AB191" s="288"/>
      <c r="AC191" s="288"/>
      <c r="AD191" s="288"/>
      <c r="AE191" s="288"/>
      <c r="AF191" s="288"/>
      <c r="AG191" s="288"/>
      <c r="AH191" s="288"/>
      <c r="AI191" s="288"/>
      <c r="AJ191" s="288"/>
      <c r="AK191" s="288"/>
      <c r="AL191" s="288"/>
      <c r="AM191" s="288"/>
      <c r="AN191" s="288"/>
      <c r="AO191" s="288"/>
      <c r="AP191" s="288"/>
      <c r="AQ191" s="288"/>
      <c r="AR191" s="288"/>
      <c r="AS191" s="288"/>
      <c r="AT191" s="288"/>
      <c r="AU191" s="288"/>
      <c r="AV191" s="288"/>
      <c r="AW191" s="288"/>
      <c r="AX191" s="288"/>
      <c r="AY191" s="288"/>
      <c r="AZ191" s="288"/>
      <c r="BA191" s="288"/>
      <c r="BB191" s="288"/>
      <c r="BC191" s="288"/>
    </row>
    <row r="192" spans="1:55" x14ac:dyDescent="0.25">
      <c r="A192" s="174">
        <v>18</v>
      </c>
      <c r="B192" s="68" t="str">
        <f t="shared" si="11"/>
        <v>GE2.1 - 282 - T4 - 78m²</v>
      </c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>
        <v>0.17350427350427389</v>
      </c>
      <c r="W192" s="288">
        <v>5.7834757834757632E-2</v>
      </c>
      <c r="X192" s="288">
        <v>0.17350427350427389</v>
      </c>
      <c r="Y192" s="288">
        <v>0.17350427350427339</v>
      </c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288"/>
      <c r="AJ192" s="288"/>
      <c r="AK192" s="288"/>
      <c r="AL192" s="288"/>
      <c r="AM192" s="288"/>
      <c r="AN192" s="288"/>
      <c r="AO192" s="288"/>
      <c r="AP192" s="288"/>
      <c r="AQ192" s="288"/>
      <c r="AR192" s="288"/>
      <c r="AS192" s="288"/>
      <c r="AT192" s="288"/>
      <c r="AU192" s="288"/>
      <c r="AV192" s="288"/>
      <c r="AW192" s="288"/>
      <c r="AX192" s="288"/>
      <c r="AY192" s="288"/>
      <c r="AZ192" s="288"/>
      <c r="BA192" s="288"/>
      <c r="BB192" s="288"/>
      <c r="BC192" s="288"/>
    </row>
    <row r="193" spans="1:55" x14ac:dyDescent="0.25">
      <c r="A193" s="174">
        <v>19</v>
      </c>
      <c r="B193" s="68" t="str">
        <f t="shared" si="11"/>
        <v>GE2.1 - 292 - T3 - 63m²</v>
      </c>
      <c r="C193" s="288"/>
      <c r="D193" s="288"/>
      <c r="E193" s="288"/>
      <c r="F193" s="288"/>
      <c r="G193" s="288"/>
      <c r="H193" s="288"/>
      <c r="I193" s="288"/>
      <c r="J193" s="288"/>
      <c r="K193" s="288"/>
      <c r="L193" s="288"/>
      <c r="M193" s="288"/>
      <c r="N193" s="288"/>
      <c r="O193" s="288"/>
      <c r="P193" s="288"/>
      <c r="Q193" s="288"/>
      <c r="R193" s="288"/>
      <c r="S193" s="288"/>
      <c r="T193" s="288"/>
      <c r="U193" s="288"/>
      <c r="V193" s="288">
        <v>0.28641975308641998</v>
      </c>
      <c r="W193" s="288">
        <v>0.501234567901234</v>
      </c>
      <c r="X193" s="288">
        <v>0.28641975308641998</v>
      </c>
      <c r="Y193" s="288">
        <v>0.28641975308641998</v>
      </c>
      <c r="Z193" s="288"/>
      <c r="AA193" s="288"/>
      <c r="AB193" s="288"/>
      <c r="AC193" s="288"/>
      <c r="AD193" s="288"/>
      <c r="AE193" s="288"/>
      <c r="AF193" s="288"/>
      <c r="AG193" s="288"/>
      <c r="AH193" s="288"/>
      <c r="AI193" s="288"/>
      <c r="AJ193" s="288"/>
      <c r="AK193" s="288"/>
      <c r="AL193" s="288"/>
      <c r="AM193" s="288"/>
      <c r="AN193" s="288"/>
      <c r="AO193" s="288"/>
      <c r="AP193" s="288"/>
      <c r="AQ193" s="288"/>
      <c r="AR193" s="288"/>
      <c r="AS193" s="288"/>
      <c r="AT193" s="288"/>
      <c r="AU193" s="288"/>
      <c r="AV193" s="288"/>
      <c r="AW193" s="288"/>
      <c r="AX193" s="288"/>
      <c r="AY193" s="288"/>
      <c r="AZ193" s="288"/>
      <c r="BA193" s="288"/>
      <c r="BB193" s="288"/>
      <c r="BC193" s="288"/>
    </row>
    <row r="194" spans="1:55" x14ac:dyDescent="0.25">
      <c r="A194" s="174">
        <v>20</v>
      </c>
      <c r="B194" s="68" t="str">
        <f t="shared" si="11"/>
        <v>GE2.1 - 293 - T3 - 63m²</v>
      </c>
      <c r="C194" s="288"/>
      <c r="D194" s="288"/>
      <c r="E194" s="288"/>
      <c r="F194" s="288"/>
      <c r="G194" s="288"/>
      <c r="H194" s="288"/>
      <c r="I194" s="288"/>
      <c r="J194" s="288"/>
      <c r="K194" s="288"/>
      <c r="L194" s="288"/>
      <c r="M194" s="288"/>
      <c r="N194" s="288"/>
      <c r="O194" s="288"/>
      <c r="P194" s="288"/>
      <c r="Q194" s="288"/>
      <c r="R194" s="288"/>
      <c r="S194" s="288"/>
      <c r="T194" s="288"/>
      <c r="U194" s="288"/>
      <c r="V194" s="288">
        <v>0.93086419753086336</v>
      </c>
      <c r="W194" s="288">
        <v>0.64444444444444338</v>
      </c>
      <c r="X194" s="288">
        <v>0.93086419753086469</v>
      </c>
      <c r="Y194" s="288">
        <v>0.57283950617283996</v>
      </c>
      <c r="Z194" s="288"/>
      <c r="AA194" s="288"/>
      <c r="AB194" s="288"/>
      <c r="AC194" s="288"/>
      <c r="AD194" s="288"/>
      <c r="AE194" s="288"/>
      <c r="AF194" s="288"/>
      <c r="AG194" s="288"/>
      <c r="AH194" s="288"/>
      <c r="AI194" s="288"/>
      <c r="AJ194" s="288"/>
      <c r="AK194" s="288"/>
      <c r="AL194" s="288"/>
      <c r="AM194" s="288"/>
      <c r="AN194" s="288"/>
      <c r="AO194" s="288"/>
      <c r="AP194" s="288"/>
      <c r="AQ194" s="288"/>
      <c r="AR194" s="288"/>
      <c r="AS194" s="288"/>
      <c r="AT194" s="288"/>
      <c r="AU194" s="288"/>
      <c r="AV194" s="288"/>
      <c r="AW194" s="288"/>
      <c r="AX194" s="288"/>
      <c r="AY194" s="288"/>
      <c r="AZ194" s="288"/>
      <c r="BA194" s="288"/>
      <c r="BB194" s="288"/>
      <c r="BC194" s="288"/>
    </row>
    <row r="195" spans="1:55" x14ac:dyDescent="0.25">
      <c r="A195" s="174">
        <v>21</v>
      </c>
      <c r="B195" s="68" t="str">
        <f t="shared" si="11"/>
        <v>GE2.1 - 295 - T3 - 63m²</v>
      </c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88"/>
      <c r="P195" s="288"/>
      <c r="Q195" s="288"/>
      <c r="R195" s="288"/>
      <c r="S195" s="288"/>
      <c r="T195" s="288"/>
      <c r="U195" s="288"/>
      <c r="V195" s="288">
        <v>1.2172839506172859</v>
      </c>
      <c r="W195" s="288">
        <v>1.2172839506172859</v>
      </c>
      <c r="X195" s="288">
        <v>1.145679012345675</v>
      </c>
      <c r="Y195" s="288">
        <v>1.1456790123456799</v>
      </c>
      <c r="Z195" s="288"/>
      <c r="AA195" s="288"/>
      <c r="AB195" s="288"/>
      <c r="AC195" s="288"/>
      <c r="AD195" s="288"/>
      <c r="AE195" s="288"/>
      <c r="AF195" s="288"/>
      <c r="AG195" s="288"/>
      <c r="AH195" s="288"/>
      <c r="AI195" s="288"/>
      <c r="AJ195" s="288"/>
      <c r="AK195" s="288"/>
      <c r="AL195" s="288"/>
      <c r="AM195" s="288"/>
      <c r="AN195" s="288"/>
      <c r="AO195" s="288"/>
      <c r="AP195" s="288"/>
      <c r="AQ195" s="288"/>
      <c r="AR195" s="288"/>
      <c r="AS195" s="288"/>
      <c r="AT195" s="288"/>
      <c r="AU195" s="288"/>
      <c r="AV195" s="288"/>
      <c r="AW195" s="288"/>
      <c r="AX195" s="288"/>
      <c r="AY195" s="288"/>
      <c r="AZ195" s="288"/>
      <c r="BA195" s="288"/>
      <c r="BB195" s="288"/>
      <c r="BC195" s="288"/>
    </row>
    <row r="196" spans="1:55" x14ac:dyDescent="0.25">
      <c r="A196" s="174">
        <v>22</v>
      </c>
      <c r="B196" s="68" t="str">
        <f t="shared" si="11"/>
        <v>GE2.1 - 296 - T4 - 78m²</v>
      </c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88"/>
      <c r="P196" s="288"/>
      <c r="Q196" s="288"/>
      <c r="R196" s="288"/>
      <c r="S196" s="288"/>
      <c r="T196" s="288"/>
      <c r="U196" s="288"/>
      <c r="V196" s="288">
        <v>0.28917378917378916</v>
      </c>
      <c r="W196" s="288">
        <v>5.7834757834757632E-2</v>
      </c>
      <c r="X196" s="288">
        <v>0.34700854700854677</v>
      </c>
      <c r="Y196" s="288">
        <v>0.28917378917378916</v>
      </c>
      <c r="Z196" s="288"/>
      <c r="AA196" s="288"/>
      <c r="AB196" s="288"/>
      <c r="AC196" s="288"/>
      <c r="AD196" s="288"/>
      <c r="AE196" s="288"/>
      <c r="AF196" s="288"/>
      <c r="AG196" s="288"/>
      <c r="AH196" s="288"/>
      <c r="AI196" s="288"/>
      <c r="AJ196" s="288"/>
      <c r="AK196" s="288"/>
      <c r="AL196" s="288"/>
      <c r="AM196" s="288"/>
      <c r="AN196" s="288"/>
      <c r="AO196" s="288"/>
      <c r="AP196" s="288"/>
      <c r="AQ196" s="288"/>
      <c r="AR196" s="288"/>
      <c r="AS196" s="288"/>
      <c r="AT196" s="288"/>
      <c r="AU196" s="288"/>
      <c r="AV196" s="288"/>
      <c r="AW196" s="288"/>
      <c r="AX196" s="288"/>
      <c r="AY196" s="288"/>
      <c r="AZ196" s="288"/>
      <c r="BA196" s="288"/>
      <c r="BB196" s="288"/>
      <c r="BC196" s="288"/>
    </row>
    <row r="197" spans="1:55" x14ac:dyDescent="0.25">
      <c r="A197" s="174">
        <v>23</v>
      </c>
      <c r="B197" s="68" t="str">
        <f t="shared" si="11"/>
        <v>GE2.1 - 297 - T4 - 79m²</v>
      </c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>
        <v>1.1991561181434607</v>
      </c>
      <c r="W197" s="288">
        <v>1.1991561181434607</v>
      </c>
      <c r="X197" s="288">
        <v>1.256258790436003</v>
      </c>
      <c r="Y197" s="288">
        <v>0.91364275668073203</v>
      </c>
      <c r="Z197" s="288"/>
      <c r="AA197" s="288"/>
      <c r="AB197" s="288"/>
      <c r="AC197" s="288"/>
      <c r="AD197" s="288"/>
      <c r="AE197" s="288"/>
      <c r="AF197" s="288"/>
      <c r="AG197" s="288"/>
      <c r="AH197" s="288"/>
      <c r="AI197" s="288"/>
      <c r="AJ197" s="288"/>
      <c r="AK197" s="288"/>
      <c r="AL197" s="288"/>
      <c r="AM197" s="288"/>
      <c r="AN197" s="288"/>
      <c r="AO197" s="288"/>
      <c r="AP197" s="288"/>
      <c r="AQ197" s="288"/>
      <c r="AR197" s="288"/>
      <c r="AS197" s="288"/>
      <c r="AT197" s="288"/>
      <c r="AU197" s="288"/>
      <c r="AV197" s="288"/>
      <c r="AW197" s="288"/>
      <c r="AX197" s="288"/>
      <c r="AY197" s="288"/>
      <c r="AZ197" s="288"/>
      <c r="BA197" s="288"/>
      <c r="BB197" s="288"/>
      <c r="BC197" s="288"/>
    </row>
    <row r="198" spans="1:55" x14ac:dyDescent="0.25">
      <c r="A198" s="174">
        <v>24</v>
      </c>
      <c r="B198" s="68" t="str">
        <f t="shared" si="11"/>
        <v>GE2.1 - 299 - T4 - 79m²</v>
      </c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>
        <v>0.28551336146272854</v>
      </c>
      <c r="W198" s="288">
        <v>5.7102672292545509E-2</v>
      </c>
      <c r="X198" s="288">
        <v>0</v>
      </c>
      <c r="Y198" s="288">
        <v>0.11420534458509203</v>
      </c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288"/>
      <c r="AJ198" s="288"/>
      <c r="AK198" s="288"/>
      <c r="AL198" s="288"/>
      <c r="AM198" s="288"/>
      <c r="AN198" s="288"/>
      <c r="AO198" s="288"/>
      <c r="AP198" s="288"/>
      <c r="AQ198" s="288"/>
      <c r="AR198" s="288"/>
      <c r="AS198" s="288"/>
      <c r="AT198" s="288"/>
      <c r="AU198" s="288"/>
      <c r="AV198" s="288"/>
      <c r="AW198" s="288"/>
      <c r="AX198" s="288"/>
      <c r="AY198" s="288"/>
      <c r="AZ198" s="288"/>
      <c r="BA198" s="288"/>
      <c r="BB198" s="288"/>
      <c r="BC198" s="288"/>
    </row>
    <row r="199" spans="1:55" x14ac:dyDescent="0.25">
      <c r="A199" s="174">
        <v>25</v>
      </c>
      <c r="B199" s="68" t="str">
        <f t="shared" si="11"/>
        <v>GE2.1 - 300 - T5 - 93m²</v>
      </c>
      <c r="C199" s="288"/>
      <c r="D199" s="288"/>
      <c r="E199" s="288"/>
      <c r="F199" s="288"/>
      <c r="G199" s="288"/>
      <c r="H199" s="288"/>
      <c r="I199" s="288"/>
      <c r="J199" s="288"/>
      <c r="K199" s="288"/>
      <c r="L199" s="288"/>
      <c r="M199" s="288"/>
      <c r="N199" s="288"/>
      <c r="O199" s="288"/>
      <c r="P199" s="288"/>
      <c r="Q199" s="288"/>
      <c r="R199" s="288"/>
      <c r="S199" s="288"/>
      <c r="T199" s="288"/>
      <c r="U199" s="288"/>
      <c r="V199" s="288">
        <v>0.63058542413381158</v>
      </c>
      <c r="W199" s="288">
        <v>0.58207885304659457</v>
      </c>
      <c r="X199" s="288">
        <v>0.53357228195937945</v>
      </c>
      <c r="Y199" s="288">
        <v>0.48506571087216244</v>
      </c>
      <c r="Z199" s="288"/>
      <c r="AA199" s="288"/>
      <c r="AB199" s="288"/>
      <c r="AC199" s="288"/>
      <c r="AD199" s="288"/>
      <c r="AE199" s="288"/>
      <c r="AF199" s="288"/>
      <c r="AG199" s="288"/>
      <c r="AH199" s="288"/>
      <c r="AI199" s="288"/>
      <c r="AJ199" s="288"/>
      <c r="AK199" s="288"/>
      <c r="AL199" s="288"/>
      <c r="AM199" s="288"/>
      <c r="AN199" s="288"/>
      <c r="AO199" s="288"/>
      <c r="AP199" s="288"/>
      <c r="AQ199" s="288"/>
      <c r="AR199" s="288"/>
      <c r="AS199" s="288"/>
      <c r="AT199" s="288"/>
      <c r="AU199" s="288"/>
      <c r="AV199" s="288"/>
      <c r="AW199" s="288"/>
      <c r="AX199" s="288"/>
      <c r="AY199" s="288"/>
      <c r="AZ199" s="288"/>
      <c r="BA199" s="288"/>
      <c r="BB199" s="288"/>
      <c r="BC199" s="288"/>
    </row>
    <row r="200" spans="1:55" x14ac:dyDescent="0.25">
      <c r="A200" s="174">
        <v>26</v>
      </c>
      <c r="B200" s="68" t="str">
        <f t="shared" si="11"/>
        <v>GE2.1 - 302 - T5 - 93m²</v>
      </c>
      <c r="C200" s="288"/>
      <c r="D200" s="288"/>
      <c r="E200" s="288"/>
      <c r="F200" s="288"/>
      <c r="G200" s="288"/>
      <c r="H200" s="288"/>
      <c r="I200" s="288"/>
      <c r="J200" s="288"/>
      <c r="K200" s="288"/>
      <c r="L200" s="288"/>
      <c r="M200" s="288"/>
      <c r="N200" s="288"/>
      <c r="O200" s="288"/>
      <c r="P200" s="288"/>
      <c r="Q200" s="288"/>
      <c r="R200" s="288"/>
      <c r="S200" s="288"/>
      <c r="T200" s="288"/>
      <c r="U200" s="288"/>
      <c r="V200" s="288">
        <v>0.33954599761051335</v>
      </c>
      <c r="W200" s="288">
        <v>0.6790919952210267</v>
      </c>
      <c r="X200" s="288">
        <v>0.29103942652329812</v>
      </c>
      <c r="Y200" s="288">
        <v>0.29103942652329812</v>
      </c>
      <c r="Z200" s="288"/>
      <c r="AA200" s="288"/>
      <c r="AB200" s="288"/>
      <c r="AC200" s="288"/>
      <c r="AD200" s="288"/>
      <c r="AE200" s="288"/>
      <c r="AF200" s="288"/>
      <c r="AG200" s="288"/>
      <c r="AH200" s="288"/>
      <c r="AI200" s="288"/>
      <c r="AJ200" s="288"/>
      <c r="AK200" s="288"/>
      <c r="AL200" s="288"/>
      <c r="AM200" s="288"/>
      <c r="AN200" s="288"/>
      <c r="AO200" s="288"/>
      <c r="AP200" s="288"/>
      <c r="AQ200" s="288"/>
      <c r="AR200" s="288"/>
      <c r="AS200" s="288"/>
      <c r="AT200" s="288"/>
      <c r="AU200" s="288"/>
      <c r="AV200" s="288"/>
      <c r="AW200" s="288"/>
      <c r="AX200" s="288"/>
      <c r="AY200" s="288"/>
      <c r="AZ200" s="288"/>
      <c r="BA200" s="288"/>
      <c r="BB200" s="288"/>
      <c r="BC200" s="288"/>
    </row>
    <row r="201" spans="1:55" x14ac:dyDescent="0.25">
      <c r="A201" s="174">
        <v>27</v>
      </c>
      <c r="B201" s="68" t="str">
        <f t="shared" si="11"/>
        <v>GE2.1 - 312 - T4 - 75m²</v>
      </c>
      <c r="C201" s="288"/>
      <c r="D201" s="288"/>
      <c r="E201" s="288"/>
      <c r="F201" s="288"/>
      <c r="G201" s="288"/>
      <c r="H201" s="288"/>
      <c r="I201" s="288"/>
      <c r="J201" s="288"/>
      <c r="K201" s="288"/>
      <c r="L201" s="288"/>
      <c r="M201" s="288"/>
      <c r="N201" s="288"/>
      <c r="O201" s="288"/>
      <c r="P201" s="288"/>
      <c r="Q201" s="288"/>
      <c r="R201" s="288"/>
      <c r="S201" s="288"/>
      <c r="T201" s="288"/>
      <c r="U201" s="288"/>
      <c r="V201" s="288">
        <v>0.66162962962962824</v>
      </c>
      <c r="W201" s="288">
        <v>0.4210370370370366</v>
      </c>
      <c r="X201" s="288">
        <v>0.24059259259259386</v>
      </c>
      <c r="Y201" s="288">
        <v>0.3007407407407407</v>
      </c>
      <c r="Z201" s="288"/>
      <c r="AA201" s="288"/>
      <c r="AB201" s="288"/>
      <c r="AC201" s="288"/>
      <c r="AD201" s="288"/>
      <c r="AE201" s="288"/>
      <c r="AF201" s="288"/>
      <c r="AG201" s="288"/>
      <c r="AH201" s="288"/>
      <c r="AI201" s="288"/>
      <c r="AJ201" s="288"/>
      <c r="AK201" s="288"/>
      <c r="AL201" s="288"/>
      <c r="AM201" s="288"/>
      <c r="AN201" s="288"/>
      <c r="AO201" s="288"/>
      <c r="AP201" s="288"/>
      <c r="AQ201" s="288"/>
      <c r="AR201" s="288"/>
      <c r="AS201" s="288"/>
      <c r="AT201" s="288"/>
      <c r="AU201" s="288"/>
      <c r="AV201" s="288"/>
      <c r="AW201" s="288"/>
      <c r="AX201" s="288"/>
      <c r="AY201" s="288"/>
      <c r="AZ201" s="288"/>
      <c r="BA201" s="288"/>
      <c r="BB201" s="288"/>
      <c r="BC201" s="288"/>
    </row>
    <row r="202" spans="1:55" x14ac:dyDescent="0.25">
      <c r="A202" s="174">
        <v>28</v>
      </c>
      <c r="B202" s="499" t="str">
        <f t="shared" si="11"/>
        <v>MOYENNE GE2.1</v>
      </c>
      <c r="C202" s="289"/>
      <c r="D202" s="289"/>
      <c r="E202" s="289"/>
      <c r="F202" s="289"/>
      <c r="G202" s="289"/>
      <c r="H202" s="289"/>
      <c r="I202" s="289"/>
      <c r="J202" s="289"/>
      <c r="K202" s="289"/>
      <c r="L202" s="289"/>
      <c r="M202" s="289"/>
      <c r="N202" s="289"/>
      <c r="O202" s="289"/>
      <c r="P202" s="289"/>
      <c r="Q202" s="289"/>
      <c r="R202" s="289"/>
      <c r="S202" s="289"/>
      <c r="T202" s="289"/>
      <c r="U202" s="289"/>
      <c r="V202" s="289">
        <v>0.50619280636733799</v>
      </c>
      <c r="W202" s="289">
        <v>0.50980544384676274</v>
      </c>
      <c r="X202" s="289">
        <v>0.47680735304587701</v>
      </c>
      <c r="Y202" s="289">
        <v>0.40995479937228751</v>
      </c>
      <c r="Z202" s="289"/>
      <c r="AA202" s="289"/>
      <c r="AB202" s="289"/>
      <c r="AC202" s="289"/>
      <c r="AD202" s="289"/>
      <c r="AE202" s="289"/>
      <c r="AF202" s="289"/>
      <c r="AG202" s="289"/>
      <c r="AH202" s="289"/>
      <c r="AI202" s="289"/>
      <c r="AJ202" s="289"/>
      <c r="AK202" s="289"/>
      <c r="AL202" s="289"/>
      <c r="AM202" s="289"/>
      <c r="AN202" s="289"/>
      <c r="AO202" s="289"/>
      <c r="AP202" s="289"/>
      <c r="AQ202" s="289"/>
      <c r="AR202" s="289"/>
      <c r="AS202" s="289"/>
      <c r="AT202" s="289"/>
      <c r="AU202" s="289"/>
      <c r="AV202" s="289"/>
      <c r="AW202" s="289"/>
      <c r="AX202" s="289"/>
      <c r="AY202" s="289"/>
      <c r="AZ202" s="289"/>
      <c r="BA202" s="289"/>
      <c r="BB202" s="289"/>
      <c r="BC202" s="289"/>
    </row>
    <row r="203" spans="1:55" x14ac:dyDescent="0.25">
      <c r="A203" s="174">
        <v>29</v>
      </c>
      <c r="B203" s="68" t="str">
        <f t="shared" ref="B203:B216" si="12">B148</f>
        <v>GE2.2 - 271 - T3 - 74m²</v>
      </c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>
        <v>0.73153153153153105</v>
      </c>
      <c r="W203" s="288">
        <v>1.0972972972972976</v>
      </c>
      <c r="X203" s="288">
        <v>0.54864864864864771</v>
      </c>
      <c r="Y203" s="288">
        <v>0.73153153153153105</v>
      </c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288"/>
      <c r="AJ203" s="288"/>
      <c r="AK203" s="288"/>
      <c r="AL203" s="288"/>
      <c r="AM203" s="288"/>
      <c r="AN203" s="288"/>
      <c r="AO203" s="288"/>
      <c r="AP203" s="288"/>
      <c r="AQ203" s="288"/>
      <c r="AR203" s="288"/>
      <c r="AS203" s="288"/>
      <c r="AT203" s="288"/>
      <c r="AU203" s="288"/>
      <c r="AV203" s="288"/>
      <c r="AW203" s="288"/>
      <c r="AX203" s="288"/>
      <c r="AY203" s="288"/>
      <c r="AZ203" s="288"/>
      <c r="BA203" s="288"/>
      <c r="BB203" s="288"/>
      <c r="BC203" s="288"/>
    </row>
    <row r="204" spans="1:55" x14ac:dyDescent="0.25">
      <c r="A204" s="174">
        <v>30</v>
      </c>
      <c r="B204" s="68" t="str">
        <f t="shared" si="12"/>
        <v>GE2.2 - 272 - T3 - 74m²</v>
      </c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88"/>
      <c r="P204" s="288"/>
      <c r="Q204" s="288"/>
      <c r="R204" s="288"/>
      <c r="S204" s="288"/>
      <c r="T204" s="288"/>
      <c r="U204" s="288"/>
      <c r="V204" s="288">
        <v>6.0960960960961007E-2</v>
      </c>
      <c r="W204" s="288">
        <v>-0.18288288288288276</v>
      </c>
      <c r="X204" s="288">
        <v>0.12192192192192175</v>
      </c>
      <c r="Y204" s="288">
        <v>6.0960960960961007E-2</v>
      </c>
      <c r="Z204" s="288"/>
      <c r="AA204" s="288"/>
      <c r="AB204" s="288"/>
      <c r="AC204" s="288"/>
      <c r="AD204" s="288"/>
      <c r="AE204" s="288"/>
      <c r="AF204" s="288"/>
      <c r="AG204" s="288"/>
      <c r="AH204" s="288"/>
      <c r="AI204" s="288"/>
      <c r="AJ204" s="288"/>
      <c r="AK204" s="288"/>
      <c r="AL204" s="288"/>
      <c r="AM204" s="288"/>
      <c r="AN204" s="288"/>
      <c r="AO204" s="288"/>
      <c r="AP204" s="288"/>
      <c r="AQ204" s="288"/>
      <c r="AR204" s="288"/>
      <c r="AS204" s="288"/>
      <c r="AT204" s="288"/>
      <c r="AU204" s="288"/>
      <c r="AV204" s="288"/>
      <c r="AW204" s="288"/>
      <c r="AX204" s="288"/>
      <c r="AY204" s="288"/>
      <c r="AZ204" s="288"/>
      <c r="BA204" s="288"/>
      <c r="BB204" s="288"/>
      <c r="BC204" s="288"/>
    </row>
    <row r="205" spans="1:55" x14ac:dyDescent="0.25">
      <c r="A205" s="174">
        <v>31</v>
      </c>
      <c r="B205" s="68" t="str">
        <f t="shared" si="12"/>
        <v>GE2.2 - 273 - T3 - 74m²</v>
      </c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>
        <v>0.48768768768768594</v>
      </c>
      <c r="W205" s="288">
        <v>0.54864864864864771</v>
      </c>
      <c r="X205" s="288">
        <v>0.54864864864864993</v>
      </c>
      <c r="Y205" s="288">
        <v>0.54864864864864771</v>
      </c>
      <c r="Z205" s="288"/>
      <c r="AA205" s="288"/>
      <c r="AB205" s="288"/>
      <c r="AC205" s="288"/>
      <c r="AD205" s="288"/>
      <c r="AE205" s="288"/>
      <c r="AF205" s="288"/>
      <c r="AG205" s="288"/>
      <c r="AH205" s="288"/>
      <c r="AI205" s="288"/>
      <c r="AJ205" s="288"/>
      <c r="AK205" s="288"/>
      <c r="AL205" s="288"/>
      <c r="AM205" s="288"/>
      <c r="AN205" s="288"/>
      <c r="AO205" s="288"/>
      <c r="AP205" s="288"/>
      <c r="AQ205" s="288"/>
      <c r="AR205" s="288"/>
      <c r="AS205" s="288"/>
      <c r="AT205" s="288"/>
      <c r="AU205" s="288"/>
      <c r="AV205" s="288"/>
      <c r="AW205" s="288"/>
      <c r="AX205" s="288"/>
      <c r="AY205" s="288"/>
      <c r="AZ205" s="288"/>
      <c r="BA205" s="288"/>
      <c r="BB205" s="288"/>
      <c r="BC205" s="288"/>
    </row>
    <row r="206" spans="1:55" x14ac:dyDescent="0.25">
      <c r="A206" s="174">
        <v>32</v>
      </c>
      <c r="B206" s="68" t="str">
        <f t="shared" si="12"/>
        <v>GE2.2 - 276 - T4 - 83m²</v>
      </c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>
        <v>0.43480589022757732</v>
      </c>
      <c r="W206" s="288">
        <v>0.48915662650602326</v>
      </c>
      <c r="X206" s="288">
        <v>0.43480589022757732</v>
      </c>
      <c r="Y206" s="288">
        <v>0.38045515394912943</v>
      </c>
      <c r="Z206" s="288"/>
      <c r="AA206" s="288"/>
      <c r="AB206" s="288"/>
      <c r="AC206" s="288"/>
      <c r="AD206" s="288"/>
      <c r="AE206" s="288"/>
      <c r="AF206" s="288"/>
      <c r="AG206" s="288"/>
      <c r="AH206" s="288"/>
      <c r="AI206" s="288"/>
      <c r="AJ206" s="288"/>
      <c r="AK206" s="288"/>
      <c r="AL206" s="288"/>
      <c r="AM206" s="288"/>
      <c r="AN206" s="288"/>
      <c r="AO206" s="288"/>
      <c r="AP206" s="288"/>
      <c r="AQ206" s="288"/>
      <c r="AR206" s="288"/>
      <c r="AS206" s="288"/>
      <c r="AT206" s="288"/>
      <c r="AU206" s="288"/>
      <c r="AV206" s="288"/>
      <c r="AW206" s="288"/>
      <c r="AX206" s="288"/>
      <c r="AY206" s="288"/>
      <c r="AZ206" s="288"/>
      <c r="BA206" s="288"/>
      <c r="BB206" s="288"/>
      <c r="BC206" s="288"/>
    </row>
    <row r="207" spans="1:55" x14ac:dyDescent="0.25">
      <c r="A207" s="174">
        <v>33</v>
      </c>
      <c r="B207" s="68" t="str">
        <f t="shared" si="12"/>
        <v>GE2.2 - 279 - T3 - 70m²</v>
      </c>
      <c r="C207" s="288"/>
      <c r="D207" s="288"/>
      <c r="E207" s="288"/>
      <c r="F207" s="288"/>
      <c r="G207" s="288"/>
      <c r="H207" s="288"/>
      <c r="I207" s="288"/>
      <c r="J207" s="288"/>
      <c r="K207" s="288"/>
      <c r="L207" s="288"/>
      <c r="M207" s="288"/>
      <c r="N207" s="288"/>
      <c r="O207" s="288"/>
      <c r="P207" s="288"/>
      <c r="Q207" s="288"/>
      <c r="R207" s="288"/>
      <c r="S207" s="288"/>
      <c r="T207" s="288"/>
      <c r="U207" s="288"/>
      <c r="V207" s="288">
        <v>0.45111111111111063</v>
      </c>
      <c r="W207" s="288">
        <v>0.45111111111111063</v>
      </c>
      <c r="X207" s="288">
        <v>0.38666666666666755</v>
      </c>
      <c r="Y207" s="288">
        <v>0.57999999999999896</v>
      </c>
      <c r="Z207" s="288"/>
      <c r="AA207" s="288"/>
      <c r="AB207" s="288"/>
      <c r="AC207" s="288"/>
      <c r="AD207" s="288"/>
      <c r="AE207" s="288"/>
      <c r="AF207" s="288"/>
      <c r="AG207" s="288"/>
      <c r="AH207" s="288"/>
      <c r="AI207" s="288"/>
      <c r="AJ207" s="288"/>
      <c r="AK207" s="288"/>
      <c r="AL207" s="288"/>
      <c r="AM207" s="288"/>
      <c r="AN207" s="288"/>
      <c r="AO207" s="288"/>
      <c r="AP207" s="288"/>
      <c r="AQ207" s="288"/>
      <c r="AR207" s="288"/>
      <c r="AS207" s="288"/>
      <c r="AT207" s="288"/>
      <c r="AU207" s="288"/>
      <c r="AV207" s="288"/>
      <c r="AW207" s="288"/>
      <c r="AX207" s="288"/>
      <c r="AY207" s="288"/>
      <c r="AZ207" s="288"/>
      <c r="BA207" s="288"/>
      <c r="BB207" s="288"/>
      <c r="BC207" s="288"/>
    </row>
    <row r="208" spans="1:55" x14ac:dyDescent="0.25">
      <c r="A208" s="174">
        <v>34</v>
      </c>
      <c r="B208" s="68" t="str">
        <f t="shared" si="12"/>
        <v>GE2.2 - 288 - T3 - 68m²</v>
      </c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  <c r="T208" s="288"/>
      <c r="U208" s="288"/>
      <c r="V208" s="288">
        <v>6.6339869281045807E-2</v>
      </c>
      <c r="W208" s="288">
        <v>0.39803921568627454</v>
      </c>
      <c r="X208" s="288">
        <v>6.6339869281045807E-2</v>
      </c>
      <c r="Y208" s="288">
        <v>6.6339869281045516E-2</v>
      </c>
      <c r="Z208" s="288"/>
      <c r="AA208" s="288"/>
      <c r="AB208" s="288"/>
      <c r="AC208" s="288"/>
      <c r="AD208" s="288"/>
      <c r="AE208" s="288"/>
      <c r="AF208" s="288"/>
      <c r="AG208" s="288"/>
      <c r="AH208" s="288"/>
      <c r="AI208" s="288"/>
      <c r="AJ208" s="288"/>
      <c r="AK208" s="288"/>
      <c r="AL208" s="288"/>
      <c r="AM208" s="288"/>
      <c r="AN208" s="288"/>
      <c r="AO208" s="288"/>
      <c r="AP208" s="288"/>
      <c r="AQ208" s="288"/>
      <c r="AR208" s="288"/>
      <c r="AS208" s="288"/>
      <c r="AT208" s="288"/>
      <c r="AU208" s="288"/>
      <c r="AV208" s="288"/>
      <c r="AW208" s="288"/>
      <c r="AX208" s="288"/>
      <c r="AY208" s="288"/>
      <c r="AZ208" s="288"/>
      <c r="BA208" s="288"/>
      <c r="BB208" s="288"/>
      <c r="BC208" s="288"/>
    </row>
    <row r="209" spans="1:55" x14ac:dyDescent="0.25">
      <c r="A209" s="174">
        <v>35</v>
      </c>
      <c r="B209" s="430" t="str">
        <f t="shared" si="12"/>
        <v>GE2.2 - 291 - T3 - 62m²</v>
      </c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88"/>
      <c r="P209" s="288"/>
      <c r="Q209" s="288"/>
      <c r="R209" s="288"/>
      <c r="S209" s="288"/>
      <c r="T209" s="288"/>
      <c r="U209" s="288"/>
      <c r="V209" s="288">
        <v>0</v>
      </c>
      <c r="W209" s="288">
        <v>0</v>
      </c>
      <c r="X209" s="288">
        <v>0</v>
      </c>
      <c r="Y209" s="288">
        <v>0</v>
      </c>
      <c r="Z209" s="288"/>
      <c r="AA209" s="288"/>
      <c r="AB209" s="288"/>
      <c r="AC209" s="288"/>
      <c r="AD209" s="288"/>
      <c r="AE209" s="288"/>
      <c r="AF209" s="288"/>
      <c r="AG209" s="288"/>
      <c r="AH209" s="288"/>
      <c r="AI209" s="288"/>
      <c r="AJ209" s="288"/>
      <c r="AK209" s="288"/>
      <c r="AL209" s="288"/>
      <c r="AM209" s="288"/>
      <c r="AN209" s="288"/>
      <c r="AO209" s="288"/>
      <c r="AP209" s="288"/>
      <c r="AQ209" s="288"/>
      <c r="AR209" s="288"/>
      <c r="AS209" s="288"/>
      <c r="AT209" s="288"/>
      <c r="AU209" s="288"/>
      <c r="AV209" s="288"/>
      <c r="AW209" s="288"/>
      <c r="AX209" s="288"/>
      <c r="AY209" s="288"/>
      <c r="AZ209" s="288"/>
      <c r="BA209" s="288"/>
      <c r="BB209" s="288"/>
      <c r="BC209" s="288"/>
    </row>
    <row r="210" spans="1:55" x14ac:dyDescent="0.25">
      <c r="A210" s="174">
        <v>36</v>
      </c>
      <c r="B210" s="68" t="str">
        <f t="shared" si="12"/>
        <v>GE2.2 - 294 - T3 - 63m²</v>
      </c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>
        <v>0</v>
      </c>
      <c r="W210" s="288">
        <v>7.160493827160469E-2</v>
      </c>
      <c r="X210" s="288">
        <v>7.160493827160469E-2</v>
      </c>
      <c r="Y210" s="288">
        <v>0.28641975308641998</v>
      </c>
      <c r="Z210" s="288"/>
      <c r="AA210" s="288"/>
      <c r="AB210" s="288"/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8"/>
      <c r="AQ210" s="288"/>
      <c r="AR210" s="288"/>
      <c r="AS210" s="288"/>
      <c r="AT210" s="288"/>
      <c r="AU210" s="288"/>
      <c r="AV210" s="288"/>
      <c r="AW210" s="288"/>
      <c r="AX210" s="288"/>
      <c r="AY210" s="288"/>
      <c r="AZ210" s="288"/>
      <c r="BA210" s="288"/>
      <c r="BB210" s="288"/>
      <c r="BC210" s="288"/>
    </row>
    <row r="211" spans="1:55" x14ac:dyDescent="0.25">
      <c r="A211" s="174">
        <v>37</v>
      </c>
      <c r="B211" s="68" t="str">
        <f t="shared" si="12"/>
        <v>GE2.2 - 298 - T5 - 93m²</v>
      </c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>
        <v>0.97013142174432487</v>
      </c>
      <c r="W211" s="288">
        <v>0.6790919952210267</v>
      </c>
      <c r="X211" s="288">
        <v>0.87311827956989452</v>
      </c>
      <c r="Y211" s="288">
        <v>0.6305854241338098</v>
      </c>
      <c r="Z211" s="288"/>
      <c r="AA211" s="288"/>
      <c r="AB211" s="288"/>
      <c r="AC211" s="288"/>
      <c r="AD211" s="288"/>
      <c r="AE211" s="288"/>
      <c r="AF211" s="288"/>
      <c r="AG211" s="288"/>
      <c r="AH211" s="288"/>
      <c r="AI211" s="288"/>
      <c r="AJ211" s="288"/>
      <c r="AK211" s="288"/>
      <c r="AL211" s="288"/>
      <c r="AM211" s="288"/>
      <c r="AN211" s="288"/>
      <c r="AO211" s="288"/>
      <c r="AP211" s="288"/>
      <c r="AQ211" s="288"/>
      <c r="AR211" s="288"/>
      <c r="AS211" s="288"/>
      <c r="AT211" s="288"/>
      <c r="AU211" s="288"/>
      <c r="AV211" s="288"/>
      <c r="AW211" s="288"/>
      <c r="AX211" s="288"/>
      <c r="AY211" s="288"/>
      <c r="AZ211" s="288"/>
      <c r="BA211" s="288"/>
      <c r="BB211" s="288"/>
      <c r="BC211" s="288"/>
    </row>
    <row r="212" spans="1:55" x14ac:dyDescent="0.25">
      <c r="A212" s="174">
        <v>38</v>
      </c>
      <c r="B212" s="68" t="str">
        <f t="shared" si="12"/>
        <v>GE2.2 - 301 - T4 - 79m²</v>
      </c>
      <c r="C212" s="288"/>
      <c r="D212" s="288"/>
      <c r="E212" s="288"/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  <c r="T212" s="288"/>
      <c r="U212" s="288"/>
      <c r="V212" s="288">
        <v>0.3997187060478205</v>
      </c>
      <c r="W212" s="288">
        <v>0.1713080168776375</v>
      </c>
      <c r="X212" s="288">
        <v>0.45682137834036601</v>
      </c>
      <c r="Y212" s="288">
        <v>0.28551336146272854</v>
      </c>
      <c r="Z212" s="288"/>
      <c r="AA212" s="288"/>
      <c r="AB212" s="288"/>
      <c r="AC212" s="288"/>
      <c r="AD212" s="288"/>
      <c r="AE212" s="288"/>
      <c r="AF212" s="288"/>
      <c r="AG212" s="288"/>
      <c r="AH212" s="288"/>
      <c r="AI212" s="288"/>
      <c r="AJ212" s="288"/>
      <c r="AK212" s="288"/>
      <c r="AL212" s="288"/>
      <c r="AM212" s="288"/>
      <c r="AN212" s="288"/>
      <c r="AO212" s="288"/>
      <c r="AP212" s="288"/>
      <c r="AQ212" s="288"/>
      <c r="AR212" s="288"/>
      <c r="AS212" s="288"/>
      <c r="AT212" s="288"/>
      <c r="AU212" s="288"/>
      <c r="AV212" s="288"/>
      <c r="AW212" s="288"/>
      <c r="AX212" s="288"/>
      <c r="AY212" s="288"/>
      <c r="AZ212" s="288"/>
      <c r="BA212" s="288"/>
      <c r="BB212" s="288"/>
      <c r="BC212" s="288"/>
    </row>
    <row r="213" spans="1:55" x14ac:dyDescent="0.25">
      <c r="A213" s="174">
        <v>39</v>
      </c>
      <c r="B213" s="68" t="str">
        <f t="shared" si="12"/>
        <v>GE2.2 - 311 - T4 - 74m²</v>
      </c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88"/>
      <c r="P213" s="288"/>
      <c r="Q213" s="288"/>
      <c r="R213" s="288"/>
      <c r="S213" s="288"/>
      <c r="T213" s="288"/>
      <c r="U213" s="288"/>
      <c r="V213" s="288">
        <v>0.54864864864864771</v>
      </c>
      <c r="W213" s="288">
        <v>0.42672672672672629</v>
      </c>
      <c r="X213" s="288">
        <v>0.48768768768768805</v>
      </c>
      <c r="Y213" s="288">
        <v>0.48768768768768805</v>
      </c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288"/>
      <c r="AJ213" s="288"/>
      <c r="AK213" s="288"/>
      <c r="AL213" s="288"/>
      <c r="AM213" s="288"/>
      <c r="AN213" s="288"/>
      <c r="AO213" s="288"/>
      <c r="AP213" s="288"/>
      <c r="AQ213" s="288"/>
      <c r="AR213" s="288"/>
      <c r="AS213" s="288"/>
      <c r="AT213" s="288"/>
      <c r="AU213" s="288"/>
      <c r="AV213" s="288"/>
      <c r="AW213" s="288"/>
      <c r="AX213" s="288"/>
      <c r="AY213" s="288"/>
      <c r="AZ213" s="288"/>
      <c r="BA213" s="288"/>
      <c r="BB213" s="288"/>
      <c r="BC213" s="288"/>
    </row>
    <row r="214" spans="1:55" x14ac:dyDescent="0.25">
      <c r="A214" s="174">
        <v>40</v>
      </c>
      <c r="B214" s="68" t="str">
        <f t="shared" si="12"/>
        <v>GE2.2 - 313 - T4 - 75m²</v>
      </c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88"/>
      <c r="P214" s="288"/>
      <c r="Q214" s="288"/>
      <c r="R214" s="288"/>
      <c r="S214" s="288"/>
      <c r="T214" s="288"/>
      <c r="U214" s="288"/>
      <c r="V214" s="288">
        <v>0.3608888888888897</v>
      </c>
      <c r="W214" s="288">
        <v>0.54133333333333356</v>
      </c>
      <c r="X214" s="288">
        <v>0.24059259259259277</v>
      </c>
      <c r="Y214" s="288">
        <v>0.24059259259259175</v>
      </c>
      <c r="Z214" s="288"/>
      <c r="AA214" s="288"/>
      <c r="AB214" s="288"/>
      <c r="AC214" s="288"/>
      <c r="AD214" s="288"/>
      <c r="AE214" s="288"/>
      <c r="AF214" s="288"/>
      <c r="AG214" s="288"/>
      <c r="AH214" s="288"/>
      <c r="AI214" s="288"/>
      <c r="AJ214" s="288"/>
      <c r="AK214" s="288"/>
      <c r="AL214" s="288"/>
      <c r="AM214" s="288"/>
      <c r="AN214" s="288"/>
      <c r="AO214" s="288"/>
      <c r="AP214" s="288"/>
      <c r="AQ214" s="288"/>
      <c r="AR214" s="288"/>
      <c r="AS214" s="288"/>
      <c r="AT214" s="288"/>
      <c r="AU214" s="288"/>
      <c r="AV214" s="288"/>
      <c r="AW214" s="288"/>
      <c r="AX214" s="288"/>
      <c r="AY214" s="288"/>
      <c r="AZ214" s="288"/>
      <c r="BA214" s="288"/>
      <c r="BB214" s="288"/>
      <c r="BC214" s="288"/>
    </row>
    <row r="215" spans="1:55" x14ac:dyDescent="0.25">
      <c r="A215" s="174">
        <v>41</v>
      </c>
      <c r="B215" s="68" t="str">
        <f t="shared" si="12"/>
        <v>GE2.2 - 315 - T4 - 75m²</v>
      </c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>
        <v>0.60148148148148139</v>
      </c>
      <c r="W215" s="288">
        <v>1.0826666666666671</v>
      </c>
      <c r="X215" s="288">
        <v>0.8420740740740732</v>
      </c>
      <c r="Y215" s="288">
        <v>0.60148148148148139</v>
      </c>
      <c r="Z215" s="288"/>
      <c r="AA215" s="288"/>
      <c r="AB215" s="288"/>
      <c r="AC215" s="288"/>
      <c r="AD215" s="288"/>
      <c r="AE215" s="288"/>
      <c r="AF215" s="288"/>
      <c r="AG215" s="288"/>
      <c r="AH215" s="288"/>
      <c r="AI215" s="288"/>
      <c r="AJ215" s="288"/>
      <c r="AK215" s="288"/>
      <c r="AL215" s="288"/>
      <c r="AM215" s="288"/>
      <c r="AN215" s="288"/>
      <c r="AO215" s="288"/>
      <c r="AP215" s="288"/>
      <c r="AQ215" s="288"/>
      <c r="AR215" s="288"/>
      <c r="AS215" s="288"/>
      <c r="AT215" s="288"/>
      <c r="AU215" s="288"/>
      <c r="AV215" s="288"/>
      <c r="AW215" s="288"/>
      <c r="AX215" s="288"/>
      <c r="AY215" s="288"/>
      <c r="AZ215" s="288"/>
      <c r="BA215" s="288"/>
      <c r="BB215" s="288"/>
      <c r="BC215" s="288"/>
    </row>
    <row r="216" spans="1:55" x14ac:dyDescent="0.25">
      <c r="A216" s="174">
        <v>42</v>
      </c>
      <c r="B216" s="499" t="str">
        <f t="shared" si="12"/>
        <v>MOYENNE GE2.2</v>
      </c>
      <c r="C216" s="289"/>
      <c r="D216" s="289"/>
      <c r="E216" s="289"/>
      <c r="F216" s="289"/>
      <c r="G216" s="289"/>
      <c r="H216" s="289"/>
      <c r="I216" s="289"/>
      <c r="J216" s="289"/>
      <c r="K216" s="289"/>
      <c r="L216" s="289"/>
      <c r="M216" s="289"/>
      <c r="N216" s="289"/>
      <c r="O216" s="289"/>
      <c r="P216" s="289"/>
      <c r="Q216" s="289"/>
      <c r="R216" s="289"/>
      <c r="S216" s="289"/>
      <c r="T216" s="289"/>
      <c r="U216" s="289"/>
      <c r="V216" s="289">
        <v>0.39333124597008273</v>
      </c>
      <c r="W216" s="289">
        <v>0.44416166872795892</v>
      </c>
      <c r="X216" s="289">
        <v>0.3906869689177484</v>
      </c>
      <c r="Y216" s="289">
        <v>0.37693972806277171</v>
      </c>
      <c r="Z216" s="289"/>
      <c r="AA216" s="289"/>
      <c r="AB216" s="289"/>
      <c r="AC216" s="289"/>
      <c r="AD216" s="289"/>
      <c r="AE216" s="289"/>
      <c r="AF216" s="289"/>
      <c r="AG216" s="289"/>
      <c r="AH216" s="289"/>
      <c r="AI216" s="289"/>
      <c r="AJ216" s="289"/>
      <c r="AK216" s="289"/>
      <c r="AL216" s="289"/>
      <c r="AM216" s="289"/>
      <c r="AN216" s="289"/>
      <c r="AO216" s="289"/>
      <c r="AP216" s="289"/>
      <c r="AQ216" s="289"/>
      <c r="AR216" s="289"/>
      <c r="AS216" s="289"/>
      <c r="AT216" s="289"/>
      <c r="AU216" s="289"/>
      <c r="AV216" s="289"/>
      <c r="AW216" s="289"/>
      <c r="AX216" s="289"/>
      <c r="AY216" s="289"/>
      <c r="AZ216" s="289"/>
      <c r="BA216" s="289"/>
      <c r="BB216" s="289"/>
      <c r="BC216" s="289"/>
    </row>
    <row r="217" spans="1:55" x14ac:dyDescent="0.25">
      <c r="A217" s="174">
        <v>43</v>
      </c>
      <c r="B217" s="68" t="str">
        <f t="shared" ref="B217:B223" si="13">B162</f>
        <v>SO - 284 - T - 64m²</v>
      </c>
      <c r="C217" s="288"/>
      <c r="D217" s="288"/>
      <c r="E217" s="288"/>
      <c r="F217" s="288"/>
      <c r="G217" s="288"/>
      <c r="H217" s="288"/>
      <c r="I217" s="288"/>
      <c r="J217" s="288"/>
      <c r="K217" s="288"/>
      <c r="L217" s="288"/>
      <c r="M217" s="288"/>
      <c r="N217" s="288"/>
      <c r="O217" s="288"/>
      <c r="P217" s="288"/>
      <c r="Q217" s="288"/>
      <c r="R217" s="288"/>
      <c r="S217" s="288"/>
      <c r="T217" s="288"/>
      <c r="U217" s="288"/>
      <c r="V217" s="288">
        <v>0</v>
      </c>
      <c r="W217" s="288">
        <v>0.14097222222222217</v>
      </c>
      <c r="X217" s="288">
        <v>0</v>
      </c>
      <c r="Y217" s="288">
        <v>0</v>
      </c>
      <c r="Z217" s="288"/>
      <c r="AA217" s="288"/>
      <c r="AB217" s="288"/>
      <c r="AC217" s="288"/>
      <c r="AD217" s="288"/>
      <c r="AE217" s="288"/>
      <c r="AF217" s="288"/>
      <c r="AG217" s="288"/>
      <c r="AH217" s="288"/>
      <c r="AI217" s="288"/>
      <c r="AJ217" s="288"/>
      <c r="AK217" s="288"/>
      <c r="AL217" s="288"/>
      <c r="AM217" s="288"/>
      <c r="AN217" s="288"/>
      <c r="AO217" s="288"/>
      <c r="AP217" s="288"/>
      <c r="AQ217" s="288"/>
      <c r="AR217" s="288"/>
      <c r="AS217" s="288"/>
      <c r="AT217" s="288"/>
      <c r="AU217" s="288"/>
      <c r="AV217" s="288"/>
      <c r="AW217" s="288"/>
      <c r="AX217" s="288"/>
      <c r="AY217" s="288"/>
      <c r="AZ217" s="288"/>
      <c r="BA217" s="288"/>
      <c r="BB217" s="288"/>
      <c r="BC217" s="288"/>
    </row>
    <row r="218" spans="1:55" x14ac:dyDescent="0.25">
      <c r="A218" s="174">
        <v>44</v>
      </c>
      <c r="B218" s="68" t="str">
        <f t="shared" si="13"/>
        <v>SO - 287 - T - 81m²</v>
      </c>
      <c r="C218" s="288"/>
      <c r="D218" s="288"/>
      <c r="E218" s="288"/>
      <c r="F218" s="288"/>
      <c r="G218" s="288"/>
      <c r="H218" s="288"/>
      <c r="I218" s="288"/>
      <c r="J218" s="288"/>
      <c r="K218" s="288"/>
      <c r="L218" s="288"/>
      <c r="M218" s="288"/>
      <c r="N218" s="288"/>
      <c r="O218" s="288"/>
      <c r="P218" s="288"/>
      <c r="Q218" s="288"/>
      <c r="R218" s="288"/>
      <c r="S218" s="288"/>
      <c r="T218" s="288"/>
      <c r="U218" s="288"/>
      <c r="V218" s="288">
        <v>0.11138545953360729</v>
      </c>
      <c r="W218" s="288">
        <v>-5.5692729766803645E-2</v>
      </c>
      <c r="X218" s="288">
        <v>0.16707818930041091</v>
      </c>
      <c r="Y218" s="288">
        <v>0.16707818930041191</v>
      </c>
      <c r="Z218" s="288"/>
      <c r="AA218" s="288"/>
      <c r="AB218" s="288"/>
      <c r="AC218" s="288"/>
      <c r="AD218" s="288"/>
      <c r="AE218" s="288"/>
      <c r="AF218" s="288"/>
      <c r="AG218" s="288"/>
      <c r="AH218" s="288"/>
      <c r="AI218" s="288"/>
      <c r="AJ218" s="288"/>
      <c r="AK218" s="288"/>
      <c r="AL218" s="288"/>
      <c r="AM218" s="288"/>
      <c r="AN218" s="288"/>
      <c r="AO218" s="288"/>
      <c r="AP218" s="288"/>
      <c r="AQ218" s="288"/>
      <c r="AR218" s="288"/>
      <c r="AS218" s="288"/>
      <c r="AT218" s="288"/>
      <c r="AU218" s="288"/>
      <c r="AV218" s="288"/>
      <c r="AW218" s="288"/>
      <c r="AX218" s="288"/>
      <c r="AY218" s="288"/>
      <c r="AZ218" s="288"/>
      <c r="BA218" s="288"/>
      <c r="BB218" s="288"/>
      <c r="BC218" s="288"/>
    </row>
    <row r="219" spans="1:55" x14ac:dyDescent="0.25">
      <c r="A219" s="174">
        <v>45</v>
      </c>
      <c r="B219" s="430" t="str">
        <f t="shared" si="13"/>
        <v>SO - 290 - T - 40m²</v>
      </c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88"/>
      <c r="P219" s="288"/>
      <c r="Q219" s="288"/>
      <c r="R219" s="288"/>
      <c r="S219" s="288"/>
      <c r="T219" s="288"/>
      <c r="U219" s="288"/>
      <c r="V219" s="288">
        <v>0</v>
      </c>
      <c r="W219" s="288">
        <v>0</v>
      </c>
      <c r="X219" s="288">
        <v>0</v>
      </c>
      <c r="Y219" s="288">
        <v>0</v>
      </c>
      <c r="Z219" s="288"/>
      <c r="AA219" s="288"/>
      <c r="AB219" s="288"/>
      <c r="AC219" s="288"/>
      <c r="AD219" s="288"/>
      <c r="AE219" s="288"/>
      <c r="AF219" s="288"/>
      <c r="AG219" s="288"/>
      <c r="AH219" s="288"/>
      <c r="AI219" s="288"/>
      <c r="AJ219" s="288"/>
      <c r="AK219" s="288"/>
      <c r="AL219" s="288"/>
      <c r="AM219" s="288"/>
      <c r="AN219" s="288"/>
      <c r="AO219" s="288"/>
      <c r="AP219" s="288"/>
      <c r="AQ219" s="288"/>
      <c r="AR219" s="288"/>
      <c r="AS219" s="288"/>
      <c r="AT219" s="288"/>
      <c r="AU219" s="288"/>
      <c r="AV219" s="288"/>
      <c r="AW219" s="288"/>
      <c r="AX219" s="288"/>
      <c r="AY219" s="288"/>
      <c r="AZ219" s="288"/>
      <c r="BA219" s="288"/>
      <c r="BB219" s="288"/>
      <c r="BC219" s="288"/>
    </row>
    <row r="220" spans="1:55" x14ac:dyDescent="0.25">
      <c r="A220" s="174">
        <v>46</v>
      </c>
      <c r="B220" s="430" t="str">
        <f t="shared" si="13"/>
        <v>SO - 305 - T - 66m²</v>
      </c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88"/>
      <c r="P220" s="288"/>
      <c r="Q220" s="288"/>
      <c r="R220" s="288"/>
      <c r="S220" s="288"/>
      <c r="T220" s="288"/>
      <c r="U220" s="288"/>
      <c r="V220" s="288">
        <v>0</v>
      </c>
      <c r="W220" s="288">
        <v>0</v>
      </c>
      <c r="X220" s="288">
        <v>0</v>
      </c>
      <c r="Y220" s="288">
        <v>0</v>
      </c>
      <c r="Z220" s="288"/>
      <c r="AA220" s="288"/>
      <c r="AB220" s="288"/>
      <c r="AC220" s="288"/>
      <c r="AD220" s="288"/>
      <c r="AE220" s="288"/>
      <c r="AF220" s="288"/>
      <c r="AG220" s="288"/>
      <c r="AH220" s="288"/>
      <c r="AI220" s="288"/>
      <c r="AJ220" s="288"/>
      <c r="AK220" s="288"/>
      <c r="AL220" s="288"/>
      <c r="AM220" s="288"/>
      <c r="AN220" s="288"/>
      <c r="AO220" s="288"/>
      <c r="AP220" s="288"/>
      <c r="AQ220" s="288"/>
      <c r="AR220" s="288"/>
      <c r="AS220" s="288"/>
      <c r="AT220" s="288"/>
      <c r="AU220" s="288"/>
      <c r="AV220" s="288"/>
      <c r="AW220" s="288"/>
      <c r="AX220" s="288"/>
      <c r="AY220" s="288"/>
      <c r="AZ220" s="288"/>
      <c r="BA220" s="288"/>
      <c r="BB220" s="288"/>
      <c r="BC220" s="288"/>
    </row>
    <row r="221" spans="1:55" x14ac:dyDescent="0.25">
      <c r="A221" s="174">
        <v>47</v>
      </c>
      <c r="B221" s="68" t="str">
        <f t="shared" si="13"/>
        <v>SO - 309 - T - 66m²</v>
      </c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>
        <v>0.41010101010101102</v>
      </c>
      <c r="W221" s="288">
        <v>0.13670033670033621</v>
      </c>
      <c r="X221" s="288">
        <v>0.34175084175084169</v>
      </c>
      <c r="Y221" s="288">
        <v>0.34175084175084169</v>
      </c>
      <c r="Z221" s="288"/>
      <c r="AA221" s="288"/>
      <c r="AB221" s="288"/>
      <c r="AC221" s="288"/>
      <c r="AD221" s="288"/>
      <c r="AE221" s="288"/>
      <c r="AF221" s="288"/>
      <c r="AG221" s="288"/>
      <c r="AH221" s="288"/>
      <c r="AI221" s="288"/>
      <c r="AJ221" s="288"/>
      <c r="AK221" s="288"/>
      <c r="AL221" s="288"/>
      <c r="AM221" s="288"/>
      <c r="AN221" s="288"/>
      <c r="AO221" s="288"/>
      <c r="AP221" s="288"/>
      <c r="AQ221" s="288"/>
      <c r="AR221" s="288"/>
      <c r="AS221" s="288"/>
      <c r="AT221" s="288"/>
      <c r="AU221" s="288"/>
      <c r="AV221" s="288"/>
      <c r="AW221" s="288"/>
      <c r="AX221" s="288"/>
      <c r="AY221" s="288"/>
      <c r="AZ221" s="288"/>
      <c r="BA221" s="288"/>
      <c r="BB221" s="288"/>
      <c r="BC221" s="288"/>
    </row>
    <row r="222" spans="1:55" x14ac:dyDescent="0.25">
      <c r="A222" s="174">
        <v>48</v>
      </c>
      <c r="B222" s="68" t="str">
        <f t="shared" si="13"/>
        <v>SO - 310 - T - 54m²</v>
      </c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>
        <v>0.25061728395061711</v>
      </c>
      <c r="W222" s="288">
        <v>0.41769547325102879</v>
      </c>
      <c r="X222" s="288">
        <v>0.33415637860082331</v>
      </c>
      <c r="Y222" s="288">
        <v>0.25061728395061711</v>
      </c>
      <c r="Z222" s="288"/>
      <c r="AA222" s="288"/>
      <c r="AB222" s="288"/>
      <c r="AC222" s="288"/>
      <c r="AD222" s="288"/>
      <c r="AE222" s="288"/>
      <c r="AF222" s="288"/>
      <c r="AG222" s="288"/>
      <c r="AH222" s="288"/>
      <c r="AI222" s="288"/>
      <c r="AJ222" s="288"/>
      <c r="AK222" s="288"/>
      <c r="AL222" s="288"/>
      <c r="AM222" s="288"/>
      <c r="AN222" s="288"/>
      <c r="AO222" s="288"/>
      <c r="AP222" s="288"/>
      <c r="AQ222" s="288"/>
      <c r="AR222" s="288"/>
      <c r="AS222" s="288"/>
      <c r="AT222" s="288"/>
      <c r="AU222" s="288"/>
      <c r="AV222" s="288"/>
      <c r="AW222" s="288"/>
      <c r="AX222" s="288"/>
      <c r="AY222" s="288"/>
      <c r="AZ222" s="288"/>
      <c r="BA222" s="288"/>
      <c r="BB222" s="288"/>
      <c r="BC222" s="288"/>
    </row>
    <row r="223" spans="1:55" x14ac:dyDescent="0.25">
      <c r="A223" s="174"/>
      <c r="B223" s="499" t="str">
        <f t="shared" si="13"/>
        <v>MOYENNE SO</v>
      </c>
      <c r="C223" s="289"/>
      <c r="D223" s="289"/>
      <c r="E223" s="289"/>
      <c r="F223" s="289"/>
      <c r="G223" s="289"/>
      <c r="H223" s="289"/>
      <c r="I223" s="289"/>
      <c r="J223" s="289"/>
      <c r="K223" s="289"/>
      <c r="L223" s="289"/>
      <c r="M223" s="289"/>
      <c r="N223" s="289"/>
      <c r="O223" s="289"/>
      <c r="P223" s="289"/>
      <c r="Q223" s="289"/>
      <c r="R223" s="289"/>
      <c r="S223" s="289"/>
      <c r="T223" s="289"/>
      <c r="U223" s="289"/>
      <c r="V223" s="289">
        <v>0.12868395893087256</v>
      </c>
      <c r="W223" s="289">
        <v>0.10661255040113059</v>
      </c>
      <c r="X223" s="289">
        <v>0.14049756827534599</v>
      </c>
      <c r="Y223" s="289">
        <v>0.12657438583364511</v>
      </c>
      <c r="Z223" s="289"/>
      <c r="AA223" s="289"/>
      <c r="AB223" s="289"/>
      <c r="AC223" s="289"/>
      <c r="AD223" s="289"/>
      <c r="AE223" s="289"/>
      <c r="AF223" s="289"/>
      <c r="AG223" s="289"/>
      <c r="AH223" s="289"/>
      <c r="AI223" s="289"/>
      <c r="AJ223" s="289"/>
      <c r="AK223" s="289"/>
      <c r="AL223" s="289"/>
      <c r="AM223" s="289"/>
      <c r="AN223" s="289"/>
      <c r="AO223" s="289"/>
      <c r="AP223" s="289"/>
      <c r="AQ223" s="289"/>
      <c r="AR223" s="289"/>
      <c r="AS223" s="289"/>
      <c r="AT223" s="289"/>
      <c r="AU223" s="289"/>
      <c r="AV223" s="289"/>
      <c r="AW223" s="289"/>
      <c r="AX223" s="289"/>
      <c r="AY223" s="289"/>
      <c r="AZ223" s="289"/>
      <c r="BA223" s="289"/>
      <c r="BB223" s="289"/>
      <c r="BC223" s="289"/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8" scale="76" fitToWidth="0" orientation="portrait" r:id="rId1"/>
  <headerFooter>
    <oddFooter>&amp;L&amp;F&amp;CSOLAIR&amp;R&amp;A</oddFooter>
  </headerFooter>
  <rowBreaks count="1" manualBreakCount="1">
    <brk id="113" max="25" man="1"/>
  </rowBreaks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8</vt:i4>
      </vt:variant>
    </vt:vector>
  </HeadingPairs>
  <TitlesOfParts>
    <vt:vector size="15" baseType="lpstr">
      <vt:lpstr>0_ENTREE</vt:lpstr>
      <vt:lpstr>1_REFERENCE</vt:lpstr>
      <vt:lpstr>2_CHAUFFAGE</vt:lpstr>
      <vt:lpstr>2_ELECTRICITE</vt:lpstr>
      <vt:lpstr>2_EAU</vt:lpstr>
      <vt:lpstr>3_SORTIE</vt:lpstr>
      <vt:lpstr>4_SUIVI</vt:lpstr>
      <vt:lpstr>Mois</vt:lpstr>
      <vt:lpstr>'0_ENTREE'!Zone_d_impression</vt:lpstr>
      <vt:lpstr>'1_REFERENCE'!Zone_d_impression</vt:lpstr>
      <vt:lpstr>'2_CHAUFFAGE'!Zone_d_impression</vt:lpstr>
      <vt:lpstr>'2_EAU'!Zone_d_impression</vt:lpstr>
      <vt:lpstr>'2_ELECTRICITE'!Zone_d_impression</vt:lpstr>
      <vt:lpstr>'3_SORTIE'!Zone_d_impression</vt:lpstr>
      <vt:lpstr>'4_SUIVI'!Zone_d_impression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2014-06-30T13:52:59Z</dcterms:modified>
</cp:coreProperties>
</file>