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leroux\Desktop\"/>
    </mc:Choice>
  </mc:AlternateContent>
  <xr:revisionPtr revIDLastSave="0" documentId="13_ncr:1_{3DA1CBA0-942D-43CF-BF64-70E4D81CFF5C}" xr6:coauthVersionLast="47" xr6:coauthVersionMax="47" xr10:uidLastSave="{00000000-0000-0000-0000-000000000000}"/>
  <workbookProtection workbookAlgorithmName="SHA-512" workbookHashValue="1IdMjSexrkLuQ5eWjNsJvaVDBfED3UACL/6tztphPkeyAVxlIuLr69PCfnk+TCPuNittMV6hB1IfMcy0iiDh0w==" workbookSaltValue="pBJDy79NPpG/uzNoojiPAw==" workbookSpinCount="100000" lockStructure="1"/>
  <bookViews>
    <workbookView xWindow="-120" yWindow="-120" windowWidth="29040" windowHeight="15840" tabRatio="665" firstSheet="1" activeTab="1" xr2:uid="{092CCCE7-D7D6-4AB2-9656-FDA1263748E9}"/>
  </bookViews>
  <sheets>
    <sheet name="Rapport de réussite" sheetId="17" state="veryHidden" r:id="rId1"/>
    <sheet name="Quiz - Menu Principal" sheetId="9" r:id="rId2"/>
    <sheet name="Vitesses de coupe" sheetId="2" r:id="rId3"/>
    <sheet name="Avances d'usinage" sheetId="3" r:id="rId4"/>
    <sheet name="Liste d'outils" sheetId="18" state="hidden" r:id="rId5"/>
  </sheets>
  <functionGroups builtInGroupCount="19"/>
  <definedNames>
    <definedName name="_xleta.T" hidden="1" xlm="1">#NAME?</definedName>
    <definedName name="_xlnm.Print_Titles" localSheetId="0">'Rapport de réussite'!$13:$19</definedName>
    <definedName name="serieAvant" localSheetId="1">OFFSET('Quiz - Menu Principal'!$AG$1,0,0,COUNTA('Quiz - Menu Principal'!$AG:$AG),1)</definedName>
    <definedName name="serieGain" localSheetId="1">OFFSET('Quiz - Menu Principal'!$AC$1,0,0,COUNTA('Quiz - Menu Principal'!$AC:$AC),1)</definedName>
    <definedName name="serieMask" localSheetId="1">OFFSET('Quiz - Menu Principal'!$AF$1,0,0,COUNTA('Quiz - Menu Principal'!$AF:$AF),1)</definedName>
    <definedName name="serieOperation" localSheetId="1">OFFSET('Quiz - Menu Principal'!$AA$1,0,0,COUNTA('Quiz - Menu Principal'!$AA:$AA),1)</definedName>
    <definedName name="seriePerte" localSheetId="1">OFFSET('Quiz - Menu Principal'!$AD$1,0,0,COUNTA('Quiz - Menu Principal'!$AD:$AD),1)</definedName>
    <definedName name="seriePourcentage" localSheetId="1">OFFSET('Quiz - Menu Principal'!$AB$1,0,0,COUNTA('Quiz - Menu Principal'!$AB:$AB),1)</definedName>
    <definedName name="serieReussi" localSheetId="1">OFFSET('Quiz - Menu Principal'!$AE$1,0,0,COUNTA('Quiz - Menu Principal'!$AE:$AE),1)</definedName>
    <definedName name="tblVitesseMatOutil" localSheetId="4">tblVitesse[[#Headers],[Acier rapide]:[Insert de carbure de tungstène]]</definedName>
    <definedName name="tblVitesseMatOutil">tblVitesse[[#Headers],[Acier rapide]:[Insert de carbure de tungstène]]</definedName>
    <definedName name="Version" localSheetId="4">"ABC"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4" i="18" l="1"/>
  <c r="E46" i="18"/>
  <c r="E48" i="18"/>
  <c r="E50" i="18"/>
  <c r="E52" i="18"/>
  <c r="E54" i="18"/>
  <c r="E56" i="18"/>
  <c r="E58" i="18"/>
  <c r="E60" i="18"/>
  <c r="E62" i="18"/>
  <c r="E64" i="18"/>
  <c r="E66" i="18"/>
  <c r="E68" i="18"/>
  <c r="E70" i="18"/>
  <c r="E72" i="18"/>
  <c r="E74" i="18"/>
  <c r="E76" i="18"/>
  <c r="E78" i="18"/>
  <c r="E80" i="18"/>
  <c r="E82" i="18"/>
  <c r="E84" i="18"/>
  <c r="E86" i="18"/>
  <c r="E88" i="18"/>
  <c r="E90" i="18"/>
  <c r="E92" i="18"/>
  <c r="E94" i="18"/>
  <c r="E96" i="18"/>
  <c r="E98" i="18"/>
  <c r="E100" i="18"/>
  <c r="E102" i="18"/>
  <c r="E104" i="18"/>
  <c r="E106" i="18"/>
  <c r="E108" i="18"/>
  <c r="E110" i="18"/>
  <c r="E112" i="18"/>
  <c r="E114" i="18"/>
  <c r="E116" i="18"/>
  <c r="E118" i="18"/>
  <c r="E120" i="18"/>
  <c r="E122" i="18"/>
  <c r="E124" i="18"/>
  <c r="E126" i="18"/>
  <c r="E128" i="18"/>
  <c r="E130" i="18"/>
  <c r="E132" i="18"/>
  <c r="E134" i="18"/>
  <c r="E136" i="18"/>
  <c r="E138" i="18"/>
  <c r="E140" i="18"/>
  <c r="E142" i="18"/>
  <c r="E144" i="18"/>
  <c r="E146" i="18"/>
  <c r="E148" i="18"/>
  <c r="E150" i="18"/>
  <c r="E152" i="18"/>
  <c r="E154" i="18"/>
  <c r="E156" i="18"/>
  <c r="E158" i="18"/>
  <c r="E160" i="18"/>
  <c r="E162" i="18"/>
  <c r="E164" i="18"/>
  <c r="E166" i="18"/>
  <c r="E168" i="18"/>
  <c r="E170" i="18"/>
  <c r="E172" i="18"/>
  <c r="E174" i="18"/>
  <c r="E176" i="18"/>
  <c r="E178" i="18"/>
  <c r="E180" i="18"/>
  <c r="E182" i="18"/>
  <c r="E184" i="18"/>
  <c r="E186" i="18"/>
  <c r="E188" i="18"/>
  <c r="E190" i="18"/>
  <c r="E192" i="18"/>
  <c r="E194" i="18"/>
  <c r="E196" i="18"/>
  <c r="E198" i="18"/>
  <c r="E200" i="18"/>
  <c r="E202" i="18"/>
  <c r="E204" i="18"/>
  <c r="E206" i="18"/>
  <c r="E208" i="18"/>
  <c r="E210" i="18"/>
  <c r="E212" i="18"/>
  <c r="E214" i="18"/>
  <c r="E216" i="18"/>
  <c r="E218" i="18"/>
  <c r="E220" i="18"/>
  <c r="E222" i="18"/>
  <c r="E224" i="18"/>
  <c r="E226" i="18"/>
  <c r="E228" i="18"/>
  <c r="E230" i="18"/>
  <c r="E232" i="18"/>
  <c r="E234" i="18"/>
  <c r="E236" i="18"/>
  <c r="E238" i="18"/>
  <c r="E240" i="18"/>
  <c r="E242" i="18"/>
  <c r="E244" i="18"/>
  <c r="E246" i="18"/>
  <c r="E248" i="18"/>
  <c r="E250" i="18"/>
  <c r="E252" i="18"/>
  <c r="E254" i="18"/>
  <c r="E256" i="18"/>
  <c r="E258" i="18"/>
  <c r="E260" i="18"/>
  <c r="E262" i="18"/>
  <c r="E264" i="18"/>
  <c r="F264" i="18"/>
  <c r="F266" i="18"/>
  <c r="F268" i="18"/>
  <c r="F270" i="18"/>
  <c r="F272" i="18"/>
  <c r="F274" i="18"/>
  <c r="F276" i="18"/>
  <c r="F278" i="18"/>
  <c r="F280" i="18"/>
  <c r="F282" i="18"/>
  <c r="F284" i="18"/>
  <c r="F286" i="18"/>
  <c r="F288" i="18"/>
  <c r="F290" i="18"/>
  <c r="F292" i="18"/>
  <c r="F294" i="18"/>
  <c r="F296" i="18"/>
  <c r="F298" i="18"/>
  <c r="F300" i="18"/>
  <c r="F302" i="18"/>
  <c r="F304" i="18"/>
  <c r="F306" i="18"/>
  <c r="F308" i="18"/>
  <c r="F310" i="18"/>
  <c r="F312" i="18"/>
  <c r="F314" i="18"/>
  <c r="F316" i="18"/>
  <c r="F318" i="18"/>
  <c r="F320" i="18"/>
  <c r="F322" i="18"/>
  <c r="F324" i="18"/>
  <c r="F326" i="18"/>
  <c r="F328" i="18"/>
  <c r="F330" i="18"/>
  <c r="F332" i="18"/>
  <c r="F334" i="18"/>
  <c r="F336" i="18"/>
  <c r="F338" i="18"/>
  <c r="F340" i="18"/>
  <c r="F342" i="18"/>
  <c r="F344" i="18"/>
  <c r="F346" i="18"/>
  <c r="F348" i="18"/>
  <c r="F350" i="18"/>
  <c r="F352" i="18"/>
  <c r="F354" i="18"/>
  <c r="F356" i="18"/>
  <c r="P64" i="18"/>
  <c r="P62" i="18"/>
  <c r="P60" i="18"/>
  <c r="P58" i="18"/>
  <c r="P56" i="18"/>
  <c r="P54" i="18"/>
  <c r="P52" i="18"/>
  <c r="P50" i="18"/>
  <c r="P48" i="18"/>
  <c r="P46" i="18"/>
  <c r="P44" i="18"/>
  <c r="K1" i="2" a="1"/>
  <c r="K1" i="2" s="1"/>
  <c r="E23" i="3"/>
  <c r="E22" i="3"/>
  <c r="E21" i="3"/>
  <c r="E20" i="3"/>
  <c r="E19" i="3"/>
  <c r="E18" i="3"/>
  <c r="E17" i="3"/>
  <c r="E16" i="3"/>
  <c r="E15" i="3"/>
  <c r="E14" i="3"/>
  <c r="E13" i="3"/>
  <c r="E1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<sst xmlns="http://schemas.openxmlformats.org/spreadsheetml/2006/main" count="1498" uniqueCount="701">
  <si>
    <t>Matériau usiné</t>
  </si>
  <si>
    <t>P</t>
  </si>
  <si>
    <t>N</t>
  </si>
  <si>
    <t>Perçage</t>
  </si>
  <si>
    <t>Taraudage</t>
  </si>
  <si>
    <t>Acier rapide</t>
  </si>
  <si>
    <t>Opération</t>
  </si>
  <si>
    <t>Chariotage ébauche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</si>
  <si>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</si>
  <si>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</si>
  <si>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</si>
  <si>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</si>
  <si>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</si>
  <si>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</si>
  <si>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</si>
  <si>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</si>
  <si>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</si>
  <si>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</si>
  <si>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</si>
  <si>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</si>
  <si>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</si>
  <si>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O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</si>
  <si>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</si>
  <si>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</si>
  <si>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</si>
  <si>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</si>
  <si>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</si>
  <si>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</si>
  <si>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</si>
  <si>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</si>
  <si>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</si>
  <si>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</si>
  <si>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#80</t>
  </si>
  <si>
    <t>#79</t>
  </si>
  <si>
    <t>#78</t>
  </si>
  <si>
    <t>#77</t>
  </si>
  <si>
    <t>#76</t>
  </si>
  <si>
    <t>#75</t>
  </si>
  <si>
    <t>#74</t>
  </si>
  <si>
    <t>#73</t>
  </si>
  <si>
    <t>#72</t>
  </si>
  <si>
    <t>#71</t>
  </si>
  <si>
    <t>#70</t>
  </si>
  <si>
    <t>#69</t>
  </si>
  <si>
    <t>#68</t>
  </si>
  <si>
    <t>#67</t>
  </si>
  <si>
    <t>#66</t>
  </si>
  <si>
    <t>#65</t>
  </si>
  <si>
    <t>#64</t>
  </si>
  <si>
    <t>#63</t>
  </si>
  <si>
    <t>#62</t>
  </si>
  <si>
    <t>#61</t>
  </si>
  <si>
    <t>#60</t>
  </si>
  <si>
    <t>#59</t>
  </si>
  <si>
    <t>#58</t>
  </si>
  <si>
    <t>#56</t>
  </si>
  <si>
    <t>#55</t>
  </si>
  <si>
    <t>#54</t>
  </si>
  <si>
    <t>#53</t>
  </si>
  <si>
    <t>#52</t>
  </si>
  <si>
    <t>#51</t>
  </si>
  <si>
    <t>#50</t>
  </si>
  <si>
    <t>#49</t>
  </si>
  <si>
    <t>#48</t>
  </si>
  <si>
    <t>#47</t>
  </si>
  <si>
    <t>#46</t>
  </si>
  <si>
    <t>#45</t>
  </si>
  <si>
    <t>#44</t>
  </si>
  <si>
    <t>#43</t>
  </si>
  <si>
    <t>#42</t>
  </si>
  <si>
    <t>#41</t>
  </si>
  <si>
    <t>#40</t>
  </si>
  <si>
    <t>#39</t>
  </si>
  <si>
    <t>#38</t>
  </si>
  <si>
    <t>#37</t>
  </si>
  <si>
    <t>#36</t>
  </si>
  <si>
    <t>#35</t>
  </si>
  <si>
    <t>#34</t>
  </si>
  <si>
    <t>#33</t>
  </si>
  <si>
    <t>#32</t>
  </si>
  <si>
    <t>#31</t>
  </si>
  <si>
    <t>#30</t>
  </si>
  <si>
    <t>#29</t>
  </si>
  <si>
    <t>#28</t>
  </si>
  <si>
    <t>#27</t>
  </si>
  <si>
    <t>#26</t>
  </si>
  <si>
    <t>#25</t>
  </si>
  <si>
    <t>#24</t>
  </si>
  <si>
    <t>#23</t>
  </si>
  <si>
    <t>#22</t>
  </si>
  <si>
    <t>#21</t>
  </si>
  <si>
    <t>#20</t>
  </si>
  <si>
    <t>#19</t>
  </si>
  <si>
    <t>#18</t>
  </si>
  <si>
    <t>#17</t>
  </si>
  <si>
    <t>#16</t>
  </si>
  <si>
    <t>#15</t>
  </si>
  <si>
    <t>#14</t>
  </si>
  <si>
    <t>#13</t>
  </si>
  <si>
    <t>#12</t>
  </si>
  <si>
    <t>#11</t>
  </si>
  <si>
    <t>#10</t>
  </si>
  <si>
    <t>#9</t>
  </si>
  <si>
    <t>#8</t>
  </si>
  <si>
    <t>#7</t>
  </si>
  <si>
    <t>#6</t>
  </si>
  <si>
    <t>#5</t>
  </si>
  <si>
    <t>#4</t>
  </si>
  <si>
    <t>#3</t>
  </si>
  <si>
    <t>#2</t>
  </si>
  <si>
    <t>#1</t>
  </si>
  <si>
    <t>Fraise à surfacer</t>
  </si>
  <si>
    <t>Foret à numéro</t>
  </si>
  <si>
    <t>Foret à lettre</t>
  </si>
  <si>
    <t>Foret fractionnaire</t>
  </si>
  <si>
    <t>Foret Udrill</t>
  </si>
  <si>
    <t>1/8 po</t>
  </si>
  <si>
    <t>5/32 po</t>
  </si>
  <si>
    <t>3/16 po</t>
  </si>
  <si>
    <t>1/4 po</t>
  </si>
  <si>
    <t>3/8 po</t>
  </si>
  <si>
    <t>1/2 po</t>
  </si>
  <si>
    <t>5/8 po</t>
  </si>
  <si>
    <t>3/4 po</t>
  </si>
  <si>
    <t>7/8 po</t>
  </si>
  <si>
    <t>1 po</t>
  </si>
  <si>
    <t>1 1/4 po</t>
  </si>
  <si>
    <t>1 1/2 po</t>
  </si>
  <si>
    <t>Acier inoxidable</t>
  </si>
  <si>
    <t>Acier durci</t>
  </si>
  <si>
    <t>Recuit</t>
  </si>
  <si>
    <t>Ferritique/martensitique</t>
  </si>
  <si>
    <t>Martensitique</t>
  </si>
  <si>
    <t>Perlitique</t>
  </si>
  <si>
    <t>Ferritique</t>
  </si>
  <si>
    <t>Durci</t>
  </si>
  <si>
    <t>Coulé</t>
  </si>
  <si>
    <t>Acier non allié</t>
  </si>
  <si>
    <t>Acier faiblement allié</t>
  </si>
  <si>
    <t>Acier fortement allié et acier à outils</t>
  </si>
  <si>
    <t>Composition</t>
  </si>
  <si>
    <t>État métallurgique</t>
  </si>
  <si>
    <t>C ≤ 0.25%</t>
  </si>
  <si>
    <t>C &gt; 0.25 … ≤ 0.55%</t>
  </si>
  <si>
    <t>C &gt; 0.55%</t>
  </si>
  <si>
    <t>Traité thermiquement</t>
  </si>
  <si>
    <t>Durci et revenu</t>
  </si>
  <si>
    <t>Austénitique/ferritique/duplex</t>
  </si>
  <si>
    <t>Fonte grise</t>
  </si>
  <si>
    <t>Cuivre et alliages de cuivre</t>
  </si>
  <si>
    <t>Non durcissable</t>
  </si>
  <si>
    <t>Durcissable, durci</t>
  </si>
  <si>
    <t>Haute résistance en traction, Ampco</t>
  </si>
  <si>
    <t>Alliages résistant à la chaleur</t>
  </si>
  <si>
    <t>À base de fer (Fe)</t>
  </si>
  <si>
    <t>À base de nickel (Ni) ou cobalt (Co)</t>
  </si>
  <si>
    <t>Titane pure</t>
  </si>
  <si>
    <t>Alliages alpha et beta, durci</t>
  </si>
  <si>
    <t>Alliages de titane</t>
  </si>
  <si>
    <t>50 HRC</t>
  </si>
  <si>
    <t>55 HRC</t>
  </si>
  <si>
    <t>60 HRC</t>
  </si>
  <si>
    <t>Plastique thermoformable</t>
  </si>
  <si>
    <t>Plastique thermodurcissable</t>
  </si>
  <si>
    <t>Plastique renforci d'aramid</t>
  </si>
  <si>
    <t>Plastique renforci de fibre de carbone</t>
  </si>
  <si>
    <t>Graphite</t>
  </si>
  <si>
    <t>Sans composés abrasifs</t>
  </si>
  <si>
    <t>GFRP</t>
  </si>
  <si>
    <t>CFRP</t>
  </si>
  <si>
    <t>AFRP</t>
  </si>
  <si>
    <t>80 Shore</t>
  </si>
  <si>
    <t>Carbure de tungstène solide</t>
  </si>
  <si>
    <t>Insert de carbure de tungstène</t>
  </si>
  <si>
    <t>Chariotage finition</t>
  </si>
  <si>
    <t>Tronçonnage</t>
  </si>
  <si>
    <t>Trempé et revenu</t>
  </si>
  <si>
    <t>Perlitique/ferritique</t>
  </si>
  <si>
    <t>Perlitique/martensitique</t>
  </si>
  <si>
    <t>Fonte à graphite sphéroidal</t>
  </si>
  <si>
    <t>Fonte à graphite lamellaire</t>
  </si>
  <si>
    <t>&gt; 12% Si et Li</t>
  </si>
  <si>
    <t>≤ 12% Si</t>
  </si>
  <si>
    <t>CuZn (Bronze), CuSnZn (Laiton)</t>
  </si>
  <si>
    <t>CuSn, Cuivre sans plomb et élecrolytique</t>
  </si>
  <si>
    <t>P - Acier non allié</t>
  </si>
  <si>
    <t>M - Acier inoxidable</t>
  </si>
  <si>
    <t>K - Fonte grise</t>
  </si>
  <si>
    <t>P - Acier faiblement allié</t>
  </si>
  <si>
    <t>K - Fonte à graphite lamellaire</t>
  </si>
  <si>
    <t>H - Acier durci</t>
  </si>
  <si>
    <t>Aluminium de corroyage</t>
  </si>
  <si>
    <t>Aluminium de coulée</t>
  </si>
  <si>
    <t>N - Aluminium de corroyage</t>
  </si>
  <si>
    <t>N - Aluminium de coulée</t>
  </si>
  <si>
    <t>P - Acier fortement allié et acier à outils</t>
  </si>
  <si>
    <t>10 mm</t>
  </si>
  <si>
    <t>15 mm</t>
  </si>
  <si>
    <t>11 mm</t>
  </si>
  <si>
    <t>16 mm</t>
  </si>
  <si>
    <t>12 mm</t>
  </si>
  <si>
    <t>13 mm</t>
  </si>
  <si>
    <t>14 mm</t>
  </si>
  <si>
    <t>17 mm</t>
  </si>
  <si>
    <t>18 mm</t>
  </si>
  <si>
    <t>19 mm</t>
  </si>
  <si>
    <t>20 mm</t>
  </si>
  <si>
    <t>Alésoir</t>
  </si>
  <si>
    <t>Série à numéro allant environ de 1/64 à 1/4</t>
  </si>
  <si>
    <t>Outil d'ébauche</t>
  </si>
  <si>
    <t>Outil de finition</t>
  </si>
  <si>
    <t>Tarauder 1/4 et plus</t>
  </si>
  <si>
    <t>Tarauder 1/4 et moins</t>
  </si>
  <si>
    <t>Montage rigide</t>
  </si>
  <si>
    <t>Petite profondeur</t>
  </si>
  <si>
    <t>Grande profondeur</t>
  </si>
  <si>
    <t>Tourner lentement</t>
  </si>
  <si>
    <t>Le jobber lenght</t>
  </si>
  <si>
    <t>Foret allant de 1/4 à 7/16</t>
  </si>
  <si>
    <t>Ø 5/8 po</t>
  </si>
  <si>
    <t>Ø 3/4 po</t>
  </si>
  <si>
    <t>Ø 7/8 po</t>
  </si>
  <si>
    <t>Ø 1 po</t>
  </si>
  <si>
    <t>Ø 1 1/4 po</t>
  </si>
  <si>
    <t>Ø 1 1/2 po</t>
  </si>
  <si>
    <t>Ø 1/64 po</t>
  </si>
  <si>
    <t>Ø 1/32 po</t>
  </si>
  <si>
    <t>Ø 3/64 po</t>
  </si>
  <si>
    <t>Ø 1/16 po</t>
  </si>
  <si>
    <t>Ø 5/64 po</t>
  </si>
  <si>
    <t>Ø 3/32 po</t>
  </si>
  <si>
    <t>Ø 7/64 po</t>
  </si>
  <si>
    <t>Ø 1/8 po</t>
  </si>
  <si>
    <t>Ø 9/64 po</t>
  </si>
  <si>
    <t>Ø 5/32 po</t>
  </si>
  <si>
    <t>Ø 11/64 po</t>
  </si>
  <si>
    <t>Ø 3/16 po</t>
  </si>
  <si>
    <t>Ø 13/64 po</t>
  </si>
  <si>
    <t>Ø 7/32 po</t>
  </si>
  <si>
    <t>Ø 15/64 po</t>
  </si>
  <si>
    <t>Ø 1/4 po</t>
  </si>
  <si>
    <t>Ø 17/64 po</t>
  </si>
  <si>
    <t>Ø 9/32 po</t>
  </si>
  <si>
    <t>Ø 19/64 po</t>
  </si>
  <si>
    <t>Ø 5/16 po</t>
  </si>
  <si>
    <t>Ø 21/64 po</t>
  </si>
  <si>
    <t>Ø 11/32 po</t>
  </si>
  <si>
    <t>Ø 23/64 po</t>
  </si>
  <si>
    <t>Ø 3/8 po</t>
  </si>
  <si>
    <t>Ø 25/64 po</t>
  </si>
  <si>
    <t>Ø 13/32 po</t>
  </si>
  <si>
    <t>Ø 27/64 po</t>
  </si>
  <si>
    <t>Ø 7/16 po</t>
  </si>
  <si>
    <t>Ø 29/64 po</t>
  </si>
  <si>
    <t>Ø 15/32 po</t>
  </si>
  <si>
    <t>Ø 31/64 po</t>
  </si>
  <si>
    <t>Ø 1/2 po</t>
  </si>
  <si>
    <t>Ø 33/64 po</t>
  </si>
  <si>
    <t>Ø 17/32 po</t>
  </si>
  <si>
    <t>Ø 35/64 po</t>
  </si>
  <si>
    <t>Ø 9/16 po</t>
  </si>
  <si>
    <t>Ø 37/64 po</t>
  </si>
  <si>
    <t>Ø 19/32 po</t>
  </si>
  <si>
    <t>Ø 39/64 po</t>
  </si>
  <si>
    <t>Ø 41/64 po</t>
  </si>
  <si>
    <t>Ø 21/32 po</t>
  </si>
  <si>
    <t>Ø 43/64 po</t>
  </si>
  <si>
    <t>Ø 11/16 po</t>
  </si>
  <si>
    <t>Ø v45/64 po</t>
  </si>
  <si>
    <t>Ø 23/32 po</t>
  </si>
  <si>
    <t>Ø 47/64 po</t>
  </si>
  <si>
    <t>Ø 49/64 po</t>
  </si>
  <si>
    <t>Ø 25/32 po</t>
  </si>
  <si>
    <t>Ø 51/64 po</t>
  </si>
  <si>
    <t>Ø 13/16 po</t>
  </si>
  <si>
    <t>Ø 53/64 po</t>
  </si>
  <si>
    <t>Ø 27/32 po</t>
  </si>
  <si>
    <t>Ø 55/64 po</t>
  </si>
  <si>
    <t>Ø 57/64 po</t>
  </si>
  <si>
    <t>Ø 29/32 po</t>
  </si>
  <si>
    <t>Ø 59/64 po</t>
  </si>
  <si>
    <t>Ø 15/16 po</t>
  </si>
  <si>
    <t>Ø 61/64 po</t>
  </si>
  <si>
    <t>Ø 31/32 po</t>
  </si>
  <si>
    <t>Ø 63/64 po</t>
  </si>
  <si>
    <t>Ø 1 1/16 po</t>
  </si>
  <si>
    <t>Ø 1 1/8 po</t>
  </si>
  <si>
    <t>Ø 1 3/16 po</t>
  </si>
  <si>
    <t>Ø 1 5/16 po</t>
  </si>
  <si>
    <t>Ø 1 3/8 po</t>
  </si>
  <si>
    <t>Ø 1 7/16 po</t>
  </si>
  <si>
    <t>Ø 1 9/16 po</t>
  </si>
  <si>
    <t>Ø 1 5/8 po</t>
  </si>
  <si>
    <t>Ø 1 11/16 po</t>
  </si>
  <si>
    <t>Ø 1 3/4 po</t>
  </si>
  <si>
    <t>Ø 1 13/16 po</t>
  </si>
  <si>
    <t>Ø 1 7/8 po</t>
  </si>
  <si>
    <t>Ø 1 15/16 po</t>
  </si>
  <si>
    <t>Ø 2 po</t>
  </si>
  <si>
    <t>Fonte durcie</t>
  </si>
  <si>
    <t>Durcie et revenue</t>
  </si>
  <si>
    <t>K - Fonte à graphite sphéroidal</t>
  </si>
  <si>
    <t>N - Cuivre et alliages de cuivre</t>
  </si>
  <si>
    <t>S - Alliages résistant à la chaleur</t>
  </si>
  <si>
    <t>S - Alliages de titane</t>
  </si>
  <si>
    <t>H - Fonte durcie</t>
  </si>
  <si>
    <t>O - Plastique thermoformable</t>
  </si>
  <si>
    <t>O - Plastique thermodurcissable</t>
  </si>
  <si>
    <t>O - Plastique renforci de fibre de carbone</t>
  </si>
  <si>
    <t>O - Plastique renforci d'aramid</t>
  </si>
  <si>
    <t>O - Graphite</t>
  </si>
  <si>
    <t>Chanfreinage</t>
  </si>
  <si>
    <t>Alésage à l'alésoir</t>
  </si>
  <si>
    <t>Pointage</t>
  </si>
  <si>
    <t>Dressage</t>
  </si>
  <si>
    <t>Centrage</t>
  </si>
  <si>
    <t>Alésage à la barre</t>
  </si>
  <si>
    <t>Filetage externe</t>
  </si>
  <si>
    <t>Filetage interne</t>
  </si>
  <si>
    <t>Lame à tronçonner</t>
  </si>
  <si>
    <t>Sert aussi à rainurer</t>
  </si>
  <si>
    <t>Questions réussies  groupées par opérations</t>
  </si>
  <si>
    <t>Rainurage interne</t>
  </si>
  <si>
    <t>Rainurage externe</t>
  </si>
  <si>
    <t>6061, 7075</t>
  </si>
  <si>
    <t>Dureté Brinell (HB)</t>
  </si>
  <si>
    <t>Alliage à décolletage, &gt; 1% Pb</t>
  </si>
  <si>
    <r>
      <t xml:space="preserve">Vitesse de coupe
</t>
    </r>
    <r>
      <rPr>
        <i/>
        <sz val="8"/>
        <color theme="1"/>
        <rFont val="Calibri"/>
        <family val="2"/>
        <scheme val="minor"/>
      </rPr>
      <t xml:space="preserve">Vc </t>
    </r>
    <r>
      <rPr>
        <sz val="8"/>
        <color theme="1"/>
        <rFont val="Calibri"/>
        <family val="2"/>
        <scheme val="minor"/>
      </rPr>
      <t>(pieds/minute)</t>
    </r>
  </si>
  <si>
    <t>405/420</t>
  </si>
  <si>
    <t>304/405/329</t>
  </si>
  <si>
    <t>Ex. de matériau
AISI/SAE/ASTM</t>
  </si>
  <si>
    <t>Classification des matériaux par usinabilité (ISO 513 et VDI 3323)</t>
  </si>
  <si>
    <t>Classe</t>
  </si>
  <si>
    <t>No de groupe</t>
  </si>
  <si>
    <t>Avance longitudinale</t>
  </si>
  <si>
    <t>Avance transversale</t>
  </si>
  <si>
    <t>Contournage ébauche</t>
  </si>
  <si>
    <t>Contournage finition</t>
  </si>
  <si>
    <t>Surfaçage</t>
  </si>
  <si>
    <t>Avance latérale</t>
  </si>
  <si>
    <t>Avance axiale</t>
  </si>
  <si>
    <t>Tour</t>
  </si>
  <si>
    <t>Fraiseuse</t>
  </si>
  <si>
    <t>Machine-outil</t>
  </si>
  <si>
    <t>Chanfreinage / ébavurage</t>
  </si>
  <si>
    <t>Avance / rév.</t>
  </si>
  <si>
    <t>Perceuse
Fraiseuse</t>
  </si>
  <si>
    <t>Avance</t>
  </si>
  <si>
    <t>AvanceMax</t>
  </si>
  <si>
    <t>Diamètre</t>
  </si>
  <si>
    <t>0.25-20</t>
  </si>
  <si>
    <t>5/16 - 18 UNC</t>
  </si>
  <si>
    <t>3/8 - 16 UNC</t>
  </si>
  <si>
    <t>7/16 - 14 UNC</t>
  </si>
  <si>
    <t>1/2 - 13 UNC</t>
  </si>
  <si>
    <t>9/16 - 12 UNC</t>
  </si>
  <si>
    <t>5/8 - 11 UNC</t>
  </si>
  <si>
    <t>3/4 - 10 UNC</t>
  </si>
  <si>
    <t>7/8 - 9 UNC</t>
  </si>
  <si>
    <t>1 - 8 UNC</t>
  </si>
  <si>
    <t>M1.6 x 0.35</t>
  </si>
  <si>
    <t>M2.5 x 0.45</t>
  </si>
  <si>
    <t>M8 x 1.25</t>
  </si>
  <si>
    <t>M10 x 1.50</t>
  </si>
  <si>
    <t>M12 x 1.75</t>
  </si>
  <si>
    <t>1/4- 20 UNC</t>
  </si>
  <si>
    <t>1.6x0.35</t>
  </si>
  <si>
    <t>2.5x0.45</t>
  </si>
  <si>
    <t>4x0.7</t>
  </si>
  <si>
    <t>M4 x 0.7</t>
  </si>
  <si>
    <t>3.5x0.6</t>
  </si>
  <si>
    <t>3x0.5</t>
  </si>
  <si>
    <t>2x0.04</t>
  </si>
  <si>
    <t>M2 x 0.4</t>
  </si>
  <si>
    <t>M3 x 0.5</t>
  </si>
  <si>
    <t>M3.5 x 0.6</t>
  </si>
  <si>
    <t>M5 x 0.8</t>
  </si>
  <si>
    <t>5x0.8</t>
  </si>
  <si>
    <t>6x1</t>
  </si>
  <si>
    <t>8x1.25</t>
  </si>
  <si>
    <t>M6 x 1</t>
  </si>
  <si>
    <t>10x1.5</t>
  </si>
  <si>
    <t>12x1.75</t>
  </si>
  <si>
    <t>14x2</t>
  </si>
  <si>
    <t>16x2</t>
  </si>
  <si>
    <t>20x2.5</t>
  </si>
  <si>
    <t>22x2.5</t>
  </si>
  <si>
    <t>24x3</t>
  </si>
  <si>
    <t>27x3</t>
  </si>
  <si>
    <t>30x3.5</t>
  </si>
  <si>
    <t>36x4</t>
  </si>
  <si>
    <t>42x4.5</t>
  </si>
  <si>
    <t>48x5</t>
  </si>
  <si>
    <t>56x5.5</t>
  </si>
  <si>
    <t>64x6</t>
  </si>
  <si>
    <t>68x6</t>
  </si>
  <si>
    <t>M14 x 2</t>
  </si>
  <si>
    <t>M16 x 2</t>
  </si>
  <si>
    <t>M20 X 2.5</t>
  </si>
  <si>
    <t>M22 x 2.5</t>
  </si>
  <si>
    <t>M24 x 3</t>
  </si>
  <si>
    <t>M27 x 3</t>
  </si>
  <si>
    <t>M30 x 3.5</t>
  </si>
  <si>
    <t>M36 x 4</t>
  </si>
  <si>
    <t>M42 x 4.5</t>
  </si>
  <si>
    <t>M48 x 5</t>
  </si>
  <si>
    <t>M56 x 5.5</t>
  </si>
  <si>
    <t>M64 x 6</t>
  </si>
  <si>
    <t>M68 x 6</t>
  </si>
  <si>
    <t>.3125-18</t>
  </si>
  <si>
    <t>.375-16</t>
  </si>
  <si>
    <t>.4375-14</t>
  </si>
  <si>
    <t>.5-13</t>
  </si>
  <si>
    <t>.5625-12</t>
  </si>
  <si>
    <t>.625-11</t>
  </si>
  <si>
    <t>.75-10</t>
  </si>
  <si>
    <t>.875-9</t>
  </si>
  <si>
    <t>1-8</t>
  </si>
  <si>
    <t>Alésoir [IdDia] - [NbDent] lèvres</t>
  </si>
  <si>
    <t>Fraise en bout Ø [IdDia] - [NbDent] lèvres</t>
  </si>
  <si>
    <t>Fraise en bout Ø [IdDia] - [NbDent] inserts</t>
  </si>
  <si>
    <t>Fraise à surfacer Ø [IdDia] - [NbDent] inserts</t>
  </si>
  <si>
    <t>Taraud [IdDia]</t>
  </si>
  <si>
    <t>MCLNR</t>
  </si>
  <si>
    <t>MVLNR</t>
  </si>
  <si>
    <t>#1-64 UNC</t>
  </si>
  <si>
    <t>#2-56 UNC</t>
  </si>
  <si>
    <t>#3-48 UNC</t>
  </si>
  <si>
    <t>#4-40 UNC</t>
  </si>
  <si>
    <t>#5-40 UNC</t>
  </si>
  <si>
    <t>#6-32 UNC</t>
  </si>
  <si>
    <t>#8-32 UNC</t>
  </si>
  <si>
    <t>#10-24 UNC</t>
  </si>
  <si>
    <t>#12-24 UNC</t>
  </si>
  <si>
    <t>0.073-64</t>
  </si>
  <si>
    <t>0.086-56</t>
  </si>
  <si>
    <t>0.099-48</t>
  </si>
  <si>
    <t>0.112-40</t>
  </si>
  <si>
    <t>0.125-40</t>
  </si>
  <si>
    <t>0.136-32</t>
  </si>
  <si>
    <t>0.164-32</t>
  </si>
  <si>
    <t>0.190-24</t>
  </si>
  <si>
    <t>0.216-24</t>
  </si>
  <si>
    <t>Proportionnel 
au diamètre</t>
  </si>
  <si>
    <t>Calcul de filetage</t>
  </si>
  <si>
    <t>Avance maximale</t>
  </si>
  <si>
    <t>Opération d'usinage</t>
  </si>
  <si>
    <r>
      <t xml:space="preserve">Outil de coupe - géométrie - </t>
    </r>
    <r>
      <rPr>
        <b/>
        <i/>
        <sz val="8"/>
        <color theme="1"/>
        <rFont val="Calibri"/>
        <family val="2"/>
        <scheme val="minor"/>
      </rPr>
      <t>matériau d'outil coupant</t>
    </r>
  </si>
  <si>
    <t>ISO</t>
  </si>
  <si>
    <t>Classe et sous-groupe - Nom du matériau brut - Dureté</t>
  </si>
  <si>
    <t>…</t>
  </si>
  <si>
    <t>Plastique renforci de fibre de verre</t>
  </si>
  <si>
    <t>O - Plastique renforci de fibre de verre</t>
  </si>
  <si>
    <t>#57</t>
  </si>
  <si>
    <t>Lame à tronçonner - Ø tronçonné: [IdDia]</t>
  </si>
  <si>
    <t>MCLNR - Ø charioté: [IdDia]</t>
  </si>
  <si>
    <t>MVLNR - Ø charioté: [IdDia]</t>
  </si>
  <si>
    <t>Foret Udrill [IdDia]</t>
  </si>
  <si>
    <t>Attention, ce modèle a un seul insert en périphérie</t>
  </si>
  <si>
    <t>Fraise en bout à inserts</t>
  </si>
  <si>
    <t>Barre à fileter</t>
  </si>
  <si>
    <t>Barre à rainurer</t>
  </si>
  <si>
    <t>Barre à aléser</t>
  </si>
  <si>
    <t>Foret à centrer</t>
  </si>
  <si>
    <t>SDTMR</t>
  </si>
  <si>
    <t>Foret à pointer</t>
  </si>
  <si>
    <t>Pour positionner un trou avant perçage</t>
  </si>
  <si>
    <t>Barre à aléser - Ø alésé: [IdDia]</t>
  </si>
  <si>
    <t>Outil à chanfreiner Nine9 : [IdDia]</t>
  </si>
  <si>
    <t>SDTMR - filetage: [IdDia]</t>
  </si>
  <si>
    <t>00</t>
  </si>
  <si>
    <t>0</t>
  </si>
  <si>
    <t>1</t>
  </si>
  <si>
    <t>2</t>
  </si>
  <si>
    <t>3</t>
  </si>
  <si>
    <t>4</t>
  </si>
  <si>
    <t>5</t>
  </si>
  <si>
    <t>6</t>
  </si>
  <si>
    <t>7</t>
  </si>
  <si>
    <t>8</t>
  </si>
  <si>
    <t>Foret à centrer numéro [IdDia]</t>
  </si>
  <si>
    <t>Foret à pointer [IdDia] - [NbDent] lèvres</t>
  </si>
  <si>
    <t>Barre à rainurer - Ø rainuré: [IdDia]</t>
  </si>
  <si>
    <t>Outil à fileter 60 degrés</t>
  </si>
  <si>
    <t>Foret métrique</t>
  </si>
  <si>
    <t>Ø 0.05 mm</t>
  </si>
  <si>
    <t>Ø 0.1 mm</t>
  </si>
  <si>
    <t>Ø 0.2 mm</t>
  </si>
  <si>
    <t>Ø 0.3 mm</t>
  </si>
  <si>
    <t>Ø 0.4 mm</t>
  </si>
  <si>
    <t>Ø 0.5 mm</t>
  </si>
  <si>
    <t>Ø 0.6 mm</t>
  </si>
  <si>
    <t>Ø 0.7 mm</t>
  </si>
  <si>
    <t>Ø 0.8 mm</t>
  </si>
  <si>
    <t>Ø 0.9 mm</t>
  </si>
  <si>
    <t>Ø 1.0 mm</t>
  </si>
  <si>
    <t>Ø 1.1 mm</t>
  </si>
  <si>
    <t>Ø 1.2 mm</t>
  </si>
  <si>
    <t>Ø 1.3 mm</t>
  </si>
  <si>
    <t>Ø 1.4 mm</t>
  </si>
  <si>
    <t>Ø 1.5 mm</t>
  </si>
  <si>
    <t>Ø 1.6 mm</t>
  </si>
  <si>
    <t>Ø 1.7 mm</t>
  </si>
  <si>
    <t>Ø 1.8 mm</t>
  </si>
  <si>
    <t>Ø 1.9 mm</t>
  </si>
  <si>
    <t>Ø 2.0 mm</t>
  </si>
  <si>
    <t>Ø 2.1 mm</t>
  </si>
  <si>
    <t>Ø 2.2 mm</t>
  </si>
  <si>
    <t>Ø 2.3 mm</t>
  </si>
  <si>
    <t>Ø 2.4 mm</t>
  </si>
  <si>
    <t>Ø 2.5 mm</t>
  </si>
  <si>
    <t>Ø 2.6 mm</t>
  </si>
  <si>
    <t>Ø 2.7 mm</t>
  </si>
  <si>
    <t>Ø 2.8 mm</t>
  </si>
  <si>
    <t>Ø 2.9 mm</t>
  </si>
  <si>
    <t>Ø 3.0 mm</t>
  </si>
  <si>
    <t>Ø 3.1 mm</t>
  </si>
  <si>
    <t>Ø 3.2 mm</t>
  </si>
  <si>
    <t>Ø 3.3 mm</t>
  </si>
  <si>
    <t>Ø 3.4 mm</t>
  </si>
  <si>
    <t>Ø 3.5 mm</t>
  </si>
  <si>
    <t>Ø 3.6 mm</t>
  </si>
  <si>
    <t>Ø 3.7 mm</t>
  </si>
  <si>
    <t>Ø 3.8 mm</t>
  </si>
  <si>
    <t>Ø 3.9 mm</t>
  </si>
  <si>
    <t>Ø 4.0 mm</t>
  </si>
  <si>
    <t>Ø 4.1 mm</t>
  </si>
  <si>
    <t>Ø 4.2 mm</t>
  </si>
  <si>
    <t>Ø 4.3 mm</t>
  </si>
  <si>
    <t>Ø 4.4 mm</t>
  </si>
  <si>
    <t>Ø 4.5 mm</t>
  </si>
  <si>
    <t>Ø 4.6 mm</t>
  </si>
  <si>
    <t>Ø 4.7 mm</t>
  </si>
  <si>
    <t>Ø 4.8 mm</t>
  </si>
  <si>
    <t>Ø 4.9 mm</t>
  </si>
  <si>
    <t>Ø 5.0 mm</t>
  </si>
  <si>
    <t>Ø 5.1 mm</t>
  </si>
  <si>
    <t>Ø 5.2 mm</t>
  </si>
  <si>
    <t>Ø 5.3 mm</t>
  </si>
  <si>
    <t>Ø 5.4 mm</t>
  </si>
  <si>
    <t>Ø 5.5 mm</t>
  </si>
  <si>
    <t>Ø 5.6 mm</t>
  </si>
  <si>
    <t>Ø 5.7 mm</t>
  </si>
  <si>
    <t>Ø 5.8 mm</t>
  </si>
  <si>
    <t>Ø 5.9 mm</t>
  </si>
  <si>
    <t>Ø 6.0 mm</t>
  </si>
  <si>
    <t>Ø 6.1 mm</t>
  </si>
  <si>
    <t>Ø 6.2 mm</t>
  </si>
  <si>
    <t>Ø 6.3 mm</t>
  </si>
  <si>
    <t>Ø 6.4 mm</t>
  </si>
  <si>
    <t>Ø 6.5 mm</t>
  </si>
  <si>
    <t>Ø 6.6 mm</t>
  </si>
  <si>
    <t>Ø 6.7 mm</t>
  </si>
  <si>
    <t>Ø 6.8 mm</t>
  </si>
  <si>
    <t>Ø 6.9 mm</t>
  </si>
  <si>
    <t>Ø 7.0 mm</t>
  </si>
  <si>
    <t>Ø 7.1 mm</t>
  </si>
  <si>
    <t>Ø 7.2 mm</t>
  </si>
  <si>
    <t>Ø 7.3 mm</t>
  </si>
  <si>
    <t>Ø 7.4 mm</t>
  </si>
  <si>
    <t>Ø 7.5 mm</t>
  </si>
  <si>
    <t>Ø 7.6 mm</t>
  </si>
  <si>
    <t>Ø 7.7 mm</t>
  </si>
  <si>
    <t>Ø 7.8 mm</t>
  </si>
  <si>
    <t>Ø 7.9 mm</t>
  </si>
  <si>
    <t>Ø 8.0 mm</t>
  </si>
  <si>
    <t>Ø 8.1 mm</t>
  </si>
  <si>
    <t>Ø 8.2 mm</t>
  </si>
  <si>
    <t>Ø 8.3 mm</t>
  </si>
  <si>
    <t>Ø 8.4 mm</t>
  </si>
  <si>
    <t>Ø 8.5 mm</t>
  </si>
  <si>
    <t>Ø 8.6 mm</t>
  </si>
  <si>
    <t>Ø 8.7 mm</t>
  </si>
  <si>
    <t>Ø 8.8 mm</t>
  </si>
  <si>
    <t>Ø 8.9  mm</t>
  </si>
  <si>
    <t>Ø 9.0 mm</t>
  </si>
  <si>
    <t>Ø 9.1 mm</t>
  </si>
  <si>
    <t>Ø 9.2 mm</t>
  </si>
  <si>
    <t>Ø 9.3 mm</t>
  </si>
  <si>
    <t>Ø 9.4 mm</t>
  </si>
  <si>
    <t>Ø 9.6 mm</t>
  </si>
  <si>
    <t>Ø 9.7 mm</t>
  </si>
  <si>
    <t>Ø 9.8 mm</t>
  </si>
  <si>
    <t>Ø 9.9 mm</t>
  </si>
  <si>
    <t>Ø 10.5 mm</t>
  </si>
  <si>
    <t>Ø 10.0 mm</t>
  </si>
  <si>
    <t>Ø 11.0 mm</t>
  </si>
  <si>
    <t>Ø 12.0 mm</t>
  </si>
  <si>
    <t>Ø 12.5 mm</t>
  </si>
  <si>
    <t>Ø 13.0 mm</t>
  </si>
  <si>
    <t>Ø 13.5 mm</t>
  </si>
  <si>
    <t>Ø 14.0 mm</t>
  </si>
  <si>
    <t>Ø 15.0 mm</t>
  </si>
  <si>
    <t>Ø 16.0 mm</t>
  </si>
  <si>
    <t>Ø 17.0 mm</t>
  </si>
  <si>
    <t>Ø 18.0 mm</t>
  </si>
  <si>
    <t>Ø 19.0 mm</t>
  </si>
  <si>
    <t>Ø 20.0 mm</t>
  </si>
  <si>
    <t>Ø 21.0 mm</t>
  </si>
  <si>
    <t>Ø 22.0 mm</t>
  </si>
  <si>
    <t>Ø 23.0 mm</t>
  </si>
  <si>
    <t>Ø 24.0 mm</t>
  </si>
  <si>
    <t>Ø 25.0 mm</t>
  </si>
  <si>
    <t>Ø 26.0 mm</t>
  </si>
  <si>
    <t>Ø 27.0 mm</t>
  </si>
  <si>
    <t>Ø 28.0 mm</t>
  </si>
  <si>
    <t>Ø 29.0 mm</t>
  </si>
  <si>
    <t>Ø 30.0 mm</t>
  </si>
  <si>
    <t>Ø 31.0 mm</t>
  </si>
  <si>
    <t>Ø 32.0 mm</t>
  </si>
  <si>
    <t>Ø 33.0 mm</t>
  </si>
  <si>
    <t>Ø 34.0 mm</t>
  </si>
  <si>
    <t>Ø 35.0 mm</t>
  </si>
  <si>
    <t>Ø 36.0 mm</t>
  </si>
  <si>
    <t>Ø 37.0 mm</t>
  </si>
  <si>
    <t>Ø 38.0 mm</t>
  </si>
  <si>
    <t>Ø 14.5 mm</t>
  </si>
  <si>
    <t>Ø 15.5 mm</t>
  </si>
  <si>
    <t>Ø 16.5 mm</t>
  </si>
  <si>
    <t>Ø 17.5 mm</t>
  </si>
  <si>
    <t>Ø 18.5 mm</t>
  </si>
  <si>
    <t>Ø 19.5 mm</t>
  </si>
  <si>
    <t>Ø 20.5 mm</t>
  </si>
  <si>
    <t>Ø 21.5 mm</t>
  </si>
  <si>
    <t>Ø 22.5 mm</t>
  </si>
  <si>
    <t>Ø 23.5 mm</t>
  </si>
  <si>
    <t>Ø 24.5 mm</t>
  </si>
  <si>
    <t>Ø 25.5 mm</t>
  </si>
  <si>
    <t>Ø 26.5 mm</t>
  </si>
  <si>
    <t>Ø 27.5 mm</t>
  </si>
  <si>
    <t>Ø 28.5 mm</t>
  </si>
  <si>
    <t>Ø 29.5 mm</t>
  </si>
  <si>
    <t>Ø 30.5 mm</t>
  </si>
  <si>
    <t>Ø 31.5 mm</t>
  </si>
  <si>
    <t>Ø 32.5 mm</t>
  </si>
  <si>
    <t>Ø 33.5 mm</t>
  </si>
  <si>
    <t>Ø 34.5 mm</t>
  </si>
  <si>
    <t>Ø 35.5 mm</t>
  </si>
  <si>
    <t>Ø 36.5 mm</t>
  </si>
  <si>
    <t>Ø 37.5 mm</t>
  </si>
  <si>
    <t>Ø 9.5 mm</t>
  </si>
  <si>
    <t>Ø 11.5 mm</t>
  </si>
  <si>
    <t>Fraise 82 degrés</t>
  </si>
  <si>
    <t>Outil à chambrer</t>
  </si>
  <si>
    <t>Pour chanfreiner un trou</t>
  </si>
  <si>
    <t>Outil à chambrer [IdDia] - [NbDent] lèvres</t>
  </si>
  <si>
    <t>Pour chambrer la tête d'une vis</t>
  </si>
  <si>
    <t>Fraise en bout hélicoïdale</t>
  </si>
  <si>
    <t>Nine9 90 degrés</t>
  </si>
  <si>
    <t>Outil de filetage interne</t>
  </si>
  <si>
    <t>Pour montage avec contre-pointe</t>
  </si>
  <si>
    <t>Barre à fileter - filetage: [IdDia]</t>
  </si>
  <si>
    <t>Foret [IdDia]</t>
  </si>
  <si>
    <t>Fraise à chanfreiner 82 degrés - [IdDia] - [NbDent] lèvre(s)</t>
  </si>
  <si>
    <t>Début de l'exercice :</t>
  </si>
  <si>
    <t>Réussite de l'exercice :</t>
  </si>
  <si>
    <t>Questions réussies :</t>
  </si>
  <si>
    <t>Prénom :</t>
  </si>
  <si>
    <t>Nom :</t>
  </si>
  <si>
    <t>Matricule :</t>
  </si>
  <si>
    <t>Code de réussite Moodle :</t>
  </si>
  <si>
    <t>Version :</t>
  </si>
  <si>
    <r>
      <rPr>
        <b/>
        <i/>
        <sz val="8"/>
        <color theme="1"/>
        <rFont val="Calibri"/>
        <family val="2"/>
        <scheme val="minor"/>
      </rPr>
      <t>Vitesse de coupe</t>
    </r>
    <r>
      <rPr>
        <i/>
        <sz val="8"/>
        <color theme="1"/>
        <rFont val="Calibri"/>
        <family val="2"/>
        <scheme val="minor"/>
      </rPr>
      <t xml:space="preserve">
(pieds / minutes)</t>
    </r>
  </si>
  <si>
    <r>
      <t xml:space="preserve">Vitesse de rotation
</t>
    </r>
    <r>
      <rPr>
        <i/>
        <sz val="8"/>
        <color theme="1"/>
        <rFont val="Calibri"/>
        <family val="2"/>
        <scheme val="minor"/>
      </rPr>
      <t>(révolutions / minute)</t>
    </r>
  </si>
  <si>
    <t>0.1250"</t>
  </si>
  <si>
    <t>0.1875"</t>
  </si>
  <si>
    <t>0.3750"</t>
  </si>
  <si>
    <t>0.5000"</t>
  </si>
  <si>
    <t>0.2500"</t>
  </si>
  <si>
    <t>0.6250"</t>
  </si>
  <si>
    <t>0.8750"</t>
  </si>
  <si>
    <t>1.0000"</t>
  </si>
  <si>
    <t>1.2500"</t>
  </si>
  <si>
    <t>1.5000"</t>
  </si>
  <si>
    <t>1.000"</t>
  </si>
  <si>
    <t>1.500"</t>
  </si>
  <si>
    <t>1.750"</t>
  </si>
  <si>
    <t>2.000"</t>
  </si>
  <si>
    <t>2.500"</t>
  </si>
  <si>
    <t>3.000"</t>
  </si>
  <si>
    <t>4.000"</t>
  </si>
  <si>
    <t xml:space="preserve">Pour les Ø plus grand que &gt; 1/2", pré-percer pour dégager l'âme du foret </t>
  </si>
  <si>
    <t>0.7500"</t>
  </si>
  <si>
    <t xml:space="preserve">    'On Error Resume Next</t>
  </si>
  <si>
    <t>Exercice :</t>
  </si>
  <si>
    <t>Pas du filetage</t>
  </si>
  <si>
    <t>pas du filetage</t>
  </si>
  <si>
    <t>Filetage métrique</t>
  </si>
  <si>
    <t>Outil de filetage interne - filet métrique</t>
  </si>
  <si>
    <t>Taraud métrique</t>
  </si>
  <si>
    <t>Taraud impérial</t>
  </si>
  <si>
    <t xml:space="preserve">Pour les Ø plus grand que &gt; 12mm, pré-percer pour dégager l'âme du foret </t>
  </si>
  <si>
    <t>Outil à fileter 60 degrés - filet métrique</t>
  </si>
  <si>
    <t>100% aluminium</t>
  </si>
  <si>
    <t>acier outil</t>
  </si>
  <si>
    <t>440C</t>
  </si>
  <si>
    <r>
      <t>Ajuster l'avance ↔ Ø outil</t>
    </r>
    <r>
      <rPr>
        <sz val="11"/>
        <rFont val="Calibri"/>
        <family val="2"/>
        <scheme val="minor"/>
      </rPr>
      <t xml:space="preserve">
Av. MAX.:</t>
    </r>
    <r>
      <rPr>
        <b/>
        <sz val="11"/>
        <rFont val="Calibri"/>
        <family val="2"/>
        <scheme val="minor"/>
      </rPr>
      <t xml:space="preserve"> .006" / tour</t>
    </r>
  </si>
  <si>
    <r>
      <t xml:space="preserve">Avances pour un outil Ø1''
Ajuster l'avance ↔ Ø outil
</t>
    </r>
    <r>
      <rPr>
        <sz val="10"/>
        <rFont val="Calibri"/>
        <family val="2"/>
        <scheme val="minor"/>
      </rPr>
      <t xml:space="preserve">
Exemple:
Foret de Ø1/4''
</t>
    </r>
    <r>
      <rPr>
        <i/>
        <sz val="10"/>
        <rFont val="Calibri"/>
        <family val="2"/>
        <scheme val="minor"/>
      </rPr>
      <t>.008''/dent * Ø1/4'' =</t>
    </r>
    <r>
      <rPr>
        <b/>
        <i/>
        <sz val="10"/>
        <rFont val="Calibri"/>
        <family val="2"/>
        <scheme val="minor"/>
      </rPr>
      <t xml:space="preserve"> .002''/dent</t>
    </r>
    <r>
      <rPr>
        <i/>
        <sz val="10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 xml:space="preserve">
Ne pas dépasser </t>
    </r>
    <r>
      <rPr>
        <b/>
        <sz val="11"/>
        <rFont val="Calibri"/>
        <family val="2"/>
        <scheme val="minor"/>
      </rPr>
      <t>.010" / dent</t>
    </r>
  </si>
  <si>
    <r>
      <rPr>
        <b/>
        <i/>
        <sz val="8"/>
        <color rgb="FFF2F2F2"/>
        <rFont val="Calibri"/>
        <family val="2"/>
        <scheme val="minor"/>
      </rPr>
      <t>Avance</t>
    </r>
    <r>
      <rPr>
        <i/>
        <sz val="8"/>
        <color rgb="FFF2F2F2"/>
        <rFont val="Calibri"/>
        <family val="2"/>
        <scheme val="minor"/>
      </rPr>
      <t xml:space="preserve">
(pouces / dent)</t>
    </r>
  </si>
  <si>
    <r>
      <rPr>
        <b/>
        <i/>
        <sz val="8"/>
        <color rgb="FFF2F2F2"/>
        <rFont val="Calibri"/>
        <family val="2"/>
        <scheme val="minor"/>
      </rPr>
      <t>Avance par révolution</t>
    </r>
    <r>
      <rPr>
        <i/>
        <sz val="8"/>
        <color rgb="FFF2F2F2"/>
        <rFont val="Calibri"/>
        <family val="2"/>
        <scheme val="minor"/>
      </rPr>
      <t xml:space="preserve">
(pouces / révolution)</t>
    </r>
  </si>
  <si>
    <r>
      <rPr>
        <b/>
        <i/>
        <sz val="8"/>
        <color rgb="FFF2F2F2"/>
        <rFont val="Calibri"/>
        <family val="2"/>
        <scheme val="minor"/>
      </rPr>
      <t>Vitesse d'avance</t>
    </r>
    <r>
      <rPr>
        <i/>
        <sz val="8"/>
        <color rgb="FFF2F2F2"/>
        <rFont val="Calibri"/>
        <family val="2"/>
        <scheme val="minor"/>
      </rPr>
      <t xml:space="preserve">
(pouces / minute)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</si>
</sst>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#\ ?/##"/>
    <numFmt numFmtId="165" formatCode=".000#&quot;''&quot;"/>
    <numFmt numFmtId="166" formatCode="0.000"/>
    <numFmt numFmtId="167" formatCode=".000#&quot;'' / dent&quot;"/>
    <numFmt numFmtId="168" formatCode="#\ ##0"/>
    <numFmt numFmtId="169" formatCode="&quot;Facteur Vc : &quot;0.00"/>
    <numFmt numFmtId="170" formatCode="&quot;Facteur Av : &quot;0.00"/>
    <numFmt numFmtId="171" formatCode="&quot;Vit. de rév. MAX : &quot;#\ ##0\ &quot;rev/min&quot;"/>
    <numFmt numFmtId="172" formatCode="&quot;Avance/dent MAX : &quot;#\ ##0.000\ &quot;po/rev&quot;"/>
    <numFmt numFmtId="173" formatCode="&quot;Réussite(s) consécutive(s) : &quot;#0"/>
    <numFmt numFmtId="174" formatCode="&quot;Dent(s) min : &quot;#"/>
    <numFmt numFmtId="175" formatCode="&quot;Dent(s) MAX : &quot;\ #"/>
    <numFmt numFmtId="176" formatCode=".000#&quot;'' / dent x Ø outil&quot;"/>
    <numFmt numFmtId="177" formatCode=".000#&quot;'' x Ø outil&quot;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name val="Calibri"/>
      <family val="2"/>
      <scheme val="minor"/>
    </font>
    <font>
      <sz val="7"/>
      <name val="Calibri"/>
      <family val="2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AFDC7E"/>
      <name val="Calibri"/>
      <family val="2"/>
      <scheme val="minor"/>
    </font>
    <font>
      <i/>
      <sz val="11"/>
      <color rgb="FFAFDC7E"/>
      <name val="Calibri"/>
      <family val="2"/>
      <scheme val="minor"/>
    </font>
    <font>
      <i/>
      <sz val="8"/>
      <name val="Calibri"/>
      <family val="2"/>
      <scheme val="minor"/>
    </font>
    <font>
      <sz val="11"/>
      <color rgb="FF000019"/>
      <name val="Calibri"/>
      <family val="2"/>
      <scheme val="minor"/>
    </font>
    <font>
      <sz val="10"/>
      <color rgb="FF000019"/>
      <name val="Consolas"/>
      <family val="3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i/>
      <sz val="8"/>
      <color rgb="FFF2F2F2"/>
      <name val="Calibri"/>
      <family val="2"/>
      <scheme val="minor"/>
    </font>
    <font>
      <b/>
      <i/>
      <sz val="8"/>
      <color rgb="FFF2F2F2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1EFFF"/>
        <bgColor indexed="64"/>
      </patternFill>
    </fill>
    <fill>
      <patternFill patternType="solid">
        <fgColor rgb="FFFFFFB7"/>
        <bgColor indexed="64"/>
      </patternFill>
    </fill>
    <fill>
      <patternFill patternType="solid">
        <fgColor rgb="FFFFC5C5"/>
        <bgColor indexed="64"/>
      </patternFill>
    </fill>
    <fill>
      <patternFill patternType="solid">
        <fgColor rgb="FFB3FFD5"/>
        <bgColor indexed="64"/>
      </patternFill>
    </fill>
    <fill>
      <patternFill patternType="solid">
        <fgColor rgb="FFFFF1C5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000019"/>
        <bgColor indexed="64"/>
      </patternFill>
    </fill>
    <fill>
      <gradientFill>
        <stop position="0">
          <color theme="0"/>
        </stop>
        <stop position="1">
          <color theme="0" tint="-5.0965910824915313E-2"/>
        </stop>
      </gradientFill>
    </fill>
    <fill>
      <gradientFill>
        <stop position="0">
          <color theme="0" tint="-5.0965910824915313E-2"/>
        </stop>
        <stop position="1">
          <color theme="0" tint="-0.1490218817712943"/>
        </stop>
      </gradientFill>
    </fill>
    <fill>
      <gradientFill degree="180">
        <stop position="0">
          <color theme="0"/>
        </stop>
        <stop position="1">
          <color theme="0" tint="-0.1490218817712943"/>
        </stop>
      </gradientFill>
    </fill>
    <fill>
      <patternFill patternType="solid">
        <fgColor theme="4" tint="0.59999389629810485"/>
        <bgColor indexed="64"/>
      </patternFill>
    </fill>
    <fill>
      <gradientFill degree="90">
        <stop position="0">
          <color theme="0" tint="-5.0965910824915313E-2"/>
        </stop>
        <stop position="0.5">
          <color theme="3" tint="0.80001220740379042"/>
        </stop>
        <stop position="1">
          <color theme="0" tint="-5.0965910824915313E-2"/>
        </stop>
      </gradientFill>
    </fill>
    <fill>
      <patternFill patternType="solid">
        <fgColor theme="4" tint="0.79998168889431442"/>
        <bgColor indexed="64"/>
      </patternFill>
    </fill>
    <fill>
      <gradientFill degree="180">
        <stop position="0">
          <color theme="0" tint="-5.0965910824915313E-2"/>
        </stop>
        <stop position="1">
          <color theme="0" tint="-0.34900967436750391"/>
        </stop>
      </gradientFill>
    </fill>
    <fill>
      <gradientFill>
        <stop position="0">
          <color theme="0"/>
        </stop>
        <stop position="1">
          <color theme="0" tint="-0.1490218817712943"/>
        </stop>
      </gradientFill>
    </fill>
    <fill>
      <gradientFill degree="90">
        <stop position="0">
          <color theme="0"/>
        </stop>
        <stop position="1">
          <color rgb="FFB4C6E7"/>
        </stop>
      </gradientFill>
    </fill>
    <fill>
      <gradientFill degree="90">
        <stop position="0">
          <color rgb="FFB4C6E7"/>
        </stop>
        <stop position="1">
          <color rgb="FF4472C4"/>
        </stop>
      </gradientFill>
    </fill>
    <fill>
      <patternFill patternType="solid">
        <fgColor rgb="FF4472C4"/>
        <bgColor indexed="64"/>
      </patternFill>
    </fill>
    <fill>
      <patternFill patternType="solid">
        <fgColor rgb="FF4472C4"/>
        <bgColor auto="1"/>
      </patternFill>
    </fill>
    <fill>
      <gradientFill degree="270">
        <stop position="0">
          <color rgb="FFDAE2F3"/>
        </stop>
        <stop position="1">
          <color rgb="FF4472C4"/>
        </stop>
      </gradient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theme="0"/>
      </right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/>
      <bottom style="thin">
        <color indexed="64"/>
      </bottom>
      <diagonal/>
    </border>
    <border>
      <left style="medium">
        <color theme="0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theme="0"/>
      </top>
      <bottom style="thick">
        <color theme="0"/>
      </bottom>
      <diagonal/>
    </border>
    <border>
      <left/>
      <right style="thick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hair">
        <color indexed="64"/>
      </bottom>
      <diagonal/>
    </border>
    <border>
      <left/>
      <right style="thin">
        <color theme="0"/>
      </right>
      <top style="thick">
        <color theme="0"/>
      </top>
      <bottom style="hair">
        <color indexed="64"/>
      </bottom>
      <diagonal/>
    </border>
    <border>
      <left style="thick">
        <color indexed="64"/>
      </left>
      <right/>
      <top/>
      <bottom style="thick">
        <color theme="0"/>
      </bottom>
      <diagonal/>
    </border>
    <border>
      <left style="thick">
        <color indexed="64"/>
      </left>
      <right/>
      <top style="thick">
        <color theme="0"/>
      </top>
      <bottom style="thick">
        <color theme="0"/>
      </bottom>
      <diagonal/>
    </border>
    <border>
      <left style="thick">
        <color indexed="64"/>
      </left>
      <right/>
      <top style="thick">
        <color theme="0"/>
      </top>
      <bottom style="hair">
        <color indexed="64"/>
      </bottom>
      <diagonal/>
    </border>
    <border>
      <left/>
      <right style="thin">
        <color theme="0"/>
      </right>
      <top/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thick">
        <color theme="0"/>
      </bottom>
      <diagonal/>
    </border>
    <border>
      <left/>
      <right style="thick">
        <color indexed="64"/>
      </right>
      <top style="thick">
        <color theme="0"/>
      </top>
      <bottom style="hair">
        <color indexed="64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 style="thin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5">
    <xf numFmtId="0" fontId="0" fillId="0" borderId="0" xfId="0"/>
    <xf numFmtId="0" fontId="0" fillId="0" borderId="0" xfId="0" applyAlignment="1">
      <alignment vertical="center"/>
    </xf>
    <xf numFmtId="0" fontId="6" fillId="0" borderId="0" xfId="0" applyFont="1"/>
    <xf numFmtId="0" fontId="6" fillId="0" borderId="0" xfId="0" applyFont="1" applyAlignment="1">
      <alignment horizontal="right"/>
    </xf>
    <xf numFmtId="0" fontId="12" fillId="0" borderId="0" xfId="0" applyFont="1"/>
    <xf numFmtId="0" fontId="12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15" fillId="0" borderId="0" xfId="0" applyFont="1"/>
    <xf numFmtId="0" fontId="15" fillId="0" borderId="0" xfId="0" applyFont="1" applyAlignment="1">
      <alignment vertical="center"/>
    </xf>
    <xf numFmtId="0" fontId="20" fillId="5" borderId="0" xfId="0" applyFont="1" applyFill="1" applyAlignment="1">
      <alignment horizontal="center" vertical="center"/>
    </xf>
    <xf numFmtId="0" fontId="17" fillId="11" borderId="0" xfId="0" applyFont="1" applyFill="1" applyAlignment="1">
      <alignment horizontal="left" vertical="center"/>
    </xf>
    <xf numFmtId="0" fontId="18" fillId="11" borderId="0" xfId="0" applyFont="1" applyFill="1" applyAlignment="1">
      <alignment horizontal="left" vertical="center"/>
    </xf>
    <xf numFmtId="0" fontId="17" fillId="11" borderId="0" xfId="0" applyFont="1" applyFill="1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left" vertical="center"/>
    </xf>
    <xf numFmtId="0" fontId="16" fillId="12" borderId="0" xfId="0" applyFont="1" applyFill="1" applyAlignment="1">
      <alignment horizontal="center" vertical="center"/>
    </xf>
    <xf numFmtId="0" fontId="8" fillId="12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left" vertical="center"/>
    </xf>
    <xf numFmtId="0" fontId="16" fillId="13" borderId="0" xfId="0" applyFont="1" applyFill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0" xfId="0" applyFont="1" applyFill="1" applyAlignment="1">
      <alignment horizontal="center" vertical="center"/>
    </xf>
    <xf numFmtId="0" fontId="8" fillId="14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6" fillId="15" borderId="0" xfId="0" applyFont="1" applyFill="1" applyAlignment="1">
      <alignment horizontal="left" vertical="center"/>
    </xf>
    <xf numFmtId="0" fontId="16" fillId="15" borderId="0" xfId="0" applyFont="1" applyFill="1" applyAlignment="1">
      <alignment horizontal="center" vertical="center"/>
    </xf>
    <xf numFmtId="0" fontId="8" fillId="15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16" fillId="16" borderId="0" xfId="0" applyFont="1" applyFill="1" applyAlignment="1">
      <alignment horizontal="left" vertical="center"/>
    </xf>
    <xf numFmtId="0" fontId="16" fillId="16" borderId="0" xfId="0" applyFont="1" applyFill="1" applyAlignment="1">
      <alignment horizontal="center" vertical="center"/>
    </xf>
    <xf numFmtId="0" fontId="8" fillId="16" borderId="0" xfId="0" applyFont="1" applyFill="1" applyAlignment="1">
      <alignment horizontal="center" vertical="center"/>
    </xf>
    <xf numFmtId="0" fontId="20" fillId="8" borderId="0" xfId="0" applyFont="1" applyFill="1" applyAlignment="1">
      <alignment horizontal="center" vertical="center"/>
    </xf>
    <xf numFmtId="0" fontId="16" fillId="17" borderId="0" xfId="0" applyFont="1" applyFill="1" applyAlignment="1">
      <alignment horizontal="left" vertical="center"/>
    </xf>
    <xf numFmtId="0" fontId="16" fillId="17" borderId="0" xfId="0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17" fillId="11" borderId="3" xfId="0" applyFont="1" applyFill="1" applyBorder="1" applyAlignment="1">
      <alignment horizontal="left" vertical="center"/>
    </xf>
    <xf numFmtId="0" fontId="18" fillId="11" borderId="3" xfId="0" applyFont="1" applyFill="1" applyBorder="1" applyAlignment="1">
      <alignment horizontal="left" vertical="center"/>
    </xf>
    <xf numFmtId="0" fontId="17" fillId="11" borderId="3" xfId="0" applyFont="1" applyFill="1" applyBorder="1" applyAlignment="1">
      <alignment horizontal="center" vertical="center"/>
    </xf>
    <xf numFmtId="0" fontId="19" fillId="11" borderId="3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left" vertical="center"/>
    </xf>
    <xf numFmtId="0" fontId="16" fillId="12" borderId="3" xfId="0" applyFont="1" applyFill="1" applyBorder="1" applyAlignment="1">
      <alignment horizontal="center" vertical="center"/>
    </xf>
    <xf numFmtId="0" fontId="8" fillId="12" borderId="3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16" fillId="13" borderId="3" xfId="0" applyFont="1" applyFill="1" applyBorder="1" applyAlignment="1">
      <alignment horizontal="left" vertical="center"/>
    </xf>
    <xf numFmtId="0" fontId="16" fillId="13" borderId="3" xfId="0" applyFont="1" applyFill="1" applyBorder="1" applyAlignment="1">
      <alignment horizontal="center" vertical="center"/>
    </xf>
    <xf numFmtId="0" fontId="8" fillId="13" borderId="3" xfId="0" applyFont="1" applyFill="1" applyBorder="1" applyAlignment="1">
      <alignment horizontal="center" vertical="center"/>
    </xf>
    <xf numFmtId="0" fontId="20" fillId="6" borderId="3" xfId="0" applyFont="1" applyFill="1" applyBorder="1" applyAlignment="1">
      <alignment horizontal="center" vertical="center"/>
    </xf>
    <xf numFmtId="0" fontId="16" fillId="14" borderId="3" xfId="0" applyFont="1" applyFill="1" applyBorder="1" applyAlignment="1">
      <alignment horizontal="left" vertical="center"/>
    </xf>
    <xf numFmtId="0" fontId="16" fillId="14" borderId="3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6" fillId="15" borderId="3" xfId="0" applyFont="1" applyFill="1" applyBorder="1" applyAlignment="1">
      <alignment horizontal="left" vertical="center"/>
    </xf>
    <xf numFmtId="0" fontId="16" fillId="15" borderId="3" xfId="0" applyFont="1" applyFill="1" applyBorder="1" applyAlignment="1">
      <alignment horizontal="center" vertical="center"/>
    </xf>
    <xf numFmtId="0" fontId="8" fillId="1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6" fillId="16" borderId="3" xfId="0" applyFont="1" applyFill="1" applyBorder="1" applyAlignment="1">
      <alignment horizontal="left" vertical="center"/>
    </xf>
    <xf numFmtId="0" fontId="16" fillId="16" borderId="3" xfId="0" applyFont="1" applyFill="1" applyBorder="1" applyAlignment="1">
      <alignment horizontal="center" vertical="center"/>
    </xf>
    <xf numFmtId="0" fontId="8" fillId="16" borderId="3" xfId="0" applyFont="1" applyFill="1" applyBorder="1" applyAlignment="1">
      <alignment horizontal="center" vertical="center"/>
    </xf>
    <xf numFmtId="0" fontId="20" fillId="8" borderId="3" xfId="0" applyFont="1" applyFill="1" applyBorder="1" applyAlignment="1">
      <alignment horizontal="center" vertical="center"/>
    </xf>
    <xf numFmtId="0" fontId="16" fillId="17" borderId="3" xfId="0" applyFont="1" applyFill="1" applyBorder="1" applyAlignment="1">
      <alignment horizontal="left" vertical="center"/>
    </xf>
    <xf numFmtId="0" fontId="16" fillId="17" borderId="3" xfId="0" applyFont="1" applyFill="1" applyBorder="1" applyAlignment="1">
      <alignment horizontal="center" vertical="center"/>
    </xf>
    <xf numFmtId="0" fontId="8" fillId="17" borderId="3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6" fillId="16" borderId="4" xfId="0" applyFont="1" applyFill="1" applyBorder="1" applyAlignment="1">
      <alignment horizontal="left" vertical="center"/>
    </xf>
    <xf numFmtId="0" fontId="16" fillId="16" borderId="4" xfId="0" applyFont="1" applyFill="1" applyBorder="1" applyAlignment="1">
      <alignment horizontal="center" vertical="center"/>
    </xf>
    <xf numFmtId="0" fontId="8" fillId="16" borderId="4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8" fillId="0" borderId="8" xfId="0" applyFont="1" applyBorder="1" applyAlignment="1">
      <alignment horizontal="center" textRotation="90"/>
    </xf>
    <xf numFmtId="0" fontId="8" fillId="0" borderId="8" xfId="0" applyFont="1" applyBorder="1" applyAlignment="1">
      <alignment horizontal="center" textRotation="90" wrapText="1"/>
    </xf>
    <xf numFmtId="0" fontId="8" fillId="0" borderId="8" xfId="0" applyFont="1" applyBorder="1" applyAlignment="1">
      <alignment horizontal="left" wrapText="1"/>
    </xf>
    <xf numFmtId="0" fontId="8" fillId="9" borderId="8" xfId="0" applyFont="1" applyFill="1" applyBorder="1" applyAlignment="1">
      <alignment horizontal="center" textRotation="90" wrapText="1"/>
    </xf>
    <xf numFmtId="0" fontId="8" fillId="2" borderId="8" xfId="0" applyFont="1" applyFill="1" applyBorder="1" applyAlignment="1">
      <alignment horizontal="center" textRotation="90" wrapText="1"/>
    </xf>
    <xf numFmtId="0" fontId="20" fillId="8" borderId="8" xfId="0" applyFont="1" applyFill="1" applyBorder="1" applyAlignment="1">
      <alignment horizontal="center" vertical="center"/>
    </xf>
    <xf numFmtId="0" fontId="16" fillId="17" borderId="8" xfId="0" applyFont="1" applyFill="1" applyBorder="1" applyAlignment="1">
      <alignment horizontal="left" vertical="center"/>
    </xf>
    <xf numFmtId="0" fontId="16" fillId="17" borderId="8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1" fillId="0" borderId="0" xfId="0" applyFont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right" vertical="center"/>
    </xf>
    <xf numFmtId="0" fontId="1" fillId="0" borderId="14" xfId="0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166" fontId="1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20" borderId="3" xfId="0" applyFont="1" applyFill="1" applyBorder="1" applyAlignment="1">
      <alignment horizontal="left" vertical="center"/>
    </xf>
    <xf numFmtId="0" fontId="4" fillId="0" borderId="3" xfId="0" applyFont="1" applyBorder="1" applyAlignment="1">
      <alignment horizontal="center" vertical="center"/>
    </xf>
    <xf numFmtId="0" fontId="4" fillId="20" borderId="0" xfId="0" applyFont="1" applyFill="1" applyAlignment="1">
      <alignment horizontal="left" vertical="center"/>
    </xf>
    <xf numFmtId="167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20" borderId="8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67" fontId="5" fillId="0" borderId="10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center"/>
    </xf>
    <xf numFmtId="165" fontId="5" fillId="0" borderId="15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165" fontId="5" fillId="0" borderId="10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vertical="center"/>
    </xf>
    <xf numFmtId="0" fontId="1" fillId="0" borderId="11" xfId="0" applyFont="1" applyBorder="1" applyAlignment="1">
      <alignment horizontal="center" vertical="center"/>
    </xf>
    <xf numFmtId="0" fontId="8" fillId="23" borderId="8" xfId="0" applyFont="1" applyFill="1" applyBorder="1" applyAlignment="1">
      <alignment horizontal="center" textRotation="90" wrapText="1"/>
    </xf>
    <xf numFmtId="166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1" fillId="24" borderId="0" xfId="0" applyFont="1" applyFill="1" applyAlignment="1" applyProtection="1">
      <alignment horizontal="left" indent="1"/>
      <protection locked="0"/>
    </xf>
    <xf numFmtId="0" fontId="0" fillId="18" borderId="0" xfId="0" applyFill="1" applyAlignment="1" applyProtection="1">
      <alignment horizontal="left" vertical="top" indent="1"/>
      <protection locked="0"/>
    </xf>
    <xf numFmtId="0" fontId="1" fillId="24" borderId="0" xfId="0" quotePrefix="1" applyFont="1" applyFill="1" applyAlignment="1" applyProtection="1">
      <alignment horizontal="left" indent="1"/>
      <protection locked="0"/>
    </xf>
    <xf numFmtId="49" fontId="1" fillId="24" borderId="0" xfId="0" applyNumberFormat="1" applyFont="1" applyFill="1" applyAlignment="1" applyProtection="1">
      <alignment horizontal="left" indent="1"/>
      <protection locked="0"/>
    </xf>
    <xf numFmtId="164" fontId="0" fillId="18" borderId="0" xfId="0" applyNumberFormat="1" applyFill="1" applyAlignment="1" applyProtection="1">
      <alignment horizontal="left" vertical="top" indent="1"/>
      <protection locked="0"/>
    </xf>
    <xf numFmtId="49" fontId="0" fillId="18" borderId="0" xfId="0" applyNumberFormat="1" applyFill="1" applyAlignment="1" applyProtection="1">
      <alignment horizontal="left" vertical="top" indent="1"/>
      <protection locked="0"/>
    </xf>
    <xf numFmtId="0" fontId="0" fillId="0" borderId="0" xfId="0" applyAlignment="1" applyProtection="1">
      <alignment horizontal="left" indent="1"/>
      <protection locked="0"/>
    </xf>
    <xf numFmtId="0" fontId="0" fillId="25" borderId="22" xfId="0" applyFill="1" applyBorder="1" applyAlignment="1" applyProtection="1">
      <alignment horizontal="left" vertical="center" indent="1"/>
      <protection locked="0"/>
    </xf>
    <xf numFmtId="0" fontId="0" fillId="25" borderId="0" xfId="0" applyFill="1" applyAlignment="1" applyProtection="1">
      <alignment horizontal="left" vertical="center" indent="1"/>
      <protection locked="0"/>
    </xf>
    <xf numFmtId="0" fontId="0" fillId="25" borderId="23" xfId="0" applyFill="1" applyBorder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3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quotePrefix="1" applyFont="1" applyAlignment="1">
      <alignment horizontal="left"/>
    </xf>
    <xf numFmtId="0" fontId="8" fillId="0" borderId="0" xfId="0" applyFont="1"/>
    <xf numFmtId="0" fontId="7" fillId="0" borderId="0" xfId="0" applyFont="1" applyAlignment="1">
      <alignment horizontal="left"/>
    </xf>
    <xf numFmtId="0" fontId="6" fillId="0" borderId="0" xfId="0" applyFont="1" applyAlignment="1">
      <alignment vertical="top"/>
    </xf>
    <xf numFmtId="0" fontId="7" fillId="0" borderId="0" xfId="0" applyFont="1" applyAlignment="1">
      <alignment horizontal="left" vertical="top"/>
    </xf>
    <xf numFmtId="0" fontId="6" fillId="0" borderId="0" xfId="0" quotePrefix="1" applyFont="1" applyAlignment="1">
      <alignment horizontal="left" vertical="top"/>
    </xf>
    <xf numFmtId="0" fontId="13" fillId="0" borderId="0" xfId="0" applyFont="1" applyAlignment="1">
      <alignment horizontal="center"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6" fillId="10" borderId="2" xfId="0" applyFont="1" applyFill="1" applyBorder="1"/>
    <xf numFmtId="22" fontId="6" fillId="10" borderId="2" xfId="0" applyNumberFormat="1" applyFont="1" applyFill="1" applyBorder="1" applyAlignment="1">
      <alignment horizontal="left"/>
    </xf>
    <xf numFmtId="0" fontId="24" fillId="10" borderId="1" xfId="0" applyFont="1" applyFill="1" applyBorder="1"/>
    <xf numFmtId="0" fontId="8" fillId="10" borderId="1" xfId="0" applyFont="1" applyFill="1" applyBorder="1"/>
    <xf numFmtId="0" fontId="6" fillId="10" borderId="1" xfId="0" applyFont="1" applyFill="1" applyBorder="1"/>
    <xf numFmtId="22" fontId="6" fillId="10" borderId="0" xfId="0" applyNumberFormat="1" applyFont="1" applyFill="1" applyAlignment="1">
      <alignment horizontal="left"/>
    </xf>
    <xf numFmtId="0" fontId="10" fillId="10" borderId="0" xfId="0" applyFont="1" applyFill="1"/>
    <xf numFmtId="0" fontId="6" fillId="10" borderId="0" xfId="0" applyFont="1" applyFill="1"/>
    <xf numFmtId="0" fontId="11" fillId="9" borderId="0" xfId="0" applyFont="1" applyFill="1" applyAlignment="1">
      <alignment horizontal="center" vertical="center"/>
    </xf>
    <xf numFmtId="0" fontId="8" fillId="10" borderId="0" xfId="0" applyFont="1" applyFill="1"/>
    <xf numFmtId="22" fontId="6" fillId="0" borderId="0" xfId="0" applyNumberFormat="1" applyFont="1" applyAlignment="1">
      <alignment horizontal="left"/>
    </xf>
    <xf numFmtId="168" fontId="6" fillId="0" borderId="0" xfId="0" applyNumberFormat="1" applyFont="1" applyAlignment="1">
      <alignment horizontal="center"/>
    </xf>
    <xf numFmtId="12" fontId="1" fillId="24" borderId="0" xfId="0" quotePrefix="1" applyNumberFormat="1" applyFont="1" applyFill="1" applyAlignment="1" applyProtection="1">
      <alignment horizontal="left" indent="1"/>
      <protection locked="0"/>
    </xf>
    <xf numFmtId="0" fontId="10" fillId="26" borderId="0" xfId="0" applyFont="1" applyFill="1" applyAlignment="1">
      <alignment vertical="top"/>
    </xf>
    <xf numFmtId="0" fontId="27" fillId="10" borderId="2" xfId="0" applyFont="1" applyFill="1" applyBorder="1" applyAlignment="1">
      <alignment horizontal="left" textRotation="80"/>
    </xf>
    <xf numFmtId="0" fontId="27" fillId="10" borderId="0" xfId="0" applyFont="1" applyFill="1" applyAlignment="1">
      <alignment horizontal="left" textRotation="80"/>
    </xf>
    <xf numFmtId="0" fontId="28" fillId="19" borderId="0" xfId="0" applyFont="1" applyFill="1" applyAlignment="1">
      <alignment horizontal="left"/>
    </xf>
    <xf numFmtId="0" fontId="28" fillId="19" borderId="0" xfId="0" applyFont="1" applyFill="1"/>
    <xf numFmtId="0" fontId="28" fillId="19" borderId="0" xfId="0" applyFont="1" applyFill="1" applyProtection="1">
      <protection locked="0"/>
    </xf>
    <xf numFmtId="0" fontId="29" fillId="19" borderId="0" xfId="0" applyFont="1" applyFill="1" applyAlignment="1">
      <alignment horizontal="left" vertical="center" indent="1"/>
    </xf>
    <xf numFmtId="0" fontId="28" fillId="19" borderId="0" xfId="0" applyFont="1" applyFill="1" applyAlignment="1">
      <alignment horizontal="right"/>
    </xf>
    <xf numFmtId="0" fontId="28" fillId="19" borderId="0" xfId="0" quotePrefix="1" applyFont="1" applyFill="1"/>
    <xf numFmtId="0" fontId="28" fillId="19" borderId="0" xfId="0" applyFont="1" applyFill="1" applyAlignment="1">
      <alignment horizontal="left" vertical="top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center"/>
    </xf>
    <xf numFmtId="0" fontId="0" fillId="25" borderId="0" xfId="0" applyFill="1" applyAlignment="1" applyProtection="1">
      <alignment horizontal="left" indent="1"/>
      <protection locked="0"/>
    </xf>
    <xf numFmtId="0" fontId="0" fillId="25" borderId="0" xfId="0" applyFill="1" applyAlignment="1" applyProtection="1">
      <alignment horizontal="left" vertical="top" indent="1"/>
      <protection locked="0"/>
    </xf>
    <xf numFmtId="176" fontId="5" fillId="21" borderId="3" xfId="0" applyNumberFormat="1" applyFont="1" applyFill="1" applyBorder="1" applyAlignment="1">
      <alignment horizontal="center" vertical="center"/>
    </xf>
    <xf numFmtId="176" fontId="5" fillId="21" borderId="0" xfId="0" applyNumberFormat="1" applyFont="1" applyFill="1" applyAlignment="1">
      <alignment horizontal="center" vertical="center"/>
    </xf>
    <xf numFmtId="176" fontId="5" fillId="21" borderId="8" xfId="0" applyNumberFormat="1" applyFont="1" applyFill="1" applyBorder="1" applyAlignment="1">
      <alignment horizontal="center" vertical="center"/>
    </xf>
    <xf numFmtId="176" fontId="4" fillId="0" borderId="3" xfId="0" applyNumberFormat="1" applyFont="1" applyBorder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65" fontId="5" fillId="0" borderId="19" xfId="0" applyNumberFormat="1" applyFont="1" applyBorder="1" applyAlignment="1">
      <alignment horizontal="center" vertical="center"/>
    </xf>
    <xf numFmtId="167" fontId="4" fillId="0" borderId="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176" fontId="4" fillId="0" borderId="8" xfId="0" applyNumberFormat="1" applyFont="1" applyBorder="1" applyAlignment="1">
      <alignment horizontal="center" vertical="center"/>
    </xf>
    <xf numFmtId="0" fontId="5" fillId="22" borderId="8" xfId="0" applyFont="1" applyFill="1" applyBorder="1" applyAlignment="1">
      <alignment horizontal="left" vertical="center" wrapText="1" indent="1"/>
    </xf>
    <xf numFmtId="177" fontId="5" fillId="27" borderId="8" xfId="0" applyNumberFormat="1" applyFont="1" applyFill="1" applyBorder="1" applyAlignment="1">
      <alignment horizontal="center" vertical="center"/>
    </xf>
    <xf numFmtId="165" fontId="5" fillId="0" borderId="24" xfId="0" applyNumberFormat="1" applyFont="1" applyBorder="1" applyAlignment="1">
      <alignment horizontal="center" vertical="center"/>
    </xf>
    <xf numFmtId="0" fontId="12" fillId="0" borderId="0" xfId="0" quotePrefix="1" applyFont="1" applyAlignment="1">
      <alignment horizontal="left" vertical="center"/>
    </xf>
    <xf numFmtId="0" fontId="4" fillId="28" borderId="0" xfId="0" applyFont="1" applyFill="1" applyAlignment="1" applyProtection="1">
      <alignment horizontal="left" wrapText="1" indent="1"/>
      <protection locked="0"/>
    </xf>
    <xf numFmtId="173" fontId="30" fillId="30" borderId="0" xfId="0" applyNumberFormat="1" applyFont="1" applyFill="1" applyAlignment="1" applyProtection="1">
      <alignment horizontal="left" vertical="top" indent="1"/>
      <protection locked="0"/>
    </xf>
    <xf numFmtId="0" fontId="25" fillId="31" borderId="0" xfId="0" applyFont="1" applyFill="1" applyAlignment="1" applyProtection="1">
      <alignment horizontal="left" wrapText="1" indent="1"/>
      <protection locked="0"/>
    </xf>
    <xf numFmtId="0" fontId="26" fillId="31" borderId="0" xfId="0" applyFont="1" applyFill="1" applyAlignment="1" applyProtection="1">
      <alignment horizontal="left" vertical="top" wrapText="1" indent="1"/>
      <protection locked="0"/>
    </xf>
    <xf numFmtId="0" fontId="3" fillId="31" borderId="0" xfId="0" applyFont="1" applyFill="1" applyAlignment="1" applyProtection="1">
      <alignment horizontal="left" vertical="center" indent="1"/>
      <protection locked="0"/>
    </xf>
    <xf numFmtId="169" fontId="3" fillId="31" borderId="0" xfId="0" applyNumberFormat="1" applyFont="1" applyFill="1" applyAlignment="1" applyProtection="1">
      <alignment horizontal="left" indent="1"/>
      <protection locked="0"/>
    </xf>
    <xf numFmtId="170" fontId="3" fillId="31" borderId="0" xfId="0" applyNumberFormat="1" applyFont="1" applyFill="1" applyAlignment="1" applyProtection="1">
      <alignment horizontal="left" indent="1"/>
      <protection locked="0"/>
    </xf>
    <xf numFmtId="171" fontId="3" fillId="31" borderId="0" xfId="0" applyNumberFormat="1" applyFont="1" applyFill="1" applyAlignment="1" applyProtection="1">
      <alignment horizontal="left" indent="1"/>
      <protection locked="0"/>
    </xf>
    <xf numFmtId="172" fontId="3" fillId="31" borderId="0" xfId="0" applyNumberFormat="1" applyFont="1" applyFill="1" applyAlignment="1" applyProtection="1">
      <alignment horizontal="left" vertical="top" indent="1"/>
      <protection locked="0"/>
    </xf>
    <xf numFmtId="174" fontId="31" fillId="30" borderId="0" xfId="0" applyNumberFormat="1" applyFont="1" applyFill="1" applyAlignment="1" applyProtection="1">
      <alignment horizontal="left" indent="1"/>
      <protection locked="0"/>
    </xf>
    <xf numFmtId="175" fontId="31" fillId="32" borderId="0" xfId="0" applyNumberFormat="1" applyFont="1" applyFill="1" applyAlignment="1" applyProtection="1">
      <alignment horizontal="left" vertical="top" indent="1"/>
      <protection locked="0"/>
    </xf>
    <xf numFmtId="0" fontId="0" fillId="29" borderId="25" xfId="0" applyFill="1" applyBorder="1" applyAlignment="1" applyProtection="1">
      <alignment horizontal="left" indent="1"/>
      <protection locked="0"/>
    </xf>
    <xf numFmtId="49" fontId="6" fillId="0" borderId="0" xfId="0" quotePrefix="1" applyNumberFormat="1" applyFont="1" applyAlignment="1">
      <alignment horizontal="left" vertical="center"/>
    </xf>
    <xf numFmtId="0" fontId="11" fillId="10" borderId="2" xfId="0" applyFont="1" applyFill="1" applyBorder="1" applyAlignment="1">
      <alignment horizontal="left" textRotation="80" wrapText="1"/>
    </xf>
    <xf numFmtId="0" fontId="11" fillId="10" borderId="0" xfId="0" applyFont="1" applyFill="1" applyAlignment="1">
      <alignment horizontal="left" textRotation="80" wrapText="1"/>
    </xf>
    <xf numFmtId="0" fontId="34" fillId="10" borderId="2" xfId="0" applyFont="1" applyFill="1" applyBorder="1" applyAlignment="1">
      <alignment horizontal="left" textRotation="80" wrapText="1"/>
    </xf>
    <xf numFmtId="0" fontId="10" fillId="10" borderId="0" xfId="0" applyFont="1" applyFill="1" applyAlignment="1">
      <alignment horizontal="left" textRotation="80" wrapText="1"/>
    </xf>
    <xf numFmtId="14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49" fontId="6" fillId="0" borderId="0" xfId="0" quotePrefix="1" applyNumberFormat="1" applyFont="1" applyAlignment="1">
      <alignment horizontal="left" vertical="center"/>
    </xf>
    <xf numFmtId="0" fontId="6" fillId="0" borderId="0" xfId="0" quotePrefix="1" applyFont="1" applyAlignment="1">
      <alignment horizontal="left" vertical="center"/>
    </xf>
    <xf numFmtId="0" fontId="10" fillId="10" borderId="2" xfId="0" applyFont="1" applyFill="1" applyBorder="1" applyAlignment="1">
      <alignment horizontal="left" textRotation="80" wrapText="1"/>
    </xf>
    <xf numFmtId="0" fontId="6" fillId="0" borderId="5" xfId="0" applyFont="1" applyBorder="1" applyAlignment="1">
      <alignment horizontal="left" wrapText="1"/>
    </xf>
    <xf numFmtId="0" fontId="6" fillId="0" borderId="6" xfId="0" applyFont="1" applyBorder="1" applyAlignment="1">
      <alignment horizontal="left" wrapText="1"/>
    </xf>
    <xf numFmtId="0" fontId="6" fillId="0" borderId="7" xfId="0" applyFont="1" applyBorder="1" applyAlignment="1">
      <alignment horizontal="left" wrapText="1"/>
    </xf>
    <xf numFmtId="0" fontId="4" fillId="0" borderId="16" xfId="0" applyFont="1" applyBorder="1" applyAlignment="1">
      <alignment horizontal="center" vertical="center" textRotation="90"/>
    </xf>
    <xf numFmtId="0" fontId="4" fillId="0" borderId="17" xfId="0" applyFont="1" applyBorder="1" applyAlignment="1">
      <alignment horizontal="center" vertical="center" textRotation="90"/>
    </xf>
    <xf numFmtId="0" fontId="4" fillId="0" borderId="18" xfId="0" applyFont="1" applyBorder="1" applyAlignment="1">
      <alignment horizontal="center" vertical="center" textRotation="90"/>
    </xf>
    <xf numFmtId="0" fontId="1" fillId="0" borderId="2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5" fillId="22" borderId="3" xfId="0" applyFont="1" applyFill="1" applyBorder="1" applyAlignment="1">
      <alignment horizontal="left" vertical="center" wrapText="1" indent="1"/>
    </xf>
    <xf numFmtId="0" fontId="4" fillId="22" borderId="0" xfId="0" applyFont="1" applyFill="1" applyAlignment="1">
      <alignment horizontal="left" vertical="center" wrapText="1" indent="1"/>
    </xf>
    <xf numFmtId="0" fontId="1" fillId="0" borderId="13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textRotation="90"/>
    </xf>
    <xf numFmtId="0" fontId="4" fillId="0" borderId="0" xfId="0" applyFont="1" applyAlignment="1">
      <alignment horizontal="center" vertical="center" textRotation="90"/>
    </xf>
    <xf numFmtId="0" fontId="4" fillId="0" borderId="8" xfId="0" applyFont="1" applyBorder="1" applyAlignment="1">
      <alignment horizontal="center" vertical="center" textRotation="90"/>
    </xf>
    <xf numFmtId="0" fontId="1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28"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lor auto="1"/>
      </font>
      <numFmt numFmtId="178" formatCode="@\ &quot; (outil défini sur plusieurs colonnes)&quot;"/>
      <fill>
        <gradientFill degree="90">
          <stop position="0">
            <color theme="0"/>
          </stop>
          <stop position="1">
            <color rgb="FFB4C6E7"/>
          </stop>
        </gradientFill>
      </fill>
    </dxf>
    <dxf>
      <fill>
        <patternFill patternType="darkUp">
          <bgColor rgb="FFFF0000"/>
        </patternFill>
      </fill>
    </dxf>
    <dxf>
      <font>
        <color rgb="FFC00000"/>
      </font>
      <border>
        <left style="thin">
          <color rgb="FFFF0000"/>
        </left>
        <right style="thin">
          <color rgb="FFFF0000"/>
        </right>
        <bottom style="thin">
          <color rgb="FFFF0000"/>
        </bottom>
        <vertical/>
        <horizontal/>
      </border>
    </dxf>
    <dxf>
      <font>
        <strike val="0"/>
        <color rgb="FFC0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vertical/>
        <horizontal/>
      </border>
    </dxf>
    <dxf>
      <numFmt numFmtId="0" formatCode="General"/>
      <fill>
        <patternFill>
          <bgColor theme="9" tint="0.79998168889431442"/>
        </patternFill>
      </fill>
    </dxf>
    <dxf>
      <numFmt numFmtId="0" formatCode="General"/>
      <fill>
        <patternFill>
          <bgColor theme="9" tint="0.79998168889431442"/>
        </patternFill>
      </fill>
    </dxf>
    <dxf>
      <numFmt numFmtId="0" formatCode="General"/>
      <fill>
        <patternFill>
          <bgColor theme="9" tint="0.79998168889431442"/>
        </patternFill>
      </fill>
    </dxf>
    <dxf>
      <numFmt numFmtId="0" formatCode="General"/>
      <fill>
        <patternFill>
          <bgColor theme="9" tint="0.79998168889431442"/>
        </patternFill>
      </fill>
    </dxf>
    <dxf>
      <numFmt numFmtId="0" formatCode="General"/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#\ ##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.000#&quot;''&quot;"/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rgb="FFD9D9D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rgb="FFD9D9D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rgb="FFD9D9D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minor"/>
      </font>
      <fill>
        <patternFill patternType="solid">
          <fgColor indexed="64"/>
          <bgColor rgb="FFD9D9D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minor"/>
      </font>
      <fill>
        <patternFill patternType="solid">
          <fgColor indexed="64"/>
          <bgColor rgb="FFD9D9D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minor"/>
      </font>
      <fill>
        <patternFill patternType="solid">
          <fgColor indexed="64"/>
          <bgColor rgb="FFD9D9D9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minor"/>
      </font>
      <fill>
        <patternFill patternType="solid">
          <fgColor indexed="64"/>
          <bgColor rgb="FFD9D9D9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minor"/>
      </font>
      <fill>
        <patternFill patternType="solid">
          <fgColor indexed="64"/>
          <bgColor rgb="FFD9D9D9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theme="0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theme="0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rgb="FFD9D9D9"/>
        </patternFill>
      </fill>
      <alignment horizontal="center" vertical="center" textRotation="0" wrapText="0" indent="0" justifyLastLine="0" shrinkToFit="0" readingOrder="0"/>
    </dxf>
    <dxf>
      <border outline="0">
        <bottom style="hair">
          <color indexed="64"/>
        </bottom>
      </border>
    </dxf>
  </dxfs>
  <tableStyles count="0" defaultTableStyle="TableStyleMedium2" defaultPivotStyle="PivotStyleLight16"/>
  <colors>
    <mruColors>
      <color rgb="FF4472C4"/>
      <color rgb="FFDAE2F3"/>
      <color rgb="FFB4C6E7"/>
      <color rgb="FF000019"/>
      <color rgb="FFFF7171"/>
      <color rgb="FF005828"/>
      <color rgb="FF0000FD"/>
      <color rgb="FF244072"/>
      <color rgb="FF000714"/>
      <color rgb="FFF9E3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846286701208978"/>
          <c:y val="0.10431387207052276"/>
          <c:w val="0.59391203042624852"/>
          <c:h val="0.79909245191136002"/>
        </c:manualLayout>
      </c:layout>
      <c:barChart>
        <c:barDir val="bar"/>
        <c:grouping val="clustered"/>
        <c:varyColors val="0"/>
        <c:ser>
          <c:idx val="1"/>
          <c:order val="0"/>
          <c:tx>
            <c:v>Gain</c:v>
          </c:tx>
          <c:spPr>
            <a:solidFill>
              <a:srgbClr val="00B050"/>
            </a:solidFill>
            <a:ln>
              <a:noFill/>
            </a:ln>
            <a:effectLst>
              <a:glow rad="101600">
                <a:srgbClr val="00B050">
                  <a:alpha val="40000"/>
                </a:srgbClr>
              </a:glow>
            </a:effectLst>
          </c:spPr>
          <c:invertIfNegative val="0"/>
          <c:cat>
            <c:strRef>
              <c:f>'Quiz - Menu Principal'!serieOperation</c:f>
              <c:strCache>
                <c:ptCount val="7"/>
                <c:pt idx="0">
                  <c:v>Chariotage ébauche</c:v>
                </c:pt>
                <c:pt idx="1">
                  <c:v>Chariotage finition</c:v>
                </c:pt>
                <c:pt idx="2">
                  <c:v>Tronçonnage</c:v>
                </c:pt>
                <c:pt idx="3">
                  <c:v>Filetage interne</c:v>
                </c:pt>
                <c:pt idx="4">
                  <c:v>Rainurage interne</c:v>
                </c:pt>
                <c:pt idx="5">
                  <c:v>Alésage à la barre</c:v>
                </c:pt>
                <c:pt idx="6">
                  <c:v>Filetage externe</c:v>
                </c:pt>
              </c:strCache>
            </c:strRef>
          </c:cat>
          <c:val>
            <c:numRef>
              <c:f>'Quiz - Menu Principal'!serieGain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A2-4F76-8A09-D73C8B37A6B7}"/>
            </c:ext>
          </c:extLst>
        </c:ser>
        <c:ser>
          <c:idx val="4"/>
          <c:order val="1"/>
          <c:tx>
            <c:v>Avant</c:v>
          </c:tx>
          <c:spPr>
            <a:solidFill>
              <a:srgbClr val="0070C0"/>
            </a:solidFill>
            <a:ln>
              <a:noFill/>
            </a:ln>
            <a:effectLst>
              <a:glow rad="101600">
                <a:srgbClr val="0070C0">
                  <a:alpha val="40000"/>
                </a:srgbClr>
              </a:glow>
            </a:effectLst>
          </c:spPr>
          <c:invertIfNegative val="0"/>
          <c:val>
            <c:numRef>
              <c:f>'Quiz - Menu Principal'!serieAvant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15-4DE1-861D-E451DD490B4E}"/>
            </c:ext>
          </c:extLst>
        </c:ser>
        <c:ser>
          <c:idx val="2"/>
          <c:order val="2"/>
          <c:tx>
            <c:v>Perte</c:v>
          </c:tx>
          <c:spPr>
            <a:solidFill>
              <a:srgbClr val="FF0000"/>
            </a:solidFill>
            <a:ln>
              <a:noFill/>
            </a:ln>
            <a:effectLst>
              <a:glow rad="101600">
                <a:srgbClr val="FF0000">
                  <a:alpha val="40000"/>
                </a:srgbClr>
              </a:glow>
            </a:effectLst>
          </c:spPr>
          <c:invertIfNegative val="0"/>
          <c:cat>
            <c:strRef>
              <c:f>'Quiz - Menu Principal'!serieOperation</c:f>
              <c:strCache>
                <c:ptCount val="7"/>
                <c:pt idx="0">
                  <c:v>Chariotage ébauche</c:v>
                </c:pt>
                <c:pt idx="1">
                  <c:v>Chariotage finition</c:v>
                </c:pt>
                <c:pt idx="2">
                  <c:v>Tronçonnage</c:v>
                </c:pt>
                <c:pt idx="3">
                  <c:v>Filetage interne</c:v>
                </c:pt>
                <c:pt idx="4">
                  <c:v>Rainurage interne</c:v>
                </c:pt>
                <c:pt idx="5">
                  <c:v>Alésage à la barre</c:v>
                </c:pt>
                <c:pt idx="6">
                  <c:v>Filetage externe</c:v>
                </c:pt>
              </c:strCache>
            </c:strRef>
          </c:cat>
          <c:val>
            <c:numRef>
              <c:f>'Quiz - Menu Principal'!seriePerte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A2-4F76-8A09-D73C8B37A6B7}"/>
            </c:ext>
          </c:extLst>
        </c:ser>
        <c:ser>
          <c:idx val="0"/>
          <c:order val="3"/>
          <c:tx>
            <c:v>Mask</c:v>
          </c:tx>
          <c:spPr>
            <a:solidFill>
              <a:srgbClr val="0070C0"/>
            </a:solidFill>
            <a:ln>
              <a:noFill/>
            </a:ln>
            <a:effectLst>
              <a:glow rad="101600">
                <a:schemeClr val="accent1">
                  <a:satMod val="175000"/>
                  <a:alpha val="40000"/>
                </a:schemeClr>
              </a:glow>
            </a:effectLst>
          </c:spPr>
          <c:invertIfNegative val="0"/>
          <c:val>
            <c:numRef>
              <c:f>'Quiz - Menu Principal'!serieMask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2B-4F5E-A6D2-2E8B9EC374C6}"/>
            </c:ext>
          </c:extLst>
        </c:ser>
        <c:ser>
          <c:idx val="3"/>
          <c:order val="4"/>
          <c:tx>
            <c:v>Reussi</c:v>
          </c:tx>
          <c:spPr>
            <a:noFill/>
            <a:ln>
              <a:solidFill>
                <a:srgbClr val="FFC000"/>
              </a:solidFill>
            </a:ln>
            <a:effectLst>
              <a:glow rad="76200">
                <a:srgbClr val="FFC000">
                  <a:alpha val="40000"/>
                </a:srgbClr>
              </a:glow>
            </a:effectLst>
          </c:spPr>
          <c:invertIfNegative val="0"/>
          <c:cat>
            <c:strRef>
              <c:f>'Quiz - Menu Principal'!serieOperation</c:f>
              <c:strCache>
                <c:ptCount val="7"/>
                <c:pt idx="0">
                  <c:v>Chariotage ébauche</c:v>
                </c:pt>
                <c:pt idx="1">
                  <c:v>Chariotage finition</c:v>
                </c:pt>
                <c:pt idx="2">
                  <c:v>Tronçonnage</c:v>
                </c:pt>
                <c:pt idx="3">
                  <c:v>Filetage interne</c:v>
                </c:pt>
                <c:pt idx="4">
                  <c:v>Rainurage interne</c:v>
                </c:pt>
                <c:pt idx="5">
                  <c:v>Alésage à la barre</c:v>
                </c:pt>
                <c:pt idx="6">
                  <c:v>Filetage externe</c:v>
                </c:pt>
              </c:strCache>
            </c:strRef>
          </c:cat>
          <c:val>
            <c:numRef>
              <c:f>'Quiz - Menu Principal'!serieReussi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A2-4F76-8A09-D73C8B37A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100"/>
        <c:axId val="107358143"/>
        <c:axId val="398707039"/>
        <c:extLst/>
      </c:barChart>
      <c:catAx>
        <c:axId val="107358143"/>
        <c:scaling>
          <c:orientation val="maxMin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B0F0"/>
                </a:solidFill>
                <a:latin typeface="Lucida Console" panose="020B0609040504020204" pitchFamily="49" charset="0"/>
                <a:ea typeface="+mn-ea"/>
                <a:cs typeface="+mn-cs"/>
              </a:defRPr>
            </a:pPr>
            <a:endParaRPr lang="fr-FR"/>
          </a:p>
        </c:txPr>
        <c:crossAx val="398707039"/>
        <c:crossesAt val="0"/>
        <c:auto val="1"/>
        <c:lblAlgn val="ctr"/>
        <c:lblOffset val="100"/>
        <c:noMultiLvlLbl val="0"/>
      </c:catAx>
      <c:valAx>
        <c:axId val="398707039"/>
        <c:scaling>
          <c:orientation val="minMax"/>
          <c:max val="1"/>
          <c:min val="0"/>
        </c:scaling>
        <c:delete val="0"/>
        <c:axPos val="b"/>
        <c:majorGridlines>
          <c:spPr>
            <a:ln w="3175" cap="flat" cmpd="sng" algn="ctr">
              <a:solidFill>
                <a:schemeClr val="accent1">
                  <a:lumMod val="50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B0F0"/>
                </a:solidFill>
                <a:latin typeface="Lucida Console" panose="020B0609040504020204" pitchFamily="49" charset="0"/>
                <a:ea typeface="+mn-ea"/>
                <a:cs typeface="+mn-cs"/>
              </a:defRPr>
            </a:pPr>
            <a:endParaRPr lang="fr-FR"/>
          </a:p>
        </c:txPr>
        <c:crossAx val="107358143"/>
        <c:crosses val="max"/>
        <c:crossBetween val="between"/>
        <c:majorUnit val="0.2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rgbClr val="00B0F0"/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png"/><Relationship Id="rId3" Type="http://schemas.openxmlformats.org/officeDocument/2006/relationships/chart" Target="../charts/chart1.xml"/><Relationship Id="rId7" Type="http://schemas.openxmlformats.org/officeDocument/2006/relationships/image" Target="../media/image41.png"/><Relationship Id="rId2" Type="http://schemas.openxmlformats.org/officeDocument/2006/relationships/image" Target="../media/image38.png"/><Relationship Id="rId1" Type="http://schemas.openxmlformats.org/officeDocument/2006/relationships/image" Target="../media/image37.png"/><Relationship Id="rId6" Type="http://schemas.openxmlformats.org/officeDocument/2006/relationships/image" Target="../media/image40.png"/><Relationship Id="rId5" Type="http://schemas.microsoft.com/office/2007/relationships/hdphoto" Target="../media/hdphoto1.wdp"/><Relationship Id="rId4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png"/><Relationship Id="rId13" Type="http://schemas.openxmlformats.org/officeDocument/2006/relationships/image" Target="../media/image59.png"/><Relationship Id="rId18" Type="http://schemas.openxmlformats.org/officeDocument/2006/relationships/image" Target="../media/image64.png"/><Relationship Id="rId3" Type="http://schemas.openxmlformats.org/officeDocument/2006/relationships/image" Target="../media/image49.png"/><Relationship Id="rId21" Type="http://schemas.openxmlformats.org/officeDocument/2006/relationships/image" Target="../media/image67.png"/><Relationship Id="rId7" Type="http://schemas.openxmlformats.org/officeDocument/2006/relationships/image" Target="../media/image53.png"/><Relationship Id="rId12" Type="http://schemas.openxmlformats.org/officeDocument/2006/relationships/image" Target="../media/image58.png"/><Relationship Id="rId17" Type="http://schemas.openxmlformats.org/officeDocument/2006/relationships/image" Target="../media/image63.png"/><Relationship Id="rId25" Type="http://schemas.openxmlformats.org/officeDocument/2006/relationships/image" Target="../media/image71.png"/><Relationship Id="rId2" Type="http://schemas.openxmlformats.org/officeDocument/2006/relationships/image" Target="../media/image48.png"/><Relationship Id="rId16" Type="http://schemas.openxmlformats.org/officeDocument/2006/relationships/image" Target="../media/image62.png"/><Relationship Id="rId20" Type="http://schemas.openxmlformats.org/officeDocument/2006/relationships/image" Target="../media/image66.png"/><Relationship Id="rId1" Type="http://schemas.openxmlformats.org/officeDocument/2006/relationships/image" Target="../media/image47.png"/><Relationship Id="rId6" Type="http://schemas.openxmlformats.org/officeDocument/2006/relationships/image" Target="../media/image52.png"/><Relationship Id="rId11" Type="http://schemas.openxmlformats.org/officeDocument/2006/relationships/image" Target="../media/image57.png"/><Relationship Id="rId24" Type="http://schemas.openxmlformats.org/officeDocument/2006/relationships/image" Target="../media/image70.png"/><Relationship Id="rId5" Type="http://schemas.openxmlformats.org/officeDocument/2006/relationships/image" Target="../media/image51.png"/><Relationship Id="rId15" Type="http://schemas.openxmlformats.org/officeDocument/2006/relationships/image" Target="../media/image61.png"/><Relationship Id="rId23" Type="http://schemas.openxmlformats.org/officeDocument/2006/relationships/image" Target="../media/image69.png"/><Relationship Id="rId10" Type="http://schemas.openxmlformats.org/officeDocument/2006/relationships/image" Target="../media/image56.png"/><Relationship Id="rId19" Type="http://schemas.openxmlformats.org/officeDocument/2006/relationships/image" Target="../media/image65.png"/><Relationship Id="rId4" Type="http://schemas.openxmlformats.org/officeDocument/2006/relationships/image" Target="../media/image50.png"/><Relationship Id="rId9" Type="http://schemas.openxmlformats.org/officeDocument/2006/relationships/image" Target="../media/image55.png"/><Relationship Id="rId14" Type="http://schemas.openxmlformats.org/officeDocument/2006/relationships/image" Target="../media/image60.png"/><Relationship Id="rId22" Type="http://schemas.openxmlformats.org/officeDocument/2006/relationships/image" Target="../media/image6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8.emf"/><Relationship Id="rId18" Type="http://schemas.openxmlformats.org/officeDocument/2006/relationships/image" Target="../media/image13.emf"/><Relationship Id="rId26" Type="http://schemas.openxmlformats.org/officeDocument/2006/relationships/image" Target="../media/image32.emf"/><Relationship Id="rId3" Type="http://schemas.openxmlformats.org/officeDocument/2006/relationships/image" Target="../media/image26.emf"/><Relationship Id="rId21" Type="http://schemas.openxmlformats.org/officeDocument/2006/relationships/image" Target="../media/image10.emf"/><Relationship Id="rId34" Type="http://schemas.openxmlformats.org/officeDocument/2006/relationships/image" Target="../media/image36.emf"/><Relationship Id="rId7" Type="http://schemas.openxmlformats.org/officeDocument/2006/relationships/image" Target="../media/image22.emf"/><Relationship Id="rId12" Type="http://schemas.openxmlformats.org/officeDocument/2006/relationships/image" Target="../media/image30.emf"/><Relationship Id="rId17" Type="http://schemas.openxmlformats.org/officeDocument/2006/relationships/image" Target="../media/image14.emf"/><Relationship Id="rId25" Type="http://schemas.openxmlformats.org/officeDocument/2006/relationships/image" Target="../media/image31.emf"/><Relationship Id="rId33" Type="http://schemas.openxmlformats.org/officeDocument/2006/relationships/image" Target="../media/image3.emf"/><Relationship Id="rId2" Type="http://schemas.openxmlformats.org/officeDocument/2006/relationships/image" Target="../media/image25.emf"/><Relationship Id="rId16" Type="http://schemas.openxmlformats.org/officeDocument/2006/relationships/image" Target="../media/image15.emf"/><Relationship Id="rId20" Type="http://schemas.openxmlformats.org/officeDocument/2006/relationships/image" Target="../media/image11.emf"/><Relationship Id="rId29" Type="http://schemas.openxmlformats.org/officeDocument/2006/relationships/image" Target="../media/image35.emf"/><Relationship Id="rId1" Type="http://schemas.openxmlformats.org/officeDocument/2006/relationships/image" Target="../media/image24.emf"/><Relationship Id="rId6" Type="http://schemas.openxmlformats.org/officeDocument/2006/relationships/image" Target="../media/image23.emf"/><Relationship Id="rId11" Type="http://schemas.openxmlformats.org/officeDocument/2006/relationships/image" Target="../media/image29.emf"/><Relationship Id="rId24" Type="http://schemas.openxmlformats.org/officeDocument/2006/relationships/image" Target="../media/image5.emf"/><Relationship Id="rId32" Type="http://schemas.openxmlformats.org/officeDocument/2006/relationships/image" Target="../media/image4.emf"/><Relationship Id="rId5" Type="http://schemas.openxmlformats.org/officeDocument/2006/relationships/image" Target="../media/image28.emf"/><Relationship Id="rId15" Type="http://schemas.openxmlformats.org/officeDocument/2006/relationships/image" Target="../media/image16.emf"/><Relationship Id="rId23" Type="http://schemas.openxmlformats.org/officeDocument/2006/relationships/image" Target="../media/image8.emf"/><Relationship Id="rId28" Type="http://schemas.openxmlformats.org/officeDocument/2006/relationships/image" Target="../media/image34.emf"/><Relationship Id="rId10" Type="http://schemas.openxmlformats.org/officeDocument/2006/relationships/image" Target="../media/image19.emf"/><Relationship Id="rId19" Type="http://schemas.openxmlformats.org/officeDocument/2006/relationships/image" Target="../media/image12.emf"/><Relationship Id="rId31" Type="http://schemas.openxmlformats.org/officeDocument/2006/relationships/image" Target="../media/image6.emf"/><Relationship Id="rId4" Type="http://schemas.openxmlformats.org/officeDocument/2006/relationships/image" Target="../media/image27.emf"/><Relationship Id="rId9" Type="http://schemas.openxmlformats.org/officeDocument/2006/relationships/image" Target="../media/image20.emf"/><Relationship Id="rId14" Type="http://schemas.openxmlformats.org/officeDocument/2006/relationships/image" Target="../media/image17.emf"/><Relationship Id="rId22" Type="http://schemas.openxmlformats.org/officeDocument/2006/relationships/image" Target="../media/image9.emf"/><Relationship Id="rId27" Type="http://schemas.openxmlformats.org/officeDocument/2006/relationships/image" Target="../media/image33.emf"/><Relationship Id="rId30" Type="http://schemas.openxmlformats.org/officeDocument/2006/relationships/image" Target="../media/image7.emf"/><Relationship Id="rId8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4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0</xdr:row>
          <xdr:rowOff>0</xdr:rowOff>
        </xdr:from>
        <xdr:to>
          <xdr:col>7</xdr:col>
          <xdr:colOff>304800</xdr:colOff>
          <xdr:row>0</xdr:row>
          <xdr:rowOff>9525</xdr:rowOff>
        </xdr:to>
        <xdr:sp macro="" textlink="">
          <xdr:nvSpPr>
            <xdr:cNvPr id="1045" name="Image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0</xdr:row>
          <xdr:rowOff>0</xdr:rowOff>
        </xdr:from>
        <xdr:to>
          <xdr:col>7</xdr:col>
          <xdr:colOff>304800</xdr:colOff>
          <xdr:row>0</xdr:row>
          <xdr:rowOff>9525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77786</xdr:colOff>
      <xdr:row>2</xdr:row>
      <xdr:rowOff>115599</xdr:rowOff>
    </xdr:from>
    <xdr:to>
      <xdr:col>24</xdr:col>
      <xdr:colOff>81336</xdr:colOff>
      <xdr:row>39</xdr:row>
      <xdr:rowOff>25820</xdr:rowOff>
    </xdr:to>
    <xdr:grpSp>
      <xdr:nvGrpSpPr>
        <xdr:cNvPr id="35458" name="Group 4">
          <a:extLst>
            <a:ext uri="{FF2B5EF4-FFF2-40B4-BE49-F238E27FC236}">
              <a16:creationId xmlns:a16="http://schemas.microsoft.com/office/drawing/2014/main" id="{00000000-0008-0000-0100-0000828A0000}"/>
            </a:ext>
          </a:extLst>
        </xdr:cNvPr>
        <xdr:cNvGrpSpPr/>
      </xdr:nvGrpSpPr>
      <xdr:grpSpPr>
        <a:xfrm>
          <a:off x="9155111" y="496599"/>
          <a:ext cx="5489950" cy="6958721"/>
          <a:chOff x="9252266" y="485713"/>
          <a:chExt cx="5553632" cy="6762778"/>
        </a:xfrm>
      </xdr:grpSpPr>
      <xdr:grpSp>
        <xdr:nvGrpSpPr>
          <xdr:cNvPr id="35457" name="Group 35456">
            <a:extLst>
              <a:ext uri="{FF2B5EF4-FFF2-40B4-BE49-F238E27FC236}">
                <a16:creationId xmlns:a16="http://schemas.microsoft.com/office/drawing/2014/main" id="{00000000-0008-0000-0100-0000818A0000}"/>
              </a:ext>
            </a:extLst>
          </xdr:cNvPr>
          <xdr:cNvGrpSpPr/>
        </xdr:nvGrpSpPr>
        <xdr:grpSpPr>
          <a:xfrm>
            <a:off x="9252266" y="485713"/>
            <a:ext cx="5553632" cy="6762778"/>
            <a:chOff x="9252266" y="485713"/>
            <a:chExt cx="5553632" cy="6762778"/>
          </a:xfrm>
        </xdr:grpSpPr>
        <xdr:sp macro="" textlink="">
          <xdr:nvSpPr>
            <xdr:cNvPr id="113906" name="Rectangle: Diagonal Corners Snipped 113905">
              <a:extLst>
                <a:ext uri="{FF2B5EF4-FFF2-40B4-BE49-F238E27FC236}">
                  <a16:creationId xmlns:a16="http://schemas.microsoft.com/office/drawing/2014/main" id="{00000000-0008-0000-0100-0000F2BC0100}"/>
                </a:ext>
              </a:extLst>
            </xdr:cNvPr>
            <xdr:cNvSpPr/>
          </xdr:nvSpPr>
          <xdr:spPr>
            <a:xfrm>
              <a:off x="9371485" y="490590"/>
              <a:ext cx="5434413" cy="6757901"/>
            </a:xfrm>
            <a:prstGeom prst="snip2DiagRect">
              <a:avLst>
                <a:gd name="adj1" fmla="val 0"/>
                <a:gd name="adj2" fmla="val 22390"/>
              </a:avLst>
            </a:prstGeom>
            <a:gradFill flip="none" rotWithShape="1">
              <a:gsLst>
                <a:gs pos="0">
                  <a:srgbClr val="002060">
                    <a:alpha val="44000"/>
                  </a:srgbClr>
                </a:gs>
                <a:gs pos="100000">
                  <a:srgbClr val="080808"/>
                </a:gs>
              </a:gsLst>
              <a:lin ang="16200000" scaled="1"/>
              <a:tileRect/>
            </a:gradFill>
            <a:ln w="38100">
              <a:solidFill>
                <a:srgbClr val="00B0F0">
                  <a:alpha val="60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113907" name="Trapezoid 113906">
              <a:extLst>
                <a:ext uri="{FF2B5EF4-FFF2-40B4-BE49-F238E27FC236}">
                  <a16:creationId xmlns:a16="http://schemas.microsoft.com/office/drawing/2014/main" id="{00000000-0008-0000-0100-0000F3BC0100}"/>
                </a:ext>
              </a:extLst>
            </xdr:cNvPr>
            <xdr:cNvSpPr/>
          </xdr:nvSpPr>
          <xdr:spPr>
            <a:xfrm>
              <a:off x="11100658" y="6848443"/>
              <a:ext cx="3604735" cy="387393"/>
            </a:xfrm>
            <a:prstGeom prst="trapezoid">
              <a:avLst>
                <a:gd name="adj" fmla="val 113889"/>
              </a:avLst>
            </a:prstGeom>
            <a:solidFill>
              <a:schemeClr val="bg1"/>
            </a:solidFill>
            <a:ln w="12700">
              <a:solidFill>
                <a:srgbClr val="00B0F0">
                  <a:alpha val="60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en-CA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13908" name="Trapezoid 113907">
              <a:extLst>
                <a:ext uri="{FF2B5EF4-FFF2-40B4-BE49-F238E27FC236}">
                  <a16:creationId xmlns:a16="http://schemas.microsoft.com/office/drawing/2014/main" id="{00000000-0008-0000-0100-0000F4BC0100}"/>
                </a:ext>
              </a:extLst>
            </xdr:cNvPr>
            <xdr:cNvSpPr/>
          </xdr:nvSpPr>
          <xdr:spPr>
            <a:xfrm rot="5400000">
              <a:off x="7637775" y="2721705"/>
              <a:ext cx="3595310" cy="132985"/>
            </a:xfrm>
            <a:prstGeom prst="trapezoid">
              <a:avLst>
                <a:gd name="adj" fmla="val 113889"/>
              </a:avLst>
            </a:prstGeom>
            <a:solidFill>
              <a:srgbClr val="0070C0">
                <a:alpha val="48000"/>
              </a:srgbClr>
            </a:solidFill>
            <a:ln w="12700">
              <a:solidFill>
                <a:srgbClr val="00B0F0">
                  <a:alpha val="60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en-CA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13910" name="Trapezoid 113909">
              <a:extLst>
                <a:ext uri="{FF2B5EF4-FFF2-40B4-BE49-F238E27FC236}">
                  <a16:creationId xmlns:a16="http://schemas.microsoft.com/office/drawing/2014/main" id="{00000000-0008-0000-0100-0000F6BC0100}"/>
                </a:ext>
              </a:extLst>
            </xdr:cNvPr>
            <xdr:cNvSpPr/>
          </xdr:nvSpPr>
          <xdr:spPr>
            <a:xfrm rot="10800000">
              <a:off x="11487150" y="485713"/>
              <a:ext cx="2056184" cy="228662"/>
            </a:xfrm>
            <a:prstGeom prst="trapezoid">
              <a:avLst>
                <a:gd name="adj" fmla="val 113889"/>
              </a:avLst>
            </a:prstGeom>
            <a:solidFill>
              <a:srgbClr val="0070C0">
                <a:alpha val="48000"/>
              </a:srgbClr>
            </a:solidFill>
            <a:ln w="12700">
              <a:solidFill>
                <a:srgbClr val="00B0F0">
                  <a:alpha val="60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en-CA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grpSp>
          <xdr:nvGrpSpPr>
            <xdr:cNvPr id="113911" name="Group 113910">
              <a:extLst>
                <a:ext uri="{FF2B5EF4-FFF2-40B4-BE49-F238E27FC236}">
                  <a16:creationId xmlns:a16="http://schemas.microsoft.com/office/drawing/2014/main" id="{00000000-0008-0000-0100-0000F7BC0100}"/>
                </a:ext>
              </a:extLst>
            </xdr:cNvPr>
            <xdr:cNvGrpSpPr/>
          </xdr:nvGrpSpPr>
          <xdr:grpSpPr>
            <a:xfrm>
              <a:off x="11351593" y="6867489"/>
              <a:ext cx="2928772" cy="363478"/>
              <a:chOff x="11338054" y="6867527"/>
              <a:chExt cx="2928744" cy="363477"/>
            </a:xfrm>
          </xdr:grpSpPr>
          <xdr:pic>
            <xdr:nvPicPr>
              <xdr:cNvPr id="113913" name="Picture 131">
                <a:extLst>
                  <a:ext uri="{FF2B5EF4-FFF2-40B4-BE49-F238E27FC236}">
                    <a16:creationId xmlns:a16="http://schemas.microsoft.com/office/drawing/2014/main" id="{00000000-0008-0000-0100-0000F9BC01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email">
                <a:extLst>
                  <a:ext uri="{28A0092B-C50C-407E-A947-70E740481C1C}">
                    <a14:useLocalDpi xmlns:a14="http://schemas.microsoft.com/office/drawing/2010/main"/>
                  </a:ext>
                </a:extLst>
              </a:blip>
              <a:stretch>
                <a:fillRect/>
              </a:stretch>
            </xdr:blipFill>
            <xdr:spPr>
              <a:xfrm>
                <a:off x="13114798" y="6925467"/>
                <a:ext cx="1152000" cy="248400"/>
              </a:xfrm>
              <a:prstGeom prst="rect">
                <a:avLst/>
              </a:prstGeom>
            </xdr:spPr>
          </xdr:pic>
          <xdr:sp macro="" textlink="">
            <xdr:nvSpPr>
              <xdr:cNvPr id="113914" name="TextBox 130">
                <a:extLst>
                  <a:ext uri="{FF2B5EF4-FFF2-40B4-BE49-F238E27FC236}">
                    <a16:creationId xmlns:a16="http://schemas.microsoft.com/office/drawing/2014/main" id="{00000000-0008-0000-0100-0000FABC0100}"/>
                  </a:ext>
                </a:extLst>
              </xdr:cNvPr>
              <xdr:cNvSpPr txBox="1"/>
            </xdr:nvSpPr>
            <xdr:spPr>
              <a:xfrm>
                <a:off x="11338054" y="6867527"/>
                <a:ext cx="1702759" cy="36347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r>
                  <a:rPr lang="en-CA" sz="800" i="1"/>
                  <a:t>Techniques</a:t>
                </a:r>
                <a:r>
                  <a:rPr lang="en-CA" sz="800" i="1" baseline="0"/>
                  <a:t> de</a:t>
                </a:r>
                <a:r>
                  <a:rPr lang="en-CA" sz="800" i="1"/>
                  <a:t> génie mécanique</a:t>
                </a:r>
              </a:p>
              <a:p>
                <a:pPr algn="r"/>
                <a:r>
                  <a:rPr lang="en-CA" sz="800" i="1"/>
                  <a:t>- profil fabrication - TLP - 2024</a:t>
                </a:r>
              </a:p>
            </xdr:txBody>
          </xdr:sp>
        </xdr:grpSp>
        <xdr:pic>
          <xdr:nvPicPr>
            <xdr:cNvPr id="113912" name="Picture 130">
              <a:extLst>
                <a:ext uri="{FF2B5EF4-FFF2-40B4-BE49-F238E27FC236}">
                  <a16:creationId xmlns:a16="http://schemas.microsoft.com/office/drawing/2014/main" id="{00000000-0008-0000-0100-0000F8BC01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email">
              <a:duotone>
                <a:prstClr val="black"/>
                <a:schemeClr val="accent1">
                  <a:tint val="45000"/>
                  <a:satMod val="400000"/>
                </a:schemeClr>
              </a:duotone>
              <a:alphaModFix amt="35000"/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9652823" y="1495366"/>
              <a:ext cx="885835" cy="885830"/>
            </a:xfrm>
            <a:prstGeom prst="rect">
              <a:avLst/>
            </a:prstGeom>
          </xdr:spPr>
        </xdr:pic>
        <xdr:graphicFrame macro="">
          <xdr:nvGraphicFramePr>
            <xdr:cNvPr id="35463" name="Chart 1">
              <a:extLst>
                <a:ext uri="{FF2B5EF4-FFF2-40B4-BE49-F238E27FC236}">
                  <a16:creationId xmlns:a16="http://schemas.microsoft.com/office/drawing/2014/main" id="{00000000-0008-0000-0100-0000878A0000}"/>
                </a:ext>
              </a:extLst>
            </xdr:cNvPr>
            <xdr:cNvGraphicFramePr/>
          </xdr:nvGraphicFramePr>
          <xdr:xfrm>
            <a:off x="9252266" y="2323269"/>
            <a:ext cx="5511375" cy="450914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33" name="TextBox 114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10520902" y="1457824"/>
              <a:ext cx="514800" cy="2205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l"/>
              <a:r>
                <a:rPr lang="en-CA" sz="1000" b="0">
                  <a:ln>
                    <a:noFill/>
                  </a:ln>
                  <a:solidFill>
                    <a:srgbClr val="00B0F0"/>
                  </a:solidFill>
                  <a:latin typeface="Lucida Console" panose="020B0609040504020204" pitchFamily="49" charset="0"/>
                </a:rPr>
                <a:t>Nom :</a:t>
              </a:r>
            </a:p>
          </xdr:txBody>
        </xdr:sp>
        <xdr:sp macro="" textlink="">
          <xdr:nvSpPr>
            <xdr:cNvPr id="34" name="TextBox 114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SpPr txBox="1"/>
          </xdr:nvSpPr>
          <xdr:spPr>
            <a:xfrm>
              <a:off x="10520901" y="1708462"/>
              <a:ext cx="741600" cy="2205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l"/>
              <a:r>
                <a:rPr lang="en-CA" sz="1000" b="0">
                  <a:ln>
                    <a:noFill/>
                  </a:ln>
                  <a:solidFill>
                    <a:srgbClr val="00B0F0"/>
                  </a:solidFill>
                  <a:latin typeface="Lucida Console" panose="020B0609040504020204" pitchFamily="49" charset="0"/>
                </a:rPr>
                <a:t>Prénom :</a:t>
              </a:r>
            </a:p>
          </xdr:txBody>
        </xdr:sp>
        <xdr:sp macro="" textlink="">
          <xdr:nvSpPr>
            <xdr:cNvPr id="45291" name="TextBox 114">
              <a:extLst>
                <a:ext uri="{FF2B5EF4-FFF2-40B4-BE49-F238E27FC236}">
                  <a16:creationId xmlns:a16="http://schemas.microsoft.com/office/drawing/2014/main" id="{00000000-0008-0000-0100-0000EBB00000}"/>
                </a:ext>
              </a:extLst>
            </xdr:cNvPr>
            <xdr:cNvSpPr txBox="1"/>
          </xdr:nvSpPr>
          <xdr:spPr>
            <a:xfrm>
              <a:off x="10520901" y="1959100"/>
              <a:ext cx="966144" cy="2205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l"/>
              <a:r>
                <a:rPr lang="en-CA" sz="1000" b="0">
                  <a:ln>
                    <a:noFill/>
                  </a:ln>
                  <a:solidFill>
                    <a:srgbClr val="00B0F0"/>
                  </a:solidFill>
                  <a:latin typeface="Lucida Console" panose="020B0609040504020204" pitchFamily="49" charset="0"/>
                </a:rPr>
                <a:t>Matricule :</a:t>
              </a:r>
            </a:p>
          </xdr:txBody>
        </xdr:sp>
        <xdr:sp macro="" textlink="">
          <xdr:nvSpPr>
            <xdr:cNvPr id="45292" name="TextBox 114">
              <a:extLst>
                <a:ext uri="{FF2B5EF4-FFF2-40B4-BE49-F238E27FC236}">
                  <a16:creationId xmlns:a16="http://schemas.microsoft.com/office/drawing/2014/main" id="{00000000-0008-0000-0100-0000ECB00000}"/>
                </a:ext>
              </a:extLst>
            </xdr:cNvPr>
            <xdr:cNvSpPr txBox="1"/>
          </xdr:nvSpPr>
          <xdr:spPr>
            <a:xfrm>
              <a:off x="10520901" y="2209739"/>
              <a:ext cx="2138243" cy="26732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l"/>
              <a:r>
                <a:rPr lang="en-CA" sz="1000" b="0">
                  <a:ln>
                    <a:noFill/>
                  </a:ln>
                  <a:solidFill>
                    <a:srgbClr val="00B0F0"/>
                  </a:solidFill>
                  <a:latin typeface="Lucida Console" panose="020B0609040504020204" pitchFamily="49" charset="0"/>
                </a:rPr>
                <a:t>Numéro d'exercice</a:t>
              </a:r>
              <a:r>
                <a:rPr lang="en-CA" sz="1000" b="0" baseline="0">
                  <a:ln>
                    <a:noFill/>
                  </a:ln>
                  <a:solidFill>
                    <a:srgbClr val="00B0F0"/>
                  </a:solidFill>
                  <a:latin typeface="Lucida Console" panose="020B0609040504020204" pitchFamily="49" charset="0"/>
                </a:rPr>
                <a:t> Moodle</a:t>
              </a:r>
              <a:r>
                <a:rPr lang="en-CA" sz="1000" b="0">
                  <a:ln>
                    <a:noFill/>
                  </a:ln>
                  <a:solidFill>
                    <a:srgbClr val="00B0F0"/>
                  </a:solidFill>
                  <a:latin typeface="Lucida Console" panose="020B0609040504020204" pitchFamily="49" charset="0"/>
                </a:rPr>
                <a:t> :</a:t>
              </a:r>
            </a:p>
          </xdr:txBody>
        </xdr:sp>
        <xdr:grpSp>
          <xdr:nvGrpSpPr>
            <xdr:cNvPr id="113873" name="Group 113872">
              <a:extLst>
                <a:ext uri="{FF2B5EF4-FFF2-40B4-BE49-F238E27FC236}">
                  <a16:creationId xmlns:a16="http://schemas.microsoft.com/office/drawing/2014/main" id="{00000000-0008-0000-0100-0000D1BC0100}"/>
                </a:ext>
              </a:extLst>
            </xdr:cNvPr>
            <xdr:cNvGrpSpPr/>
          </xdr:nvGrpSpPr>
          <xdr:grpSpPr>
            <a:xfrm>
              <a:off x="9620249" y="644673"/>
              <a:ext cx="1943091" cy="690697"/>
              <a:chOff x="9620249" y="644673"/>
              <a:chExt cx="1943091" cy="690697"/>
            </a:xfrm>
          </xdr:grpSpPr>
          <xdr:grpSp>
            <xdr:nvGrpSpPr>
              <xdr:cNvPr id="23604" name="Group 23603">
                <a:extLst>
                  <a:ext uri="{FF2B5EF4-FFF2-40B4-BE49-F238E27FC236}">
                    <a16:creationId xmlns:a16="http://schemas.microsoft.com/office/drawing/2014/main" id="{00000000-0008-0000-0100-0000345C0000}"/>
                  </a:ext>
                </a:extLst>
              </xdr:cNvPr>
              <xdr:cNvGrpSpPr/>
            </xdr:nvGrpSpPr>
            <xdr:grpSpPr>
              <a:xfrm>
                <a:off x="9629241" y="644673"/>
                <a:ext cx="1934099" cy="690697"/>
                <a:chOff x="9629236" y="873275"/>
                <a:chExt cx="1924573" cy="495076"/>
              </a:xfrm>
            </xdr:grpSpPr>
            <xdr:sp macro="" textlink="">
              <xdr:nvSpPr>
                <xdr:cNvPr id="23578" name="Cadre 401">
                  <a:extLst>
                    <a:ext uri="{FF2B5EF4-FFF2-40B4-BE49-F238E27FC236}">
                      <a16:creationId xmlns:a16="http://schemas.microsoft.com/office/drawing/2014/main" id="{00000000-0008-0000-0100-00001A5C0000}"/>
                    </a:ext>
                  </a:extLst>
                </xdr:cNvPr>
                <xdr:cNvSpPr/>
              </xdr:nvSpPr>
              <xdr:spPr>
                <a:xfrm>
                  <a:off x="9629236" y="873275"/>
                  <a:ext cx="1924002" cy="495076"/>
                </a:xfrm>
                <a:prstGeom prst="snip2DiagRect">
                  <a:avLst>
                    <a:gd name="adj1" fmla="val 0"/>
                    <a:gd name="adj2" fmla="val 22390"/>
                  </a:avLst>
                </a:prstGeom>
                <a:gradFill flip="none" rotWithShape="0">
                  <a:gsLst>
                    <a:gs pos="0">
                      <a:srgbClr val="002060"/>
                    </a:gs>
                    <a:gs pos="100000">
                      <a:srgbClr val="080808"/>
                    </a:gs>
                  </a:gsLst>
                  <a:lin ang="16200000" scaled="1"/>
                  <a:tileRect/>
                </a:gradFill>
                <a:ln w="38100" cap="flat" cmpd="sng" algn="ctr">
                  <a:solidFill>
                    <a:srgbClr val="0070C0">
                      <a:alpha val="60000"/>
                    </a:srgbClr>
                  </a:solidFill>
                  <a:prstDash val="solid"/>
                  <a:miter lim="800000"/>
                  <a:headEnd type="none" w="med" len="med"/>
                  <a:tailEnd type="none" w="med" len="med"/>
                </a:ln>
                <a:effectLst>
                  <a:glow>
                    <a:srgbClr val="0070C0"/>
                  </a:glo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CA" sz="1100"/>
                </a:p>
              </xdr:txBody>
            </xdr:sp>
            <xdr:sp macro="" textlink="">
              <xdr:nvSpPr>
                <xdr:cNvPr id="23579" name="Trapezoid 404">
                  <a:extLst>
                    <a:ext uri="{FF2B5EF4-FFF2-40B4-BE49-F238E27FC236}">
                      <a16:creationId xmlns:a16="http://schemas.microsoft.com/office/drawing/2014/main" id="{00000000-0008-0000-0100-00001B5C0000}"/>
                    </a:ext>
                  </a:extLst>
                </xdr:cNvPr>
                <xdr:cNvSpPr/>
              </xdr:nvSpPr>
              <xdr:spPr>
                <a:xfrm flipH="1">
                  <a:off x="9899169" y="1320187"/>
                  <a:ext cx="504114" cy="45719"/>
                </a:xfrm>
                <a:prstGeom prst="trapezoid">
                  <a:avLst>
                    <a:gd name="adj" fmla="val 113889"/>
                  </a:avLst>
                </a:prstGeom>
                <a:solidFill>
                  <a:srgbClr val="0070C0">
                    <a:alpha val="50000"/>
                  </a:srgbClr>
                </a:solidFill>
                <a:ln w="12700" cap="flat" cmpd="sng" algn="ctr">
                  <a:solidFill>
                    <a:srgbClr val="0070C0">
                      <a:alpha val="60000"/>
                    </a:srgbClr>
                  </a:solidFill>
                  <a:prstDash val="solid"/>
                  <a:miter lim="800000"/>
                  <a:headEnd type="none" w="med" len="med"/>
                  <a:tailEnd type="none" w="med" len="med"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endParaRPr lang="en-CA"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23580" name="Trapezoid 403">
                  <a:extLst>
                    <a:ext uri="{FF2B5EF4-FFF2-40B4-BE49-F238E27FC236}">
                      <a16:creationId xmlns:a16="http://schemas.microsoft.com/office/drawing/2014/main" id="{00000000-0008-0000-0100-00001C5C0000}"/>
                    </a:ext>
                  </a:extLst>
                </xdr:cNvPr>
                <xdr:cNvSpPr/>
              </xdr:nvSpPr>
              <xdr:spPr>
                <a:xfrm rot="16200000" flipH="1">
                  <a:off x="11438608" y="1057265"/>
                  <a:ext cx="184272" cy="46130"/>
                </a:xfrm>
                <a:prstGeom prst="trapezoid">
                  <a:avLst>
                    <a:gd name="adj" fmla="val 113889"/>
                  </a:avLst>
                </a:prstGeom>
                <a:solidFill>
                  <a:srgbClr val="0070C0">
                    <a:alpha val="50000"/>
                  </a:srgbClr>
                </a:solidFill>
                <a:ln w="12700" cap="flat" cmpd="sng" algn="ctr">
                  <a:solidFill>
                    <a:srgbClr val="0070C0">
                      <a:alpha val="60000"/>
                    </a:srgbClr>
                  </a:solidFill>
                  <a:prstDash val="solid"/>
                  <a:miter lim="800000"/>
                  <a:headEnd type="none" w="med" len="med"/>
                  <a:tailEnd type="none" w="med" len="med"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endParaRPr lang="en-CA"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23581" name="Trapezoid 402">
                  <a:extLst>
                    <a:ext uri="{FF2B5EF4-FFF2-40B4-BE49-F238E27FC236}">
                      <a16:creationId xmlns:a16="http://schemas.microsoft.com/office/drawing/2014/main" id="{00000000-0008-0000-0100-00001D5C0000}"/>
                    </a:ext>
                  </a:extLst>
                </xdr:cNvPr>
                <xdr:cNvSpPr/>
              </xdr:nvSpPr>
              <xdr:spPr>
                <a:xfrm rot="10800000" flipH="1">
                  <a:off x="10725684" y="880429"/>
                  <a:ext cx="480059" cy="19758"/>
                </a:xfrm>
                <a:prstGeom prst="trapezoid">
                  <a:avLst>
                    <a:gd name="adj" fmla="val 113889"/>
                  </a:avLst>
                </a:prstGeom>
                <a:solidFill>
                  <a:srgbClr val="0070C0">
                    <a:alpha val="50000"/>
                  </a:srgbClr>
                </a:solidFill>
                <a:ln w="12700" cap="flat" cmpd="sng" algn="ctr">
                  <a:solidFill>
                    <a:srgbClr val="0070C0">
                      <a:alpha val="60000"/>
                    </a:srgbClr>
                  </a:solidFill>
                  <a:prstDash val="solid"/>
                  <a:miter lim="800000"/>
                  <a:headEnd type="none" w="med" len="med"/>
                  <a:tailEnd type="none" w="med" len="med"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endParaRPr lang="en-CA"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</xdr:grpSp>
          <xdr:sp macro="[0]!shQuiz.TextBox102A_Click" textlink="">
            <xdr:nvSpPr>
              <xdr:cNvPr id="23593" name="TextBox 102A">
                <a:extLst>
                  <a:ext uri="{FF2B5EF4-FFF2-40B4-BE49-F238E27FC236}">
                    <a16:creationId xmlns:a16="http://schemas.microsoft.com/office/drawing/2014/main" id="{00000000-0008-0000-0100-0000295C0000}"/>
                  </a:ext>
                </a:extLst>
              </xdr:cNvPr>
              <xdr:cNvSpPr txBox="1"/>
            </xdr:nvSpPr>
            <xdr:spPr>
              <a:xfrm rot="10800000" flipH="1" flipV="1">
                <a:off x="9620249" y="742951"/>
                <a:ext cx="1931511" cy="510284"/>
              </a:xfrm>
              <a:prstGeom prst="rect">
                <a:avLst/>
              </a:prstGeom>
              <a:noFill/>
              <a:ln w="9525" cmpd="sng">
                <a:noFill/>
              </a:ln>
              <a:effectLst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en-CA" sz="1600" b="0" i="0" cap="none" spc="0">
                    <a:ln/>
                    <a:solidFill>
                      <a:srgbClr val="FFFF00"/>
                    </a:solidFill>
                    <a:effectLst/>
                    <a:latin typeface="Lucida Console" panose="020B0609040504020204" pitchFamily="49" charset="0"/>
                  </a:rPr>
                  <a:t>Menu principal</a:t>
                </a:r>
              </a:p>
            </xdr:txBody>
          </xdr:sp>
        </xdr:grpSp>
      </xdr:grp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13918" name="Group 113917">
                <a:extLst>
                  <a:ext uri="{FF2B5EF4-FFF2-40B4-BE49-F238E27FC236}">
                    <a16:creationId xmlns:a16="http://schemas.microsoft.com/office/drawing/2014/main" id="{00000000-0008-0000-0100-0000FEBC0100}"/>
                  </a:ext>
                </a:extLst>
              </xdr:cNvPr>
              <xdr:cNvGrpSpPr/>
            </xdr:nvGrpSpPr>
            <xdr:grpSpPr>
              <a:xfrm>
                <a:off x="11039475" y="857254"/>
                <a:ext cx="3752840" cy="1638308"/>
                <a:chOff x="11039475" y="857254"/>
                <a:chExt cx="3752840" cy="1638308"/>
              </a:xfrm>
            </xdr:grpSpPr>
            <xdr:sp macro="" textlink="">
              <xdr:nvSpPr>
                <xdr:cNvPr id="114440" name="Label14" hidden="1">
                  <a:extLst>
                    <a:ext uri="{63B3BB69-23CF-44E3-9099-C40C66FF867C}">
                      <a14:compatExt spid="_x0000_s114440"/>
                    </a:ext>
                    <a:ext uri="{FF2B5EF4-FFF2-40B4-BE49-F238E27FC236}">
                      <a16:creationId xmlns:a16="http://schemas.microsoft.com/office/drawing/2014/main" id="{00000000-0008-0000-0100-000008BF0100}"/>
                    </a:ext>
                  </a:extLst>
                </xdr:cNvPr>
                <xdr:cNvSpPr/>
              </xdr:nvSpPr>
              <xdr:spPr bwMode="auto">
                <a:xfrm>
                  <a:off x="11039475" y="1485900"/>
                  <a:ext cx="3476613" cy="2476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4441" name="Label15" hidden="1">
                  <a:extLst>
                    <a:ext uri="{63B3BB69-23CF-44E3-9099-C40C66FF867C}">
                      <a14:compatExt spid="_x0000_s114441"/>
                    </a:ext>
                    <a:ext uri="{FF2B5EF4-FFF2-40B4-BE49-F238E27FC236}">
                      <a16:creationId xmlns:a16="http://schemas.microsoft.com/office/drawing/2014/main" id="{00000000-0008-0000-0100-000009BF0100}"/>
                    </a:ext>
                  </a:extLst>
                </xdr:cNvPr>
                <xdr:cNvSpPr/>
              </xdr:nvSpPr>
              <xdr:spPr bwMode="auto">
                <a:xfrm>
                  <a:off x="11287125" y="1733550"/>
                  <a:ext cx="3476625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4442" name="Label16" hidden="1">
                  <a:extLst>
                    <a:ext uri="{63B3BB69-23CF-44E3-9099-C40C66FF867C}">
                      <a14:compatExt spid="_x0000_s114442"/>
                    </a:ext>
                    <a:ext uri="{FF2B5EF4-FFF2-40B4-BE49-F238E27FC236}">
                      <a16:creationId xmlns:a16="http://schemas.microsoft.com/office/drawing/2014/main" id="{00000000-0008-0000-0100-00000ABF0100}"/>
                    </a:ext>
                  </a:extLst>
                </xdr:cNvPr>
                <xdr:cNvSpPr/>
              </xdr:nvSpPr>
              <xdr:spPr bwMode="auto">
                <a:xfrm>
                  <a:off x="11487150" y="1990725"/>
                  <a:ext cx="3267075" cy="2476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4457" name="Label20" hidden="1">
                  <a:extLst>
                    <a:ext uri="{63B3BB69-23CF-44E3-9099-C40C66FF867C}">
                      <a14:compatExt spid="_x0000_s114457"/>
                    </a:ext>
                    <a:ext uri="{FF2B5EF4-FFF2-40B4-BE49-F238E27FC236}">
                      <a16:creationId xmlns:a16="http://schemas.microsoft.com/office/drawing/2014/main" id="{00000000-0008-0000-0100-000019BF0100}"/>
                    </a:ext>
                  </a:extLst>
                </xdr:cNvPr>
                <xdr:cNvSpPr/>
              </xdr:nvSpPr>
              <xdr:spPr bwMode="auto">
                <a:xfrm>
                  <a:off x="11649075" y="857254"/>
                  <a:ext cx="2286000" cy="657223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4460" name="Label22" hidden="1">
                  <a:extLst>
                    <a:ext uri="{63B3BB69-23CF-44E3-9099-C40C66FF867C}">
                      <a14:compatExt spid="_x0000_s114460"/>
                    </a:ext>
                    <a:ext uri="{FF2B5EF4-FFF2-40B4-BE49-F238E27FC236}">
                      <a16:creationId xmlns:a16="http://schemas.microsoft.com/office/drawing/2014/main" id="{00000000-0008-0000-0100-00001CBF0100}"/>
                    </a:ext>
                  </a:extLst>
                </xdr:cNvPr>
                <xdr:cNvSpPr/>
              </xdr:nvSpPr>
              <xdr:spPr bwMode="auto">
                <a:xfrm>
                  <a:off x="12658717" y="2247912"/>
                  <a:ext cx="2133598" cy="2476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0</xdr:col>
      <xdr:colOff>454034</xdr:colOff>
      <xdr:row>12</xdr:row>
      <xdr:rowOff>29880</xdr:rowOff>
    </xdr:from>
    <xdr:to>
      <xdr:col>14</xdr:col>
      <xdr:colOff>378731</xdr:colOff>
      <xdr:row>21</xdr:row>
      <xdr:rowOff>23083</xdr:rowOff>
    </xdr:to>
    <xdr:grpSp>
      <xdr:nvGrpSpPr>
        <xdr:cNvPr id="45301" name="Group 2">
          <a:extLst>
            <a:ext uri="{FF2B5EF4-FFF2-40B4-BE49-F238E27FC236}">
              <a16:creationId xmlns:a16="http://schemas.microsoft.com/office/drawing/2014/main" id="{00000000-0008-0000-0100-0000F5B00000}"/>
            </a:ext>
          </a:extLst>
        </xdr:cNvPr>
        <xdr:cNvGrpSpPr/>
      </xdr:nvGrpSpPr>
      <xdr:grpSpPr>
        <a:xfrm>
          <a:off x="454034" y="2315880"/>
          <a:ext cx="8392422" cy="1707703"/>
          <a:chOff x="454034" y="2256009"/>
          <a:chExt cx="8486855" cy="1658717"/>
        </a:xfrm>
      </xdr:grpSpPr>
      <xdr:grpSp>
        <xdr:nvGrpSpPr>
          <xdr:cNvPr id="45299" name="Group 45298">
            <a:extLst>
              <a:ext uri="{FF2B5EF4-FFF2-40B4-BE49-F238E27FC236}">
                <a16:creationId xmlns:a16="http://schemas.microsoft.com/office/drawing/2014/main" id="{00000000-0008-0000-0100-0000F3B00000}"/>
              </a:ext>
            </a:extLst>
          </xdr:cNvPr>
          <xdr:cNvGrpSpPr/>
        </xdr:nvGrpSpPr>
        <xdr:grpSpPr>
          <a:xfrm>
            <a:off x="454034" y="2256009"/>
            <a:ext cx="8486855" cy="1658717"/>
            <a:chOff x="454034" y="2256009"/>
            <a:chExt cx="8486855" cy="1658717"/>
          </a:xfrm>
        </xdr:grpSpPr>
        <xdr:sp macro="" textlink="">
          <xdr:nvSpPr>
            <xdr:cNvPr id="113903" name="Rectangle: Diagonal Corners Snipped 113902">
              <a:extLst>
                <a:ext uri="{FF2B5EF4-FFF2-40B4-BE49-F238E27FC236}">
                  <a16:creationId xmlns:a16="http://schemas.microsoft.com/office/drawing/2014/main" id="{00000000-0008-0000-0100-0000EFBC0100}"/>
                </a:ext>
              </a:extLst>
            </xdr:cNvPr>
            <xdr:cNvSpPr/>
          </xdr:nvSpPr>
          <xdr:spPr>
            <a:xfrm>
              <a:off x="454034" y="2258826"/>
              <a:ext cx="8486855" cy="1655900"/>
            </a:xfrm>
            <a:prstGeom prst="snip2DiagRect">
              <a:avLst>
                <a:gd name="adj1" fmla="val 0"/>
                <a:gd name="adj2" fmla="val 26417"/>
              </a:avLst>
            </a:prstGeom>
            <a:gradFill flip="none" rotWithShape="1">
              <a:gsLst>
                <a:gs pos="0">
                  <a:schemeClr val="bg1">
                    <a:alpha val="32000"/>
                    <a:lumMod val="48000"/>
                  </a:schemeClr>
                </a:gs>
                <a:gs pos="100000">
                  <a:srgbClr val="080808"/>
                </a:gs>
              </a:gsLst>
              <a:lin ang="16200000" scaled="1"/>
              <a:tileRect/>
            </a:gradFill>
            <a:ln w="38100">
              <a:solidFill>
                <a:schemeClr val="bg1">
                  <a:lumMod val="9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113904" name="Trapezoid 113903">
              <a:extLst>
                <a:ext uri="{FF2B5EF4-FFF2-40B4-BE49-F238E27FC236}">
                  <a16:creationId xmlns:a16="http://schemas.microsoft.com/office/drawing/2014/main" id="{00000000-0008-0000-0100-0000F0BC0100}"/>
                </a:ext>
              </a:extLst>
            </xdr:cNvPr>
            <xdr:cNvSpPr/>
          </xdr:nvSpPr>
          <xdr:spPr>
            <a:xfrm>
              <a:off x="1579841" y="3705175"/>
              <a:ext cx="1506850" cy="209551"/>
            </a:xfrm>
            <a:prstGeom prst="trapezoid">
              <a:avLst>
                <a:gd name="adj" fmla="val 113889"/>
              </a:avLst>
            </a:prstGeom>
            <a:solidFill>
              <a:schemeClr val="bg1">
                <a:lumMod val="95000"/>
                <a:alpha val="50000"/>
              </a:schemeClr>
            </a:solidFill>
            <a:ln>
              <a:solidFill>
                <a:schemeClr val="bg1">
                  <a:lumMod val="95000"/>
                </a:schemeClr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113905" name="Trapezoid 113904">
              <a:extLst>
                <a:ext uri="{FF2B5EF4-FFF2-40B4-BE49-F238E27FC236}">
                  <a16:creationId xmlns:a16="http://schemas.microsoft.com/office/drawing/2014/main" id="{00000000-0008-0000-0100-0000F1BC0100}"/>
                </a:ext>
              </a:extLst>
            </xdr:cNvPr>
            <xdr:cNvSpPr/>
          </xdr:nvSpPr>
          <xdr:spPr>
            <a:xfrm rot="10800000" flipH="1">
              <a:off x="6392358" y="2256009"/>
              <a:ext cx="1506850" cy="239488"/>
            </a:xfrm>
            <a:prstGeom prst="trapezoid">
              <a:avLst>
                <a:gd name="adj" fmla="val 113889"/>
              </a:avLst>
            </a:prstGeom>
            <a:solidFill>
              <a:schemeClr val="bg1">
                <a:lumMod val="95000"/>
                <a:alpha val="50000"/>
              </a:schemeClr>
            </a:solidFill>
            <a:ln>
              <a:solidFill>
                <a:schemeClr val="bg1">
                  <a:lumMod val="95000"/>
                </a:schemeClr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113902" name="Trapezoid 113901">
              <a:extLst>
                <a:ext uri="{FF2B5EF4-FFF2-40B4-BE49-F238E27FC236}">
                  <a16:creationId xmlns:a16="http://schemas.microsoft.com/office/drawing/2014/main" id="{00000000-0008-0000-0100-0000EEBC0100}"/>
                </a:ext>
              </a:extLst>
            </xdr:cNvPr>
            <xdr:cNvSpPr/>
          </xdr:nvSpPr>
          <xdr:spPr>
            <a:xfrm flipH="1">
              <a:off x="8022403" y="3804511"/>
              <a:ext cx="871806" cy="101635"/>
            </a:xfrm>
            <a:prstGeom prst="trapezoid">
              <a:avLst>
                <a:gd name="adj" fmla="val 113889"/>
              </a:avLst>
            </a:prstGeom>
            <a:solidFill>
              <a:schemeClr val="bg1">
                <a:lumMod val="95000"/>
                <a:alpha val="50000"/>
              </a:schemeClr>
            </a:solidFill>
            <a:ln>
              <a:solidFill>
                <a:schemeClr val="bg1">
                  <a:lumMod val="95000"/>
                </a:schemeClr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SpPr txBox="1"/>
          </xdr:nvSpPr>
          <xdr:spPr>
            <a:xfrm>
              <a:off x="989237" y="3486150"/>
              <a:ext cx="648254" cy="2205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CA" sz="1000" b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latin typeface="Lucida Console" panose="020B0609040504020204" pitchFamily="49" charset="0"/>
                </a:rPr>
                <a:t>Classe</a:t>
              </a:r>
            </a:p>
          </xdr:txBody>
        </xdr: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SpPr txBox="1"/>
          </xdr:nvSpPr>
          <xdr:spPr>
            <a:xfrm>
              <a:off x="1858153" y="3457575"/>
              <a:ext cx="648254" cy="2205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CA" sz="1000" b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latin typeface="Lucida Console" panose="020B0609040504020204" pitchFamily="49" charset="0"/>
                </a:rPr>
                <a:t>Groupe</a:t>
              </a:r>
            </a:p>
          </xdr:txBody>
        </xdr:sp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SpPr txBox="1"/>
          </xdr:nvSpPr>
          <xdr:spPr>
            <a:xfrm>
              <a:off x="3239884" y="2819400"/>
              <a:ext cx="880049" cy="2205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r"/>
              <a:r>
                <a:rPr lang="en-CA" sz="1000" b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latin typeface="Lucida Console" panose="020B0609040504020204" pitchFamily="49" charset="0"/>
                </a:rPr>
                <a:t>Exemples:</a:t>
              </a:r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SpPr txBox="1"/>
          </xdr:nvSpPr>
          <xdr:spPr>
            <a:xfrm>
              <a:off x="2400300" y="3276600"/>
              <a:ext cx="1719633" cy="2205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r"/>
              <a:r>
                <a:rPr lang="en-CA" sz="1000" b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latin typeface="Lucida Console" panose="020B0609040504020204" pitchFamily="49" charset="0"/>
                </a:rPr>
                <a:t>État métallurgique:</a:t>
              </a:r>
            </a:p>
          </xdr:txBody>
        </xdr: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 txBox="1"/>
          </xdr:nvSpPr>
          <xdr:spPr>
            <a:xfrm>
              <a:off x="6509088" y="3276600"/>
              <a:ext cx="725520" cy="2205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r"/>
              <a:r>
                <a:rPr lang="en-CA" sz="1000" b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latin typeface="Lucida Console" panose="020B0609040504020204" pitchFamily="49" charset="0"/>
                </a:rPr>
                <a:t>Dureté:</a:t>
              </a:r>
            </a:p>
          </xdr:txBody>
        </xdr:sp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 txBox="1"/>
          </xdr:nvSpPr>
          <xdr:spPr>
            <a:xfrm>
              <a:off x="6113240" y="2819400"/>
              <a:ext cx="1111843" cy="2205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r"/>
              <a:r>
                <a:rPr lang="en-CA" sz="1000" b="0">
                  <a:ln>
                    <a:noFill/>
                  </a:ln>
                  <a:solidFill>
                    <a:schemeClr val="bg1">
                      <a:lumMod val="95000"/>
                    </a:schemeClr>
                  </a:solidFill>
                  <a:latin typeface="Lucida Console" panose="020B0609040504020204" pitchFamily="49" charset="0"/>
                </a:rPr>
                <a:t>Composition: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45296" name="Group 45295">
                <a:extLst>
                  <a:ext uri="{FF2B5EF4-FFF2-40B4-BE49-F238E27FC236}">
                    <a16:creationId xmlns:a16="http://schemas.microsoft.com/office/drawing/2014/main" id="{00000000-0008-0000-0100-0000F0B00000}"/>
                  </a:ext>
                </a:extLst>
              </xdr:cNvPr>
              <xdr:cNvGrpSpPr/>
            </xdr:nvGrpSpPr>
            <xdr:grpSpPr>
              <a:xfrm>
                <a:off x="857250" y="2533650"/>
                <a:ext cx="8048625" cy="1190625"/>
                <a:chOff x="857250" y="2533650"/>
                <a:chExt cx="8048625" cy="1190625"/>
              </a:xfrm>
            </xdr:grpSpPr>
            <xdr:sp macro="" textlink="">
              <xdr:nvSpPr>
                <xdr:cNvPr id="114175" name="Label7" hidden="1">
                  <a:extLst>
                    <a:ext uri="{63B3BB69-23CF-44E3-9099-C40C66FF867C}">
                      <a14:compatExt spid="_x0000_s114175"/>
                    </a:ext>
                    <a:ext uri="{FF2B5EF4-FFF2-40B4-BE49-F238E27FC236}">
                      <a16:creationId xmlns:a16="http://schemas.microsoft.com/office/drawing/2014/main" id="{00000000-0008-0000-0100-0000FFBD0100}"/>
                    </a:ext>
                  </a:extLst>
                </xdr:cNvPr>
                <xdr:cNvSpPr/>
              </xdr:nvSpPr>
              <xdr:spPr bwMode="auto">
                <a:xfrm>
                  <a:off x="857250" y="2657474"/>
                  <a:ext cx="885825" cy="8572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4176" name="Label8" hidden="1">
                  <a:extLst>
                    <a:ext uri="{63B3BB69-23CF-44E3-9099-C40C66FF867C}">
                      <a14:compatExt spid="_x0000_s114176"/>
                    </a:ext>
                    <a:ext uri="{FF2B5EF4-FFF2-40B4-BE49-F238E27FC236}">
                      <a16:creationId xmlns:a16="http://schemas.microsoft.com/office/drawing/2014/main" id="{00000000-0008-0000-0100-000000BE0100}"/>
                    </a:ext>
                  </a:extLst>
                </xdr:cNvPr>
                <xdr:cNvSpPr/>
              </xdr:nvSpPr>
              <xdr:spPr bwMode="auto">
                <a:xfrm>
                  <a:off x="1943100" y="3171825"/>
                  <a:ext cx="485775" cy="3143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4183" name="Label9" hidden="1">
                  <a:extLst>
                    <a:ext uri="{63B3BB69-23CF-44E3-9099-C40C66FF867C}">
                      <a14:compatExt spid="_x0000_s114183"/>
                    </a:ext>
                    <a:ext uri="{FF2B5EF4-FFF2-40B4-BE49-F238E27FC236}">
                      <a16:creationId xmlns:a16="http://schemas.microsoft.com/office/drawing/2014/main" id="{00000000-0008-0000-0100-000007BE0100}"/>
                    </a:ext>
                  </a:extLst>
                </xdr:cNvPr>
                <xdr:cNvSpPr/>
              </xdr:nvSpPr>
              <xdr:spPr bwMode="auto">
                <a:xfrm>
                  <a:off x="2171700" y="2533650"/>
                  <a:ext cx="6667500" cy="3048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4184" name="Label10" hidden="1">
                  <a:extLst>
                    <a:ext uri="{63B3BB69-23CF-44E3-9099-C40C66FF867C}">
                      <a14:compatExt spid="_x0000_s114184"/>
                    </a:ext>
                    <a:ext uri="{FF2B5EF4-FFF2-40B4-BE49-F238E27FC236}">
                      <a16:creationId xmlns:a16="http://schemas.microsoft.com/office/drawing/2014/main" id="{00000000-0008-0000-0100-000008BE0100}"/>
                    </a:ext>
                  </a:extLst>
                </xdr:cNvPr>
                <xdr:cNvSpPr/>
              </xdr:nvSpPr>
              <xdr:spPr bwMode="auto">
                <a:xfrm>
                  <a:off x="4114800" y="2886075"/>
                  <a:ext cx="2047875" cy="3810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4185" name="Label11" hidden="1">
                  <a:extLst>
                    <a:ext uri="{63B3BB69-23CF-44E3-9099-C40C66FF867C}">
                      <a14:compatExt spid="_x0000_s114185"/>
                    </a:ext>
                    <a:ext uri="{FF2B5EF4-FFF2-40B4-BE49-F238E27FC236}">
                      <a16:creationId xmlns:a16="http://schemas.microsoft.com/office/drawing/2014/main" id="{00000000-0008-0000-0100-000009BE0100}"/>
                    </a:ext>
                  </a:extLst>
                </xdr:cNvPr>
                <xdr:cNvSpPr/>
              </xdr:nvSpPr>
              <xdr:spPr bwMode="auto">
                <a:xfrm>
                  <a:off x="4114800" y="3343275"/>
                  <a:ext cx="2047875" cy="3810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4186" name="Label12" hidden="1">
                  <a:extLst>
                    <a:ext uri="{63B3BB69-23CF-44E3-9099-C40C66FF867C}">
                      <a14:compatExt spid="_x0000_s114186"/>
                    </a:ext>
                    <a:ext uri="{FF2B5EF4-FFF2-40B4-BE49-F238E27FC236}">
                      <a16:creationId xmlns:a16="http://schemas.microsoft.com/office/drawing/2014/main" id="{00000000-0008-0000-0100-00000ABE0100}"/>
                    </a:ext>
                  </a:extLst>
                </xdr:cNvPr>
                <xdr:cNvSpPr/>
              </xdr:nvSpPr>
              <xdr:spPr bwMode="auto">
                <a:xfrm>
                  <a:off x="7191375" y="2886075"/>
                  <a:ext cx="1714500" cy="3810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4187" name="Label13" hidden="1">
                  <a:extLst>
                    <a:ext uri="{63B3BB69-23CF-44E3-9099-C40C66FF867C}">
                      <a14:compatExt spid="_x0000_s114187"/>
                    </a:ext>
                    <a:ext uri="{FF2B5EF4-FFF2-40B4-BE49-F238E27FC236}">
                      <a16:creationId xmlns:a16="http://schemas.microsoft.com/office/drawing/2014/main" id="{00000000-0008-0000-0100-00000BBE0100}"/>
                    </a:ext>
                  </a:extLst>
                </xdr:cNvPr>
                <xdr:cNvSpPr/>
              </xdr:nvSpPr>
              <xdr:spPr bwMode="auto">
                <a:xfrm>
                  <a:off x="7191375" y="3343275"/>
                  <a:ext cx="1714500" cy="3810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0</xdr:col>
      <xdr:colOff>454034</xdr:colOff>
      <xdr:row>2</xdr:row>
      <xdr:rowOff>115599</xdr:rowOff>
    </xdr:from>
    <xdr:to>
      <xdr:col>14</xdr:col>
      <xdr:colOff>378731</xdr:colOff>
      <xdr:row>11</xdr:row>
      <xdr:rowOff>108802</xdr:rowOff>
    </xdr:to>
    <xdr:grpSp>
      <xdr:nvGrpSpPr>
        <xdr:cNvPr id="45302" name="Group 1">
          <a:extLst>
            <a:ext uri="{FF2B5EF4-FFF2-40B4-BE49-F238E27FC236}">
              <a16:creationId xmlns:a16="http://schemas.microsoft.com/office/drawing/2014/main" id="{00000000-0008-0000-0100-0000F6B00000}"/>
            </a:ext>
          </a:extLst>
        </xdr:cNvPr>
        <xdr:cNvGrpSpPr/>
      </xdr:nvGrpSpPr>
      <xdr:grpSpPr>
        <a:xfrm>
          <a:off x="454034" y="496599"/>
          <a:ext cx="8392422" cy="1707703"/>
          <a:chOff x="454034" y="485713"/>
          <a:chExt cx="8486855" cy="1658718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454034" y="485713"/>
            <a:ext cx="8486855" cy="1658718"/>
            <a:chOff x="454034" y="481941"/>
            <a:chExt cx="8529852" cy="1642064"/>
          </a:xfrm>
        </xdr:grpSpPr>
        <xdr:sp macro="" textlink="">
          <xdr:nvSpPr>
            <xdr:cNvPr id="113898" name="Rectangle: Diagonal Corners Snipped 113897">
              <a:extLst>
                <a:ext uri="{FF2B5EF4-FFF2-40B4-BE49-F238E27FC236}">
                  <a16:creationId xmlns:a16="http://schemas.microsoft.com/office/drawing/2014/main" id="{00000000-0008-0000-0100-0000EABC0100}"/>
                </a:ext>
              </a:extLst>
            </xdr:cNvPr>
            <xdr:cNvSpPr/>
          </xdr:nvSpPr>
          <xdr:spPr>
            <a:xfrm flipH="1">
              <a:off x="454034" y="484729"/>
              <a:ext cx="8529852" cy="1639276"/>
            </a:xfrm>
            <a:prstGeom prst="snip2DiagRect">
              <a:avLst>
                <a:gd name="adj1" fmla="val 0"/>
                <a:gd name="adj2" fmla="val 25266"/>
              </a:avLst>
            </a:prstGeom>
            <a:gradFill>
              <a:gsLst>
                <a:gs pos="0">
                  <a:schemeClr val="tx1">
                    <a:lumMod val="95000"/>
                    <a:lumOff val="5000"/>
                  </a:schemeClr>
                </a:gs>
                <a:gs pos="100000">
                  <a:srgbClr val="FFC000">
                    <a:lumMod val="38000"/>
                    <a:alpha val="50000"/>
                  </a:srgbClr>
                </a:gs>
              </a:gsLst>
              <a:lin ang="5400000" scaled="1"/>
            </a:gradFill>
            <a:ln w="38100">
              <a:solidFill>
                <a:srgbClr val="FFC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113899" name="Trapezoid 113898">
              <a:extLst>
                <a:ext uri="{FF2B5EF4-FFF2-40B4-BE49-F238E27FC236}">
                  <a16:creationId xmlns:a16="http://schemas.microsoft.com/office/drawing/2014/main" id="{00000000-0008-0000-0100-0000EBBC0100}"/>
                </a:ext>
              </a:extLst>
            </xdr:cNvPr>
            <xdr:cNvSpPr/>
          </xdr:nvSpPr>
          <xdr:spPr>
            <a:xfrm>
              <a:off x="1880716" y="1973134"/>
              <a:ext cx="3714207" cy="150870"/>
            </a:xfrm>
            <a:prstGeom prst="trapezoid">
              <a:avLst>
                <a:gd name="adj" fmla="val 113889"/>
              </a:avLst>
            </a:prstGeom>
            <a:solidFill>
              <a:schemeClr val="accent4">
                <a:alpha val="50000"/>
              </a:schemeClr>
            </a:solidFill>
            <a:ln>
              <a:solidFill>
                <a:srgbClr val="FFC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113900" name="Trapezoid 113899">
              <a:extLst>
                <a:ext uri="{FF2B5EF4-FFF2-40B4-BE49-F238E27FC236}">
                  <a16:creationId xmlns:a16="http://schemas.microsoft.com/office/drawing/2014/main" id="{00000000-0008-0000-0100-0000ECBC0100}"/>
                </a:ext>
              </a:extLst>
            </xdr:cNvPr>
            <xdr:cNvSpPr/>
          </xdr:nvSpPr>
          <xdr:spPr>
            <a:xfrm rot="10800000" flipH="1">
              <a:off x="6657561" y="481941"/>
              <a:ext cx="1723203" cy="237083"/>
            </a:xfrm>
            <a:prstGeom prst="trapezoid">
              <a:avLst>
                <a:gd name="adj" fmla="val 113889"/>
              </a:avLst>
            </a:prstGeom>
            <a:solidFill>
              <a:schemeClr val="accent4">
                <a:alpha val="50000"/>
              </a:schemeClr>
            </a:solidFill>
            <a:ln>
              <a:solidFill>
                <a:srgbClr val="FFC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113895" name="Trapezoid 113894">
              <a:extLst>
                <a:ext uri="{FF2B5EF4-FFF2-40B4-BE49-F238E27FC236}">
                  <a16:creationId xmlns:a16="http://schemas.microsoft.com/office/drawing/2014/main" id="{00000000-0008-0000-0100-0000E7BC0100}"/>
                </a:ext>
              </a:extLst>
            </xdr:cNvPr>
            <xdr:cNvSpPr/>
          </xdr:nvSpPr>
          <xdr:spPr>
            <a:xfrm rot="5400000" flipH="1">
              <a:off x="112847" y="1309764"/>
              <a:ext cx="810929" cy="82058"/>
            </a:xfrm>
            <a:prstGeom prst="trapezoid">
              <a:avLst>
                <a:gd name="adj" fmla="val 113889"/>
              </a:avLst>
            </a:prstGeom>
            <a:solidFill>
              <a:schemeClr val="accent4">
                <a:alpha val="50000"/>
              </a:schemeClr>
            </a:solidFill>
            <a:ln>
              <a:solidFill>
                <a:srgbClr val="FFC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>
          <xdr:nvPicPr>
            <xdr:cNvPr id="9" name="Picture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4" cstate="email">
              <a:duotone>
                <a:schemeClr val="accent4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5">
                      <a14:imgEffect>
                        <a14:brightnessContrast bright="-40000" contrast="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/>
                </a:ext>
              </a:extLst>
            </a:blip>
            <a:srcRect/>
            <a:stretch/>
          </xdr:blipFill>
          <xdr:spPr>
            <a:xfrm>
              <a:off x="2101506" y="1635298"/>
              <a:ext cx="408738" cy="236737"/>
            </a:xfrm>
            <a:prstGeom prst="rect">
              <a:avLst/>
            </a:prstGeom>
          </xdr:spPr>
        </xdr:pic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CxnSpPr/>
          </xdr:nvCxnSpPr>
          <xdr:spPr>
            <a:xfrm>
              <a:off x="5601832" y="1103391"/>
              <a:ext cx="0" cy="867624"/>
            </a:xfrm>
            <a:prstGeom prst="line">
              <a:avLst/>
            </a:prstGeom>
            <a:ln w="12700" cmpd="sng">
              <a:solidFill>
                <a:srgbClr val="FFC000">
                  <a:alpha val="50000"/>
                </a:srgb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45295" name="Group 45294">
                <a:extLst>
                  <a:ext uri="{FF2B5EF4-FFF2-40B4-BE49-F238E27FC236}">
                    <a16:creationId xmlns:a16="http://schemas.microsoft.com/office/drawing/2014/main" id="{00000000-0008-0000-0100-0000EFB00000}"/>
                  </a:ext>
                </a:extLst>
              </xdr:cNvPr>
              <xdr:cNvGrpSpPr/>
            </xdr:nvGrpSpPr>
            <xdr:grpSpPr>
              <a:xfrm>
                <a:off x="685801" y="781050"/>
                <a:ext cx="7943850" cy="1285875"/>
                <a:chOff x="685801" y="781050"/>
                <a:chExt cx="7943850" cy="1285875"/>
              </a:xfrm>
            </xdr:grpSpPr>
            <xdr:sp macro="" textlink="">
              <xdr:nvSpPr>
                <xdr:cNvPr id="113872" name="Label1" hidden="1">
                  <a:extLst>
                    <a:ext uri="{63B3BB69-23CF-44E3-9099-C40C66FF867C}">
                      <a14:compatExt spid="_x0000_s113872"/>
                    </a:ext>
                    <a:ext uri="{FF2B5EF4-FFF2-40B4-BE49-F238E27FC236}">
                      <a16:creationId xmlns:a16="http://schemas.microsoft.com/office/drawing/2014/main" id="{00000000-0008-0000-0100-0000D0BC0100}"/>
                    </a:ext>
                  </a:extLst>
                </xdr:cNvPr>
                <xdr:cNvSpPr/>
              </xdr:nvSpPr>
              <xdr:spPr bwMode="auto">
                <a:xfrm>
                  <a:off x="2152650" y="781050"/>
                  <a:ext cx="6477001" cy="28575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4107" name="Label2" hidden="1">
                  <a:extLst>
                    <a:ext uri="{63B3BB69-23CF-44E3-9099-C40C66FF867C}">
                      <a14:compatExt spid="_x0000_s114107"/>
                    </a:ext>
                    <a:ext uri="{FF2B5EF4-FFF2-40B4-BE49-F238E27FC236}">
                      <a16:creationId xmlns:a16="http://schemas.microsoft.com/office/drawing/2014/main" id="{00000000-0008-0000-0100-0000BBBD0100}"/>
                    </a:ext>
                  </a:extLst>
                </xdr:cNvPr>
                <xdr:cNvSpPr/>
              </xdr:nvSpPr>
              <xdr:spPr bwMode="auto">
                <a:xfrm>
                  <a:off x="2152650" y="1066800"/>
                  <a:ext cx="3524250" cy="4667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4136" name="Label3" hidden="1">
                  <a:extLst>
                    <a:ext uri="{63B3BB69-23CF-44E3-9099-C40C66FF867C}">
                      <a14:compatExt spid="_x0000_s114136"/>
                    </a:ext>
                    <a:ext uri="{FF2B5EF4-FFF2-40B4-BE49-F238E27FC236}">
                      <a16:creationId xmlns:a16="http://schemas.microsoft.com/office/drawing/2014/main" id="{00000000-0008-0000-0100-0000D8BD0100}"/>
                    </a:ext>
                  </a:extLst>
                </xdr:cNvPr>
                <xdr:cNvSpPr/>
              </xdr:nvSpPr>
              <xdr:spPr bwMode="auto">
                <a:xfrm>
                  <a:off x="5734050" y="1114425"/>
                  <a:ext cx="2876550" cy="5238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4137" name="Label4" hidden="1">
                  <a:extLst>
                    <a:ext uri="{63B3BB69-23CF-44E3-9099-C40C66FF867C}">
                      <a14:compatExt spid="_x0000_s114137"/>
                    </a:ext>
                    <a:ext uri="{FF2B5EF4-FFF2-40B4-BE49-F238E27FC236}">
                      <a16:creationId xmlns:a16="http://schemas.microsoft.com/office/drawing/2014/main" id="{00000000-0008-0000-0100-0000D9BD0100}"/>
                    </a:ext>
                  </a:extLst>
                </xdr:cNvPr>
                <xdr:cNvSpPr/>
              </xdr:nvSpPr>
              <xdr:spPr bwMode="auto">
                <a:xfrm>
                  <a:off x="2600325" y="1581150"/>
                  <a:ext cx="2790825" cy="4000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4138" name="Label5" hidden="1">
                  <a:extLst>
                    <a:ext uri="{63B3BB69-23CF-44E3-9099-C40C66FF867C}">
                      <a14:compatExt spid="_x0000_s114138"/>
                    </a:ext>
                    <a:ext uri="{FF2B5EF4-FFF2-40B4-BE49-F238E27FC236}">
                      <a16:creationId xmlns:a16="http://schemas.microsoft.com/office/drawing/2014/main" id="{00000000-0008-0000-0100-0000DABD0100}"/>
                    </a:ext>
                  </a:extLst>
                </xdr:cNvPr>
                <xdr:cNvSpPr/>
              </xdr:nvSpPr>
              <xdr:spPr bwMode="auto">
                <a:xfrm>
                  <a:off x="5734050" y="1666875"/>
                  <a:ext cx="2752726" cy="40005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4443" name="Label6" hidden="1">
                  <a:extLst>
                    <a:ext uri="{63B3BB69-23CF-44E3-9099-C40C66FF867C}">
                      <a14:compatExt spid="_x0000_s114443"/>
                    </a:ext>
                    <a:ext uri="{FF2B5EF4-FFF2-40B4-BE49-F238E27FC236}">
                      <a16:creationId xmlns:a16="http://schemas.microsoft.com/office/drawing/2014/main" id="{00000000-0008-0000-0100-00000BBF0100}"/>
                    </a:ext>
                  </a:extLst>
                </xdr:cNvPr>
                <xdr:cNvSpPr/>
              </xdr:nvSpPr>
              <xdr:spPr bwMode="auto">
                <a:xfrm>
                  <a:off x="685801" y="819150"/>
                  <a:ext cx="238125" cy="2000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4450" name="Label17" hidden="1">
                  <a:extLst>
                    <a:ext uri="{63B3BB69-23CF-44E3-9099-C40C66FF867C}">
                      <a14:compatExt spid="_x0000_s114450"/>
                    </a:ext>
                    <a:ext uri="{FF2B5EF4-FFF2-40B4-BE49-F238E27FC236}">
                      <a16:creationId xmlns:a16="http://schemas.microsoft.com/office/drawing/2014/main" id="{00000000-0008-0000-0100-000012BF0100}"/>
                    </a:ext>
                  </a:extLst>
                </xdr:cNvPr>
                <xdr:cNvSpPr/>
              </xdr:nvSpPr>
              <xdr:spPr bwMode="auto">
                <a:xfrm>
                  <a:off x="1028700" y="819150"/>
                  <a:ext cx="238125" cy="2000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4451" name="Label18" hidden="1">
                  <a:extLst>
                    <a:ext uri="{63B3BB69-23CF-44E3-9099-C40C66FF867C}">
                      <a14:compatExt spid="_x0000_s114451"/>
                    </a:ext>
                    <a:ext uri="{FF2B5EF4-FFF2-40B4-BE49-F238E27FC236}">
                      <a16:creationId xmlns:a16="http://schemas.microsoft.com/office/drawing/2014/main" id="{00000000-0008-0000-0100-000013BF0100}"/>
                    </a:ext>
                  </a:extLst>
                </xdr:cNvPr>
                <xdr:cNvSpPr/>
              </xdr:nvSpPr>
              <xdr:spPr bwMode="auto">
                <a:xfrm>
                  <a:off x="1362075" y="819150"/>
                  <a:ext cx="238125" cy="2000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14452" name="Label19" hidden="1">
                  <a:extLst>
                    <a:ext uri="{63B3BB69-23CF-44E3-9099-C40C66FF867C}">
                      <a14:compatExt spid="_x0000_s114452"/>
                    </a:ext>
                    <a:ext uri="{FF2B5EF4-FFF2-40B4-BE49-F238E27FC236}">
                      <a16:creationId xmlns:a16="http://schemas.microsoft.com/office/drawing/2014/main" id="{00000000-0008-0000-0100-000014BF0100}"/>
                    </a:ext>
                  </a:extLst>
                </xdr:cNvPr>
                <xdr:cNvSpPr/>
              </xdr:nvSpPr>
              <xdr:spPr bwMode="auto">
                <a:xfrm>
                  <a:off x="1695450" y="819150"/>
                  <a:ext cx="238125" cy="20002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mc:Choice>
        <mc:Fallback/>
      </mc:AlternateContent>
    </xdr:grpSp>
    <xdr:clientData/>
  </xdr:twoCellAnchor>
  <xdr:twoCellAnchor>
    <xdr:from>
      <xdr:col>0</xdr:col>
      <xdr:colOff>454034</xdr:colOff>
      <xdr:row>22</xdr:row>
      <xdr:rowOff>186368</xdr:rowOff>
    </xdr:from>
    <xdr:to>
      <xdr:col>14</xdr:col>
      <xdr:colOff>381279</xdr:colOff>
      <xdr:row>39</xdr:row>
      <xdr:rowOff>25817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454034" y="4377368"/>
          <a:ext cx="8394970" cy="3077949"/>
          <a:chOff x="454034" y="4377368"/>
          <a:chExt cx="8394970" cy="3077949"/>
        </a:xfrm>
      </xdr:grpSpPr>
      <xdr:grpSp>
        <xdr:nvGrpSpPr>
          <xdr:cNvPr id="35460" name="Group 3">
            <a:extLst>
              <a:ext uri="{FF2B5EF4-FFF2-40B4-BE49-F238E27FC236}">
                <a16:creationId xmlns:a16="http://schemas.microsoft.com/office/drawing/2014/main" id="{00000000-0008-0000-0100-0000848A0000}"/>
              </a:ext>
            </a:extLst>
          </xdr:cNvPr>
          <xdr:cNvGrpSpPr/>
        </xdr:nvGrpSpPr>
        <xdr:grpSpPr>
          <a:xfrm>
            <a:off x="454034" y="4377368"/>
            <a:ext cx="8394970" cy="3077949"/>
            <a:chOff x="454034" y="4257625"/>
            <a:chExt cx="8489403" cy="2990863"/>
          </a:xfrm>
        </xdr:grpSpPr>
        <xdr:grpSp>
          <xdr:nvGrpSpPr>
            <xdr:cNvPr id="35459" name="Group 35458">
              <a:extLst>
                <a:ext uri="{FF2B5EF4-FFF2-40B4-BE49-F238E27FC236}">
                  <a16:creationId xmlns:a16="http://schemas.microsoft.com/office/drawing/2014/main" id="{00000000-0008-0000-0100-0000838A0000}"/>
                </a:ext>
              </a:extLst>
            </xdr:cNvPr>
            <xdr:cNvGrpSpPr/>
          </xdr:nvGrpSpPr>
          <xdr:grpSpPr>
            <a:xfrm>
              <a:off x="454034" y="4257625"/>
              <a:ext cx="8489403" cy="2990863"/>
              <a:chOff x="454034" y="4257625"/>
              <a:chExt cx="8489403" cy="2990863"/>
            </a:xfrm>
          </xdr:grpSpPr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14459" name="Label21" hidden="1">
                    <a:extLst>
                      <a:ext uri="{63B3BB69-23CF-44E3-9099-C40C66FF867C}">
                        <a14:compatExt spid="_x0000_s114459"/>
                      </a:ext>
                      <a:ext uri="{FF2B5EF4-FFF2-40B4-BE49-F238E27FC236}">
                        <a16:creationId xmlns:a16="http://schemas.microsoft.com/office/drawing/2014/main" id="{00000000-0008-0000-0100-00001BBF0100}"/>
                      </a:ext>
                    </a:extLst>
                  </xdr:cNvPr>
                  <xdr:cNvSpPr/>
                </xdr:nvSpPr>
                <xdr:spPr bwMode="auto">
                  <a:xfrm>
                    <a:off x="6231256" y="4935856"/>
                    <a:ext cx="45719" cy="4571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xdr:sp macro="" textlink="">
            <xdr:nvSpPr>
              <xdr:cNvPr id="113875" name="Trapezoid 113874">
                <a:extLst>
                  <a:ext uri="{FF2B5EF4-FFF2-40B4-BE49-F238E27FC236}">
                    <a16:creationId xmlns:a16="http://schemas.microsoft.com/office/drawing/2014/main" id="{00000000-0008-0000-0100-0000D3BC0100}"/>
                  </a:ext>
                </a:extLst>
              </xdr:cNvPr>
              <xdr:cNvSpPr/>
            </xdr:nvSpPr>
            <xdr:spPr>
              <a:xfrm>
                <a:off x="6023073" y="7053091"/>
                <a:ext cx="2223903" cy="171838"/>
              </a:xfrm>
              <a:prstGeom prst="trapezoid">
                <a:avLst>
                  <a:gd name="adj" fmla="val 113889"/>
                </a:avLst>
              </a:prstGeom>
              <a:solidFill>
                <a:srgbClr val="0070C0">
                  <a:alpha val="48000"/>
                </a:srgbClr>
              </a:solidFill>
              <a:ln w="12700">
                <a:solidFill>
                  <a:srgbClr val="00B0F0">
                    <a:alpha val="60000"/>
                  </a:srgb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en-CA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113874" name="Rectangle: Diagonal Corners Snipped 113873">
                <a:extLst>
                  <a:ext uri="{FF2B5EF4-FFF2-40B4-BE49-F238E27FC236}">
                    <a16:creationId xmlns:a16="http://schemas.microsoft.com/office/drawing/2014/main" id="{00000000-0008-0000-0100-0000D2BC0100}"/>
                  </a:ext>
                </a:extLst>
              </xdr:cNvPr>
              <xdr:cNvSpPr/>
            </xdr:nvSpPr>
            <xdr:spPr>
              <a:xfrm flipH="1">
                <a:off x="456586" y="4257625"/>
                <a:ext cx="8486851" cy="2990863"/>
              </a:xfrm>
              <a:prstGeom prst="snip2DiagRect">
                <a:avLst>
                  <a:gd name="adj1" fmla="val 0"/>
                  <a:gd name="adj2" fmla="val 22390"/>
                </a:avLst>
              </a:prstGeom>
              <a:gradFill flip="none" rotWithShape="1">
                <a:gsLst>
                  <a:gs pos="0">
                    <a:srgbClr val="002060">
                      <a:alpha val="44000"/>
                    </a:srgbClr>
                  </a:gs>
                  <a:gs pos="100000">
                    <a:srgbClr val="080808"/>
                  </a:gs>
                </a:gsLst>
                <a:lin ang="16200000" scaled="1"/>
                <a:tileRect/>
              </a:gradFill>
              <a:ln w="38100">
                <a:solidFill>
                  <a:srgbClr val="00B0F0">
                    <a:alpha val="60000"/>
                  </a:srgb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/>
              </a:p>
            </xdr:txBody>
          </xdr:sp>
          <xdr:sp macro="" textlink="">
            <xdr:nvSpPr>
              <xdr:cNvPr id="113876" name="Trapezoid 113875">
                <a:extLst>
                  <a:ext uri="{FF2B5EF4-FFF2-40B4-BE49-F238E27FC236}">
                    <a16:creationId xmlns:a16="http://schemas.microsoft.com/office/drawing/2014/main" id="{00000000-0008-0000-0100-0000D4BC0100}"/>
                  </a:ext>
                </a:extLst>
              </xdr:cNvPr>
              <xdr:cNvSpPr/>
            </xdr:nvSpPr>
            <xdr:spPr>
              <a:xfrm rot="5400000">
                <a:off x="-238025" y="5945075"/>
                <a:ext cx="1591401" cy="207283"/>
              </a:xfrm>
              <a:prstGeom prst="trapezoid">
                <a:avLst>
                  <a:gd name="adj" fmla="val 113889"/>
                </a:avLst>
              </a:prstGeom>
              <a:solidFill>
                <a:srgbClr val="0070C0">
                  <a:alpha val="48000"/>
                </a:srgbClr>
              </a:solidFill>
              <a:ln w="12700">
                <a:solidFill>
                  <a:srgbClr val="00B0F0">
                    <a:alpha val="60000"/>
                  </a:srgb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en-CA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113877" name="TextBox 104">
                <a:extLst>
                  <a:ext uri="{FF2B5EF4-FFF2-40B4-BE49-F238E27FC236}">
                    <a16:creationId xmlns:a16="http://schemas.microsoft.com/office/drawing/2014/main" id="{00000000-0008-0000-0100-0000D5BC0100}"/>
                  </a:ext>
                </a:extLst>
              </xdr:cNvPr>
              <xdr:cNvSpPr txBox="1"/>
            </xdr:nvSpPr>
            <xdr:spPr>
              <a:xfrm>
                <a:off x="1181426" y="4348942"/>
                <a:ext cx="3107018" cy="37414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pPr algn="l"/>
                <a:r>
                  <a:rPr lang="en-CA" sz="1800" b="0">
                    <a:ln>
                      <a:noFill/>
                    </a:ln>
                    <a:solidFill>
                      <a:srgbClr val="00B0F0"/>
                    </a:solidFill>
                    <a:latin typeface="Lucida Console" panose="020B0609040504020204" pitchFamily="49" charset="0"/>
                  </a:rPr>
                  <a:t>Questionnaire</a:t>
                </a:r>
              </a:p>
            </xdr:txBody>
          </xdr:sp>
          <xdr:grpSp>
            <xdr:nvGrpSpPr>
              <xdr:cNvPr id="113878" name="Group 113877">
                <a:extLst>
                  <a:ext uri="{FF2B5EF4-FFF2-40B4-BE49-F238E27FC236}">
                    <a16:creationId xmlns:a16="http://schemas.microsoft.com/office/drawing/2014/main" id="{00000000-0008-0000-0100-0000D6BC0100}"/>
                  </a:ext>
                </a:extLst>
              </xdr:cNvPr>
              <xdr:cNvGrpSpPr/>
            </xdr:nvGrpSpPr>
            <xdr:grpSpPr>
              <a:xfrm>
                <a:off x="629000" y="4853088"/>
                <a:ext cx="7638536" cy="2174588"/>
                <a:chOff x="680727" y="4838699"/>
                <a:chExt cx="7639785" cy="2173200"/>
              </a:xfrm>
            </xdr:grpSpPr>
            <xdr:sp macro="" textlink="">
              <xdr:nvSpPr>
                <xdr:cNvPr id="113884" name="TextBox 110">
                  <a:extLst>
                    <a:ext uri="{FF2B5EF4-FFF2-40B4-BE49-F238E27FC236}">
                      <a16:creationId xmlns:a16="http://schemas.microsoft.com/office/drawing/2014/main" id="{00000000-0008-0000-0100-0000DCBC0100}"/>
                    </a:ext>
                  </a:extLst>
                </xdr:cNvPr>
                <xdr:cNvSpPr txBox="1"/>
              </xdr:nvSpPr>
              <xdr:spPr>
                <a:xfrm>
                  <a:off x="715543" y="4864768"/>
                  <a:ext cx="1421053" cy="2205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pPr algn="r"/>
                  <a:r>
                    <a:rPr lang="en-CA" sz="1000" b="0">
                      <a:ln>
                        <a:noFill/>
                      </a:ln>
                      <a:solidFill>
                        <a:srgbClr val="00B0F0"/>
                      </a:solidFill>
                      <a:latin typeface="Lucida Console" panose="020B0609040504020204" pitchFamily="49" charset="0"/>
                    </a:rPr>
                    <a:t>Vitesse de coupe</a:t>
                  </a:r>
                </a:p>
              </xdr:txBody>
            </xdr:sp>
            <xdr:sp macro="" textlink="">
              <xdr:nvSpPr>
                <xdr:cNvPr id="113885" name="TextBox 111">
                  <a:extLst>
                    <a:ext uri="{FF2B5EF4-FFF2-40B4-BE49-F238E27FC236}">
                      <a16:creationId xmlns:a16="http://schemas.microsoft.com/office/drawing/2014/main" id="{00000000-0008-0000-0100-0000DDBC0100}"/>
                    </a:ext>
                  </a:extLst>
                </xdr:cNvPr>
                <xdr:cNvSpPr txBox="1"/>
              </xdr:nvSpPr>
              <xdr:spPr>
                <a:xfrm>
                  <a:off x="748915" y="5457825"/>
                  <a:ext cx="1575599" cy="2205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pPr algn="r"/>
                  <a:r>
                    <a:rPr lang="en-CA" sz="1000" b="0">
                      <a:ln>
                        <a:noFill/>
                      </a:ln>
                      <a:solidFill>
                        <a:srgbClr val="00B0F0"/>
                      </a:solidFill>
                      <a:latin typeface="Lucida Console" panose="020B0609040504020204" pitchFamily="49" charset="0"/>
                    </a:rPr>
                    <a:t>( pieds / minute )</a:t>
                  </a:r>
                </a:p>
              </xdr:txBody>
            </xdr:sp>
            <xdr:sp macro="" textlink="">
              <xdr:nvSpPr>
                <xdr:cNvPr id="113886" name="TextBox 116">
                  <a:extLst>
                    <a:ext uri="{FF2B5EF4-FFF2-40B4-BE49-F238E27FC236}">
                      <a16:creationId xmlns:a16="http://schemas.microsoft.com/office/drawing/2014/main" id="{00000000-0008-0000-0100-0000DEBC0100}"/>
                    </a:ext>
                  </a:extLst>
                </xdr:cNvPr>
                <xdr:cNvSpPr txBox="1"/>
              </xdr:nvSpPr>
              <xdr:spPr>
                <a:xfrm>
                  <a:off x="802092" y="6226343"/>
                  <a:ext cx="1343781" cy="2205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pPr algn="r"/>
                  <a:r>
                    <a:rPr lang="en-CA" sz="1000" b="0">
                      <a:ln>
                        <a:noFill/>
                      </a:ln>
                      <a:solidFill>
                        <a:srgbClr val="00B0F0"/>
                      </a:solidFill>
                      <a:latin typeface="Lucida Console" panose="020B0609040504020204" pitchFamily="49" charset="0"/>
                    </a:rPr>
                    <a:t>Avance par dent</a:t>
                  </a:r>
                </a:p>
              </xdr:txBody>
            </xdr:sp>
            <xdr:sp macro="" textlink="">
              <xdr:nvSpPr>
                <xdr:cNvPr id="113887" name="TextBox 117">
                  <a:extLst>
                    <a:ext uri="{FF2B5EF4-FFF2-40B4-BE49-F238E27FC236}">
                      <a16:creationId xmlns:a16="http://schemas.microsoft.com/office/drawing/2014/main" id="{00000000-0008-0000-0100-0000DFBC0100}"/>
                    </a:ext>
                  </a:extLst>
                </xdr:cNvPr>
                <xdr:cNvSpPr txBox="1"/>
              </xdr:nvSpPr>
              <xdr:spPr>
                <a:xfrm>
                  <a:off x="680727" y="6781802"/>
                  <a:ext cx="1498326" cy="2205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pPr algn="r"/>
                  <a:r>
                    <a:rPr lang="en-CA" sz="1000" b="0">
                      <a:ln>
                        <a:noFill/>
                      </a:ln>
                      <a:solidFill>
                        <a:srgbClr val="00B0F0"/>
                      </a:solidFill>
                      <a:latin typeface="Lucida Console" panose="020B0609040504020204" pitchFamily="49" charset="0"/>
                    </a:rPr>
                    <a:t>( pouces / dent )</a:t>
                  </a:r>
                </a:p>
              </xdr:txBody>
            </xdr:sp>
            <xdr:sp macro="" textlink="">
              <xdr:nvSpPr>
                <xdr:cNvPr id="113888" name="TextBox 112">
                  <a:extLst>
                    <a:ext uri="{FF2B5EF4-FFF2-40B4-BE49-F238E27FC236}">
                      <a16:creationId xmlns:a16="http://schemas.microsoft.com/office/drawing/2014/main" id="{00000000-0008-0000-0100-0000E0BC0100}"/>
                    </a:ext>
                  </a:extLst>
                </xdr:cNvPr>
                <xdr:cNvSpPr txBox="1"/>
              </xdr:nvSpPr>
              <xdr:spPr>
                <a:xfrm>
                  <a:off x="3195733" y="4838699"/>
                  <a:ext cx="2543447" cy="2205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>
                  <a:spAutoFit/>
                </a:bodyPr>
                <a:lstStyle/>
                <a:p>
                  <a:pPr algn="r"/>
                  <a:r>
                    <a:rPr lang="en-CA" sz="1000" b="0">
                      <a:ln>
                        <a:noFill/>
                      </a:ln>
                      <a:solidFill>
                        <a:srgbClr val="00B0F0"/>
                      </a:solidFill>
                      <a:latin typeface="Lucida Console" panose="020B0609040504020204" pitchFamily="49" charset="0"/>
                    </a:rPr>
                    <a:t>Vitesse de révolution ajustée*</a:t>
                  </a:r>
                </a:p>
              </xdr:txBody>
            </xdr:sp>
            <xdr:sp macro="" textlink="">
              <xdr:nvSpPr>
                <xdr:cNvPr id="113889" name="TextBox 113">
                  <a:extLst>
                    <a:ext uri="{FF2B5EF4-FFF2-40B4-BE49-F238E27FC236}">
                      <a16:creationId xmlns:a16="http://schemas.microsoft.com/office/drawing/2014/main" id="{00000000-0008-0000-0100-0000E1BC0100}"/>
                    </a:ext>
                  </a:extLst>
                </xdr:cNvPr>
                <xdr:cNvSpPr txBox="1"/>
              </xdr:nvSpPr>
              <xdr:spPr>
                <a:xfrm>
                  <a:off x="3519046" y="5448300"/>
                  <a:ext cx="2039236" cy="2205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pPr algn="r"/>
                  <a:r>
                    <a:rPr lang="en-CA" sz="1000" b="0">
                      <a:ln>
                        <a:noFill/>
                      </a:ln>
                      <a:solidFill>
                        <a:srgbClr val="00B0F0"/>
                      </a:solidFill>
                      <a:latin typeface="Lucida Console" panose="020B0609040504020204" pitchFamily="49" charset="0"/>
                    </a:rPr>
                    <a:t>( révolutions / minute )</a:t>
                  </a:r>
                </a:p>
              </xdr:txBody>
            </xdr:sp>
            <xdr:sp macro="" textlink="">
              <xdr:nvSpPr>
                <xdr:cNvPr id="113890" name="TextBox 118">
                  <a:extLst>
                    <a:ext uri="{FF2B5EF4-FFF2-40B4-BE49-F238E27FC236}">
                      <a16:creationId xmlns:a16="http://schemas.microsoft.com/office/drawing/2014/main" id="{00000000-0008-0000-0100-0000E2BC0100}"/>
                    </a:ext>
                  </a:extLst>
                </xdr:cNvPr>
                <xdr:cNvSpPr txBox="1"/>
              </xdr:nvSpPr>
              <xdr:spPr>
                <a:xfrm>
                  <a:off x="3598643" y="6216316"/>
                  <a:ext cx="1807418" cy="2205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pPr algn="r"/>
                  <a:r>
                    <a:rPr lang="en-CA" sz="1000" b="0">
                      <a:ln>
                        <a:noFill/>
                      </a:ln>
                      <a:solidFill>
                        <a:srgbClr val="00B0F0"/>
                      </a:solidFill>
                      <a:latin typeface="Lucida Console" panose="020B0609040504020204" pitchFamily="49" charset="0"/>
                    </a:rPr>
                    <a:t>Avance par révolution</a:t>
                  </a:r>
                </a:p>
              </xdr:txBody>
            </xdr:sp>
            <xdr:sp macro="" textlink="">
              <xdr:nvSpPr>
                <xdr:cNvPr id="113891" name="TextBox 119">
                  <a:extLst>
                    <a:ext uri="{FF2B5EF4-FFF2-40B4-BE49-F238E27FC236}">
                      <a16:creationId xmlns:a16="http://schemas.microsoft.com/office/drawing/2014/main" id="{00000000-0008-0000-0100-0000E3BC0100}"/>
                    </a:ext>
                  </a:extLst>
                </xdr:cNvPr>
                <xdr:cNvSpPr txBox="1"/>
              </xdr:nvSpPr>
              <xdr:spPr>
                <a:xfrm>
                  <a:off x="3557756" y="6791325"/>
                  <a:ext cx="1961963" cy="2205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pPr algn="r"/>
                  <a:r>
                    <a:rPr lang="en-CA" sz="1000" b="0">
                      <a:ln>
                        <a:noFill/>
                      </a:ln>
                      <a:solidFill>
                        <a:srgbClr val="00B0F0"/>
                      </a:solidFill>
                      <a:latin typeface="Lucida Console" panose="020B0609040504020204" pitchFamily="49" charset="0"/>
                    </a:rPr>
                    <a:t>( pouces / révolution )</a:t>
                  </a:r>
                </a:p>
              </xdr:txBody>
            </xdr:sp>
            <xdr:sp macro="" textlink="">
              <xdr:nvSpPr>
                <xdr:cNvPr id="113892" name="TextBox 114">
                  <a:extLst>
                    <a:ext uri="{FF2B5EF4-FFF2-40B4-BE49-F238E27FC236}">
                      <a16:creationId xmlns:a16="http://schemas.microsoft.com/office/drawing/2014/main" id="{00000000-0008-0000-0100-0000E4BC0100}"/>
                    </a:ext>
                  </a:extLst>
                </xdr:cNvPr>
                <xdr:cNvSpPr txBox="1"/>
              </xdr:nvSpPr>
              <xdr:spPr>
                <a:xfrm>
                  <a:off x="6671934" y="5433762"/>
                  <a:ext cx="1498326" cy="2205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pPr algn="r"/>
                  <a:r>
                    <a:rPr lang="en-CA" sz="1000" b="0">
                      <a:ln>
                        <a:noFill/>
                      </a:ln>
                      <a:solidFill>
                        <a:srgbClr val="00B0F0"/>
                      </a:solidFill>
                      <a:latin typeface="Lucida Console" panose="020B0609040504020204" pitchFamily="49" charset="0"/>
                    </a:rPr>
                    <a:t>Avance par minute</a:t>
                  </a:r>
                </a:p>
              </xdr:txBody>
            </xdr:sp>
            <xdr:sp macro="" textlink="">
              <xdr:nvSpPr>
                <xdr:cNvPr id="113893" name="TextBox 115">
                  <a:extLst>
                    <a:ext uri="{FF2B5EF4-FFF2-40B4-BE49-F238E27FC236}">
                      <a16:creationId xmlns:a16="http://schemas.microsoft.com/office/drawing/2014/main" id="{00000000-0008-0000-0100-0000E5BC0100}"/>
                    </a:ext>
                  </a:extLst>
                </xdr:cNvPr>
                <xdr:cNvSpPr txBox="1"/>
              </xdr:nvSpPr>
              <xdr:spPr>
                <a:xfrm>
                  <a:off x="6667640" y="6010275"/>
                  <a:ext cx="1652872" cy="2205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pPr algn="r"/>
                  <a:r>
                    <a:rPr lang="en-CA" sz="1000" b="0">
                      <a:ln>
                        <a:noFill/>
                      </a:ln>
                      <a:solidFill>
                        <a:srgbClr val="00B0F0"/>
                      </a:solidFill>
                      <a:latin typeface="Lucida Console" panose="020B0609040504020204" pitchFamily="49" charset="0"/>
                    </a:rPr>
                    <a:t>( pouces / minute )</a:t>
                  </a:r>
                </a:p>
              </xdr:txBody>
            </xdr:sp>
          </xdr:grpSp>
          <xdr:sp macro="" textlink="">
            <xdr:nvSpPr>
              <xdr:cNvPr id="113879" name="Trapezoid 113878">
                <a:extLst>
                  <a:ext uri="{FF2B5EF4-FFF2-40B4-BE49-F238E27FC236}">
                    <a16:creationId xmlns:a16="http://schemas.microsoft.com/office/drawing/2014/main" id="{00000000-0008-0000-0100-0000D7BC0100}"/>
                  </a:ext>
                </a:extLst>
              </xdr:cNvPr>
              <xdr:cNvSpPr/>
            </xdr:nvSpPr>
            <xdr:spPr>
              <a:xfrm rot="10800000">
                <a:off x="4230769" y="4271826"/>
                <a:ext cx="2224663" cy="171415"/>
              </a:xfrm>
              <a:prstGeom prst="trapezoid">
                <a:avLst>
                  <a:gd name="adj" fmla="val 113889"/>
                </a:avLst>
              </a:prstGeom>
              <a:solidFill>
                <a:srgbClr val="0070C0">
                  <a:alpha val="48000"/>
                </a:srgbClr>
              </a:solidFill>
              <a:ln w="12700">
                <a:solidFill>
                  <a:srgbClr val="00B0F0">
                    <a:alpha val="60000"/>
                  </a:srgb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en-CA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114488" name="Freeform: Shape 114487">
                <a:extLst>
                  <a:ext uri="{FF2B5EF4-FFF2-40B4-BE49-F238E27FC236}">
                    <a16:creationId xmlns:a16="http://schemas.microsoft.com/office/drawing/2014/main" id="{00000000-0008-0000-0100-000038BF0100}"/>
                  </a:ext>
                </a:extLst>
              </xdr:cNvPr>
              <xdr:cNvSpPr/>
            </xdr:nvSpPr>
            <xdr:spPr>
              <a:xfrm flipV="1">
                <a:off x="2045089" y="4936708"/>
                <a:ext cx="1088799" cy="45088"/>
              </a:xfrm>
              <a:custGeom>
                <a:avLst/>
                <a:gdLst>
                  <a:gd name="connsiteX0" fmla="*/ 0 w 1714500"/>
                  <a:gd name="connsiteY0" fmla="*/ 0 h 0"/>
                  <a:gd name="connsiteX1" fmla="*/ 1714500 w 1714500"/>
                  <a:gd name="connsiteY1" fmla="*/ 0 h 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</a:cxnLst>
                <a:rect l="l" t="t" r="r" b="b"/>
                <a:pathLst>
                  <a:path w="1714500">
                    <a:moveTo>
                      <a:pt x="0" y="0"/>
                    </a:moveTo>
                    <a:lnTo>
                      <a:pt x="1714500" y="0"/>
                    </a:lnTo>
                  </a:path>
                </a:pathLst>
              </a:custGeom>
              <a:noFill/>
              <a:ln w="12700">
                <a:solidFill>
                  <a:srgbClr val="0070C0"/>
                </a:solidFill>
                <a:headEnd type="none" w="med" len="med"/>
                <a:tailEnd type="triangle" w="med" len="med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/>
              </a:p>
            </xdr:txBody>
          </xdr:sp>
          <xdr:sp macro="" textlink="">
            <xdr:nvSpPr>
              <xdr:cNvPr id="114490" name="Freeform: Shape 114489">
                <a:extLst>
                  <a:ext uri="{FF2B5EF4-FFF2-40B4-BE49-F238E27FC236}">
                    <a16:creationId xmlns:a16="http://schemas.microsoft.com/office/drawing/2014/main" id="{00000000-0008-0000-0100-00003ABF0100}"/>
                  </a:ext>
                </a:extLst>
              </xdr:cNvPr>
              <xdr:cNvSpPr/>
            </xdr:nvSpPr>
            <xdr:spPr>
              <a:xfrm flipV="1">
                <a:off x="2045087" y="6283339"/>
                <a:ext cx="1464306" cy="55710"/>
              </a:xfrm>
              <a:custGeom>
                <a:avLst/>
                <a:gdLst>
                  <a:gd name="connsiteX0" fmla="*/ 0 w 1714500"/>
                  <a:gd name="connsiteY0" fmla="*/ 0 h 0"/>
                  <a:gd name="connsiteX1" fmla="*/ 1714500 w 1714500"/>
                  <a:gd name="connsiteY1" fmla="*/ 0 h 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</a:cxnLst>
                <a:rect l="l" t="t" r="r" b="b"/>
                <a:pathLst>
                  <a:path w="1714500">
                    <a:moveTo>
                      <a:pt x="0" y="0"/>
                    </a:moveTo>
                    <a:lnTo>
                      <a:pt x="1714500" y="0"/>
                    </a:lnTo>
                  </a:path>
                </a:pathLst>
              </a:custGeom>
              <a:noFill/>
              <a:ln w="12700">
                <a:solidFill>
                  <a:srgbClr val="0070C0"/>
                </a:solidFill>
                <a:headEnd type="none" w="med" len="med"/>
                <a:tailEnd type="triangle" w="med" len="med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/>
              </a:p>
            </xdr:txBody>
          </xdr:sp>
          <xdr:sp macro="" textlink="">
            <xdr:nvSpPr>
              <xdr:cNvPr id="17" name="Freeform: Shape 16">
                <a:extLst>
                  <a:ext uri="{FF2B5EF4-FFF2-40B4-BE49-F238E27FC236}">
                    <a16:creationId xmlns:a16="http://schemas.microsoft.com/office/drawing/2014/main" id="{00000000-0008-0000-0100-000011000000}"/>
                  </a:ext>
                </a:extLst>
              </xdr:cNvPr>
              <xdr:cNvSpPr/>
            </xdr:nvSpPr>
            <xdr:spPr>
              <a:xfrm>
                <a:off x="5374687" y="5552318"/>
                <a:ext cx="1229710" cy="795617"/>
              </a:xfrm>
              <a:custGeom>
                <a:avLst/>
                <a:gdLst>
                  <a:gd name="connsiteX0" fmla="*/ 0 w 1695450"/>
                  <a:gd name="connsiteY0" fmla="*/ 742950 h 742950"/>
                  <a:gd name="connsiteX1" fmla="*/ 409575 w 1695450"/>
                  <a:gd name="connsiteY1" fmla="*/ 742950 h 742950"/>
                  <a:gd name="connsiteX2" fmla="*/ 1152525 w 1695450"/>
                  <a:gd name="connsiteY2" fmla="*/ 0 h 742950"/>
                  <a:gd name="connsiteX3" fmla="*/ 1695450 w 1695450"/>
                  <a:gd name="connsiteY3" fmla="*/ 0 h 74295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695450" h="742950">
                    <a:moveTo>
                      <a:pt x="0" y="742950"/>
                    </a:moveTo>
                    <a:lnTo>
                      <a:pt x="409575" y="742950"/>
                    </a:lnTo>
                    <a:lnTo>
                      <a:pt x="1152525" y="0"/>
                    </a:lnTo>
                    <a:lnTo>
                      <a:pt x="1695450" y="0"/>
                    </a:lnTo>
                  </a:path>
                </a:pathLst>
              </a:custGeom>
              <a:noFill/>
              <a:ln w="12700">
                <a:solidFill>
                  <a:srgbClr val="0070C0"/>
                </a:solidFill>
                <a:headEnd type="none" w="med" len="med"/>
                <a:tailEnd type="triangle" w="med" len="med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/>
              </a:p>
            </xdr:txBody>
          </xdr:sp>
          <xdr:sp macro="" textlink="">
            <xdr:nvSpPr>
              <xdr:cNvPr id="18" name="Freeform: Shape 17">
                <a:extLst>
                  <a:ext uri="{FF2B5EF4-FFF2-40B4-BE49-F238E27FC236}">
                    <a16:creationId xmlns:a16="http://schemas.microsoft.com/office/drawing/2014/main" id="{00000000-0008-0000-0100-000012000000}"/>
                  </a:ext>
                </a:extLst>
              </xdr:cNvPr>
              <xdr:cNvSpPr/>
            </xdr:nvSpPr>
            <xdr:spPr>
              <a:xfrm>
                <a:off x="5679959" y="4991084"/>
                <a:ext cx="796233" cy="561101"/>
              </a:xfrm>
              <a:custGeom>
                <a:avLst/>
                <a:gdLst>
                  <a:gd name="connsiteX0" fmla="*/ 0 w 1647825"/>
                  <a:gd name="connsiteY0" fmla="*/ 0 h 609600"/>
                  <a:gd name="connsiteX1" fmla="*/ 504825 w 1647825"/>
                  <a:gd name="connsiteY1" fmla="*/ 0 h 609600"/>
                  <a:gd name="connsiteX2" fmla="*/ 1114425 w 1647825"/>
                  <a:gd name="connsiteY2" fmla="*/ 609600 h 609600"/>
                  <a:gd name="connsiteX3" fmla="*/ 1647825 w 1647825"/>
                  <a:gd name="connsiteY3" fmla="*/ 609600 h 6096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647825" h="609600">
                    <a:moveTo>
                      <a:pt x="0" y="0"/>
                    </a:moveTo>
                    <a:lnTo>
                      <a:pt x="504825" y="0"/>
                    </a:lnTo>
                    <a:lnTo>
                      <a:pt x="1114425" y="609600"/>
                    </a:lnTo>
                    <a:lnTo>
                      <a:pt x="1647825" y="609600"/>
                    </a:lnTo>
                  </a:path>
                </a:pathLst>
              </a:custGeom>
              <a:noFill/>
              <a:ln w="12700">
                <a:solidFill>
                  <a:srgbClr val="0070C0"/>
                </a:solidFill>
                <a:headEnd type="none" w="med" len="med"/>
                <a:tailEnd type="none" w="med" len="med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/>
              </a:p>
            </xdr:txBody>
          </xdr:sp>
          <xdr:sp macro="" textlink="">
            <xdr:nvSpPr>
              <xdr:cNvPr id="4" name="Arrow: Curved Left 3">
                <a:extLst>
                  <a:ext uri="{FF2B5EF4-FFF2-40B4-BE49-F238E27FC236}">
                    <a16:creationId xmlns:a16="http://schemas.microsoft.com/office/drawing/2014/main" id="{00000000-0008-0000-0100-000004000000}"/>
                  </a:ext>
                </a:extLst>
              </xdr:cNvPr>
              <xdr:cNvSpPr/>
            </xdr:nvSpPr>
            <xdr:spPr>
              <a:xfrm>
                <a:off x="4906025" y="5203141"/>
                <a:ext cx="615179" cy="256335"/>
              </a:xfrm>
              <a:prstGeom prst="curvedLeftArrow">
                <a:avLst>
                  <a:gd name="adj1" fmla="val 29521"/>
                  <a:gd name="adj2" fmla="val 50000"/>
                  <a:gd name="adj3" fmla="val 53090"/>
                </a:avLst>
              </a:prstGeom>
              <a:solidFill>
                <a:schemeClr val="accent1">
                  <a:alpha val="50000"/>
                </a:schemeClr>
              </a:solidFill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>
                  <a:solidFill>
                    <a:schemeClr val="tx1"/>
                  </a:solidFill>
                </a:endParaRPr>
              </a:p>
            </xdr:txBody>
          </xdr:sp>
          <xdr:pic>
            <xdr:nvPicPr>
              <xdr:cNvPr id="59" name="Picture 58">
                <a:extLst>
                  <a:ext uri="{FF2B5EF4-FFF2-40B4-BE49-F238E27FC236}">
                    <a16:creationId xmlns:a16="http://schemas.microsoft.com/office/drawing/2014/main" id="{00000000-0008-0000-0100-00003B000000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6" cstate="email">
                <a:alphaModFix amt="50000"/>
                <a:extLst>
                  <a:ext uri="{28A0092B-C50C-407E-A947-70E740481C1C}">
                    <a14:useLocalDpi xmlns:a14="http://schemas.microsoft.com/office/drawing/2010/main"/>
                  </a:ext>
                </a:extLst>
              </a:blip>
              <a:srcRect t="50136"/>
              <a:stretch/>
            </xdr:blipFill>
            <xdr:spPr>
              <a:xfrm>
                <a:off x="1911734" y="6401837"/>
                <a:ext cx="352305" cy="354543"/>
              </a:xfrm>
              <a:prstGeom prst="rect">
                <a:avLst/>
              </a:prstGeom>
              <a:noFill/>
            </xdr:spPr>
          </xdr:pic>
          <xdr:pic>
            <xdr:nvPicPr>
              <xdr:cNvPr id="45251" name="Picture 45250">
                <a:extLst>
                  <a:ext uri="{FF2B5EF4-FFF2-40B4-BE49-F238E27FC236}">
                    <a16:creationId xmlns:a16="http://schemas.microsoft.com/office/drawing/2014/main" id="{00000000-0008-0000-0100-0000C3B00000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7" cstate="email">
                <a:alphaModFix amt="50000"/>
                <a:extLst>
                  <a:ext uri="{28A0092B-C50C-407E-A947-70E740481C1C}">
                    <a14:useLocalDpi xmlns:a14="http://schemas.microsoft.com/office/drawing/2010/main"/>
                  </a:ext>
                </a:extLst>
              </a:blip>
              <a:srcRect/>
              <a:stretch/>
            </xdr:blipFill>
            <xdr:spPr>
              <a:xfrm>
                <a:off x="4879346" y="6436400"/>
                <a:ext cx="692215" cy="359680"/>
              </a:xfrm>
              <a:prstGeom prst="rect">
                <a:avLst/>
              </a:prstGeom>
            </xdr:spPr>
          </xdr:pic>
          <xdr:grpSp>
            <xdr:nvGrpSpPr>
              <xdr:cNvPr id="35519" name="Group 35518">
                <a:extLst>
                  <a:ext uri="{FF2B5EF4-FFF2-40B4-BE49-F238E27FC236}">
                    <a16:creationId xmlns:a16="http://schemas.microsoft.com/office/drawing/2014/main" id="{00000000-0008-0000-0100-0000BF8A0000}"/>
                  </a:ext>
                </a:extLst>
              </xdr:cNvPr>
              <xdr:cNvGrpSpPr/>
            </xdr:nvGrpSpPr>
            <xdr:grpSpPr>
              <a:xfrm>
                <a:off x="7826173" y="5539935"/>
                <a:ext cx="882976" cy="476661"/>
                <a:chOff x="7847363" y="5621477"/>
                <a:chExt cx="885376" cy="470053"/>
              </a:xfrm>
            </xdr:grpSpPr>
            <xdr:pic>
              <xdr:nvPicPr>
                <xdr:cNvPr id="35513" name="Picture 35512">
                  <a:extLst>
                    <a:ext uri="{FF2B5EF4-FFF2-40B4-BE49-F238E27FC236}">
                      <a16:creationId xmlns:a16="http://schemas.microsoft.com/office/drawing/2014/main" id="{00000000-0008-0000-0100-0000B98A0000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8" cstate="email">
                  <a:alphaModFix amt="50000"/>
                  <a:extLst>
                    <a:ext uri="{28A0092B-C50C-407E-A947-70E740481C1C}">
                      <a14:useLocalDpi xmlns:a14="http://schemas.microsoft.com/office/drawing/2010/main"/>
                    </a:ext>
                  </a:extLst>
                </a:blip>
                <a:srcRect/>
                <a:stretch/>
              </xdr:blipFill>
              <xdr:spPr>
                <a:xfrm>
                  <a:off x="8184284" y="5810289"/>
                  <a:ext cx="548455" cy="279416"/>
                </a:xfrm>
                <a:prstGeom prst="rect">
                  <a:avLst/>
                </a:prstGeom>
              </xdr:spPr>
            </xdr:pic>
            <xdr:pic>
              <xdr:nvPicPr>
                <xdr:cNvPr id="35515" name="Picture 35514">
                  <a:extLst>
                    <a:ext uri="{FF2B5EF4-FFF2-40B4-BE49-F238E27FC236}">
                      <a16:creationId xmlns:a16="http://schemas.microsoft.com/office/drawing/2014/main" id="{00000000-0008-0000-0100-0000BB8A0000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8" cstate="email">
                  <a:alphaModFix amt="50000"/>
                  <a:extLst>
                    <a:ext uri="{28A0092B-C50C-407E-A947-70E740481C1C}">
                      <a14:useLocalDpi xmlns:a14="http://schemas.microsoft.com/office/drawing/2010/main"/>
                    </a:ext>
                  </a:extLst>
                </a:blip>
                <a:srcRect/>
                <a:stretch/>
              </xdr:blipFill>
              <xdr:spPr>
                <a:xfrm>
                  <a:off x="7847363" y="5812114"/>
                  <a:ext cx="548457" cy="279416"/>
                </a:xfrm>
                <a:prstGeom prst="rect">
                  <a:avLst/>
                </a:prstGeom>
              </xdr:spPr>
            </xdr:pic>
            <xdr:sp macro="" textlink="">
              <xdr:nvSpPr>
                <xdr:cNvPr id="35516" name="Arrow: Right 35515">
                  <a:extLst>
                    <a:ext uri="{FF2B5EF4-FFF2-40B4-BE49-F238E27FC236}">
                      <a16:creationId xmlns:a16="http://schemas.microsoft.com/office/drawing/2014/main" id="{00000000-0008-0000-0100-0000BC8A0000}"/>
                    </a:ext>
                  </a:extLst>
                </xdr:cNvPr>
                <xdr:cNvSpPr/>
              </xdr:nvSpPr>
              <xdr:spPr>
                <a:xfrm>
                  <a:off x="8143011" y="5621477"/>
                  <a:ext cx="242985" cy="158791"/>
                </a:xfrm>
                <a:prstGeom prst="rightArrow">
                  <a:avLst>
                    <a:gd name="adj1" fmla="val 45244"/>
                    <a:gd name="adj2" fmla="val 50000"/>
                  </a:avLst>
                </a:prstGeom>
                <a:solidFill>
                  <a:schemeClr val="accent1">
                    <a:alpha val="50000"/>
                  </a:schemeClr>
                </a:solidFill>
                <a:ln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CA" sz="1100"/>
                </a:p>
              </xdr:txBody>
            </xdr:sp>
            <xdr:sp macro="" textlink="">
              <xdr:nvSpPr>
                <xdr:cNvPr id="35517" name="Arrow: Right 35516">
                  <a:extLst>
                    <a:ext uri="{FF2B5EF4-FFF2-40B4-BE49-F238E27FC236}">
                      <a16:creationId xmlns:a16="http://schemas.microsoft.com/office/drawing/2014/main" id="{00000000-0008-0000-0100-0000BD8A0000}"/>
                    </a:ext>
                  </a:extLst>
                </xdr:cNvPr>
                <xdr:cNvSpPr/>
              </xdr:nvSpPr>
              <xdr:spPr>
                <a:xfrm>
                  <a:off x="8460641" y="5621477"/>
                  <a:ext cx="241700" cy="158791"/>
                </a:xfrm>
                <a:prstGeom prst="rightArrow">
                  <a:avLst>
                    <a:gd name="adj1" fmla="val 45244"/>
                    <a:gd name="adj2" fmla="val 50000"/>
                  </a:avLst>
                </a:prstGeom>
                <a:solidFill>
                  <a:schemeClr val="accent1">
                    <a:alpha val="50000"/>
                  </a:schemeClr>
                </a:solidFill>
                <a:ln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CA" sz="1100"/>
                </a:p>
              </xdr:txBody>
            </xdr:sp>
          </xdr:grpSp>
          <xdr:sp macro="" textlink="">
            <xdr:nvSpPr>
              <xdr:cNvPr id="5" name="Arrow: Right 4">
                <a:extLst>
                  <a:ext uri="{FF2B5EF4-FFF2-40B4-BE49-F238E27FC236}">
                    <a16:creationId xmlns:a16="http://schemas.microsoft.com/office/drawing/2014/main" id="{00000000-0008-0000-0100-000005000000}"/>
                  </a:ext>
                </a:extLst>
              </xdr:cNvPr>
              <xdr:cNvSpPr/>
            </xdr:nvSpPr>
            <xdr:spPr>
              <a:xfrm>
                <a:off x="1826354" y="5128059"/>
                <a:ext cx="821591" cy="313522"/>
              </a:xfrm>
              <a:prstGeom prst="rightArrow">
                <a:avLst/>
              </a:prstGeom>
              <a:solidFill>
                <a:schemeClr val="accent1">
                  <a:alpha val="50000"/>
                </a:schemeClr>
              </a:solidFill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/>
              </a:p>
            </xdr:txBody>
          </xdr:sp>
          <xdr:grpSp>
            <xdr:nvGrpSpPr>
              <xdr:cNvPr id="45303" name="Group 45302">
                <a:extLst>
                  <a:ext uri="{FF2B5EF4-FFF2-40B4-BE49-F238E27FC236}">
                    <a16:creationId xmlns:a16="http://schemas.microsoft.com/office/drawing/2014/main" id="{00000000-0008-0000-0100-0000F7B00000}"/>
                  </a:ext>
                </a:extLst>
              </xdr:cNvPr>
              <xdr:cNvGrpSpPr/>
            </xdr:nvGrpSpPr>
            <xdr:grpSpPr>
              <a:xfrm>
                <a:off x="6411992" y="4459559"/>
                <a:ext cx="2371858" cy="791089"/>
                <a:chOff x="6423016" y="4459381"/>
                <a:chExt cx="2376207" cy="790575"/>
              </a:xfrm>
            </xdr:grpSpPr>
            <xdr:sp macro="" textlink="">
              <xdr:nvSpPr>
                <xdr:cNvPr id="113882" name="Cadre 101">
                  <a:extLst>
                    <a:ext uri="{FF2B5EF4-FFF2-40B4-BE49-F238E27FC236}">
                      <a16:creationId xmlns:a16="http://schemas.microsoft.com/office/drawing/2014/main" id="{00000000-0008-0000-0100-0000DABC0100}"/>
                    </a:ext>
                  </a:extLst>
                </xdr:cNvPr>
                <xdr:cNvSpPr/>
              </xdr:nvSpPr>
              <xdr:spPr>
                <a:xfrm flipH="1">
                  <a:off x="6434538" y="4459381"/>
                  <a:ext cx="2312760" cy="790575"/>
                </a:xfrm>
                <a:prstGeom prst="snip2DiagRect">
                  <a:avLst>
                    <a:gd name="adj1" fmla="val 0"/>
                    <a:gd name="adj2" fmla="val 22390"/>
                  </a:avLst>
                </a:prstGeom>
                <a:gradFill flip="none" rotWithShape="0">
                  <a:gsLst>
                    <a:gs pos="0">
                      <a:srgbClr val="0070C0">
                        <a:shade val="5000"/>
                      </a:srgbClr>
                    </a:gs>
                    <a:gs pos="100000">
                      <a:srgbClr val="080808"/>
                    </a:gs>
                  </a:gsLst>
                  <a:lin ang="16200000" scaled="1"/>
                  <a:tileRect/>
                </a:gradFill>
                <a:ln w="38100" cap="flat" cmpd="sng" algn="ctr">
                  <a:solidFill>
                    <a:srgbClr val="0070C0">
                      <a:alpha val="60000"/>
                    </a:srgbClr>
                  </a:solidFill>
                  <a:prstDash val="solid"/>
                  <a:miter lim="800000"/>
                  <a:headEnd type="none" w="med" len="med"/>
                  <a:tailEnd type="none" w="med" len="med"/>
                </a:ln>
                <a:effectLst>
                  <a:glow>
                    <a:srgbClr val="0070C0"/>
                  </a:glo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CA" sz="1100"/>
                </a:p>
              </xdr:txBody>
            </xdr:sp>
            <xdr:sp macro="" textlink="">
              <xdr:nvSpPr>
                <xdr:cNvPr id="113883" name="Trapezoid 104">
                  <a:extLst>
                    <a:ext uri="{FF2B5EF4-FFF2-40B4-BE49-F238E27FC236}">
                      <a16:creationId xmlns:a16="http://schemas.microsoft.com/office/drawing/2014/main" id="{00000000-0008-0000-0100-0000DBBC0100}"/>
                    </a:ext>
                  </a:extLst>
                </xdr:cNvPr>
                <xdr:cNvSpPr/>
              </xdr:nvSpPr>
              <xdr:spPr>
                <a:xfrm>
                  <a:off x="7816577" y="5198334"/>
                  <a:ext cx="605898" cy="44884"/>
                </a:xfrm>
                <a:prstGeom prst="trapezoid">
                  <a:avLst>
                    <a:gd name="adj" fmla="val 113889"/>
                  </a:avLst>
                </a:prstGeom>
                <a:solidFill>
                  <a:srgbClr val="0070C0">
                    <a:alpha val="50000"/>
                  </a:srgbClr>
                </a:solidFill>
                <a:ln w="12700" cap="flat" cmpd="sng" algn="ctr">
                  <a:solidFill>
                    <a:srgbClr val="0070C0">
                      <a:alpha val="60000"/>
                    </a:srgbClr>
                  </a:solidFill>
                  <a:prstDash val="solid"/>
                  <a:miter lim="800000"/>
                  <a:headEnd type="none" w="med" len="med"/>
                  <a:tailEnd type="none" w="med" len="med"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endParaRPr lang="en-CA"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13894" name="Trapezoid 103">
                  <a:extLst>
                    <a:ext uri="{FF2B5EF4-FFF2-40B4-BE49-F238E27FC236}">
                      <a16:creationId xmlns:a16="http://schemas.microsoft.com/office/drawing/2014/main" id="{00000000-0008-0000-0100-0000E6BC0100}"/>
                    </a:ext>
                  </a:extLst>
                </xdr:cNvPr>
                <xdr:cNvSpPr/>
              </xdr:nvSpPr>
              <xdr:spPr>
                <a:xfrm rot="5400000">
                  <a:off x="6251793" y="4904353"/>
                  <a:ext cx="420355" cy="56254"/>
                </a:xfrm>
                <a:prstGeom prst="trapezoid">
                  <a:avLst>
                    <a:gd name="adj" fmla="val 113889"/>
                  </a:avLst>
                </a:prstGeom>
                <a:solidFill>
                  <a:srgbClr val="0070C0">
                    <a:alpha val="50000"/>
                  </a:srgbClr>
                </a:solidFill>
                <a:ln w="12700" cap="flat" cmpd="sng" algn="ctr">
                  <a:solidFill>
                    <a:srgbClr val="0070C0">
                      <a:alpha val="60000"/>
                    </a:srgbClr>
                  </a:solidFill>
                  <a:prstDash val="solid"/>
                  <a:miter lim="800000"/>
                  <a:headEnd type="none" w="med" len="med"/>
                  <a:tailEnd type="none" w="med" len="med"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endParaRPr lang="en-CA"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113896" name="Trapezoid 102">
                  <a:extLst>
                    <a:ext uri="{FF2B5EF4-FFF2-40B4-BE49-F238E27FC236}">
                      <a16:creationId xmlns:a16="http://schemas.microsoft.com/office/drawing/2014/main" id="{00000000-0008-0000-0100-0000E8BC0100}"/>
                    </a:ext>
                  </a:extLst>
                </xdr:cNvPr>
                <xdr:cNvSpPr/>
              </xdr:nvSpPr>
              <xdr:spPr>
                <a:xfrm rot="10800000">
                  <a:off x="6823452" y="4463090"/>
                  <a:ext cx="606291" cy="45359"/>
                </a:xfrm>
                <a:prstGeom prst="trapezoid">
                  <a:avLst>
                    <a:gd name="adj" fmla="val 113889"/>
                  </a:avLst>
                </a:prstGeom>
                <a:solidFill>
                  <a:srgbClr val="0070C0">
                    <a:alpha val="50000"/>
                  </a:srgbClr>
                </a:solidFill>
                <a:ln w="12700" cap="flat" cmpd="sng" algn="ctr">
                  <a:solidFill>
                    <a:srgbClr val="0070C0">
                      <a:alpha val="60000"/>
                    </a:srgbClr>
                  </a:solidFill>
                  <a:prstDash val="solid"/>
                  <a:miter lim="800000"/>
                  <a:headEnd type="none" w="med" len="med"/>
                  <a:tailEnd type="none" w="med" len="med"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endParaRPr lang="en-CA"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sp macro="[0]!TextBox101A_Click" textlink="">
              <xdr:nvSpPr>
                <xdr:cNvPr id="113881" name="TextBox 101A">
                  <a:extLst>
                    <a:ext uri="{FF2B5EF4-FFF2-40B4-BE49-F238E27FC236}">
                      <a16:creationId xmlns:a16="http://schemas.microsoft.com/office/drawing/2014/main" id="{00000000-0008-0000-0100-0000D9BC0100}"/>
                    </a:ext>
                  </a:extLst>
                </xdr:cNvPr>
                <xdr:cNvSpPr txBox="1"/>
              </xdr:nvSpPr>
              <xdr:spPr>
                <a:xfrm>
                  <a:off x="6423016" y="4510929"/>
                  <a:ext cx="2376207" cy="685800"/>
                </a:xfrm>
                <a:prstGeom prst="rect">
                  <a:avLst/>
                </a:prstGeom>
                <a:noFill/>
                <a:ln w="9525" cmpd="sng">
                  <a:noFill/>
                </a:ln>
                <a:effectLst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 anchorCtr="1"/>
                <a:lstStyle/>
                <a:p>
                  <a:pPr algn="l">
                    <a:lnSpc>
                      <a:spcPct val="150000"/>
                    </a:lnSpc>
                  </a:pPr>
                  <a:endParaRPr lang="en-CA" sz="1400" b="0" i="0">
                    <a:solidFill>
                      <a:srgbClr val="0070C0"/>
                    </a:solidFill>
                    <a:latin typeface="Lucida Console" panose="020B0609040504020204" pitchFamily="49" charset="0"/>
                  </a:endParaRPr>
                </a:p>
              </xdr:txBody>
            </xdr:sp>
          </xdr:grpSp>
        </xdr:grpSp>
        <mc:AlternateContent xmlns:mc="http://schemas.openxmlformats.org/markup-compatibility/2006">
          <mc:Choice xmlns:a14="http://schemas.microsoft.com/office/drawing/2010/main" Requires="a14">
            <xdr:grpSp>
              <xdr:nvGrpSpPr>
                <xdr:cNvPr id="45309" name="Group 45308">
                  <a:extLst>
                    <a:ext uri="{FF2B5EF4-FFF2-40B4-BE49-F238E27FC236}">
                      <a16:creationId xmlns:a16="http://schemas.microsoft.com/office/drawing/2014/main" id="{00000000-0008-0000-0100-0000FDB00000}"/>
                    </a:ext>
                  </a:extLst>
                </xdr:cNvPr>
                <xdr:cNvGrpSpPr/>
              </xdr:nvGrpSpPr>
              <xdr:grpSpPr>
                <a:xfrm>
                  <a:off x="868174" y="5152555"/>
                  <a:ext cx="7665340" cy="1840197"/>
                  <a:chOff x="867882" y="5093217"/>
                  <a:chExt cx="7659940" cy="1818391"/>
                </a:xfrm>
              </xdr:grpSpPr>
              <xdr:sp macro="" textlink="">
                <xdr:nvSpPr>
                  <xdr:cNvPr id="45285" name="TextBox6" hidden="1">
                    <a:extLst>
                      <a:ext uri="{63B3BB69-23CF-44E3-9099-C40C66FF867C}">
                        <a14:compatExt spid="_x0000_s45285"/>
                      </a:ext>
                      <a:ext uri="{FF2B5EF4-FFF2-40B4-BE49-F238E27FC236}">
                        <a16:creationId xmlns:a16="http://schemas.microsoft.com/office/drawing/2014/main" id="{00000000-0008-0000-0100-0000E5B00000}"/>
                      </a:ext>
                    </a:extLst>
                  </xdr:cNvPr>
                  <xdr:cNvSpPr/>
                </xdr:nvSpPr>
                <xdr:spPr bwMode="auto">
                  <a:xfrm>
                    <a:off x="1770542" y="5112267"/>
                    <a:ext cx="770029" cy="207335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45286" name="TextBox7" hidden="1">
                    <a:extLst>
                      <a:ext uri="{63B3BB69-23CF-44E3-9099-C40C66FF867C}">
                        <a14:compatExt spid="_x0000_s45286"/>
                      </a:ext>
                      <a:ext uri="{FF2B5EF4-FFF2-40B4-BE49-F238E27FC236}">
                        <a16:creationId xmlns:a16="http://schemas.microsoft.com/office/drawing/2014/main" id="{00000000-0008-0000-0100-0000E6B00000}"/>
                      </a:ext>
                    </a:extLst>
                  </xdr:cNvPr>
                  <xdr:cNvSpPr/>
                </xdr:nvSpPr>
                <xdr:spPr bwMode="auto">
                  <a:xfrm>
                    <a:off x="1770542" y="6439786"/>
                    <a:ext cx="770029" cy="21686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45287" name="TextBox8" hidden="1">
                    <a:extLst>
                      <a:ext uri="{63B3BB69-23CF-44E3-9099-C40C66FF867C}">
                        <a14:compatExt spid="_x0000_s45287"/>
                      </a:ext>
                      <a:ext uri="{FF2B5EF4-FFF2-40B4-BE49-F238E27FC236}">
                        <a16:creationId xmlns:a16="http://schemas.microsoft.com/office/drawing/2014/main" id="{00000000-0008-0000-0100-0000E7B00000}"/>
                      </a:ext>
                    </a:extLst>
                  </xdr:cNvPr>
                  <xdr:cNvSpPr/>
                </xdr:nvSpPr>
                <xdr:spPr bwMode="auto">
                  <a:xfrm>
                    <a:off x="4806802" y="5121792"/>
                    <a:ext cx="770029" cy="207335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45288" name="TextBox9" hidden="1">
                    <a:extLst>
                      <a:ext uri="{63B3BB69-23CF-44E3-9099-C40C66FF867C}">
                        <a14:compatExt spid="_x0000_s45288"/>
                      </a:ext>
                      <a:ext uri="{FF2B5EF4-FFF2-40B4-BE49-F238E27FC236}">
                        <a16:creationId xmlns:a16="http://schemas.microsoft.com/office/drawing/2014/main" id="{00000000-0008-0000-0100-0000E8B00000}"/>
                      </a:ext>
                    </a:extLst>
                  </xdr:cNvPr>
                  <xdr:cNvSpPr/>
                </xdr:nvSpPr>
                <xdr:spPr bwMode="auto">
                  <a:xfrm>
                    <a:off x="4806802" y="6439786"/>
                    <a:ext cx="770029" cy="21686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45289" name="TextBox10" hidden="1">
                    <a:extLst>
                      <a:ext uri="{63B3BB69-23CF-44E3-9099-C40C66FF867C}">
                        <a14:compatExt spid="_x0000_s45289"/>
                      </a:ext>
                      <a:ext uri="{FF2B5EF4-FFF2-40B4-BE49-F238E27FC236}">
                        <a16:creationId xmlns:a16="http://schemas.microsoft.com/office/drawing/2014/main" id="{00000000-0008-0000-0100-0000E9B00000}"/>
                      </a:ext>
                    </a:extLst>
                  </xdr:cNvPr>
                  <xdr:cNvSpPr/>
                </xdr:nvSpPr>
                <xdr:spPr bwMode="auto">
                  <a:xfrm>
                    <a:off x="7757793" y="5677122"/>
                    <a:ext cx="770029" cy="21685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114446" name="TextBox13" hidden="1">
                    <a:extLst>
                      <a:ext uri="{63B3BB69-23CF-44E3-9099-C40C66FF867C}">
                        <a14:compatExt spid="_x0000_s114446"/>
                      </a:ext>
                      <a:ext uri="{FF2B5EF4-FFF2-40B4-BE49-F238E27FC236}">
                        <a16:creationId xmlns:a16="http://schemas.microsoft.com/office/drawing/2014/main" id="{00000000-0008-0000-0100-00000EBF0100}"/>
                      </a:ext>
                    </a:extLst>
                  </xdr:cNvPr>
                  <xdr:cNvSpPr/>
                </xdr:nvSpPr>
                <xdr:spPr bwMode="auto">
                  <a:xfrm>
                    <a:off x="1809026" y="5121792"/>
                    <a:ext cx="2331501" cy="19781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114447" name="TextBox14" hidden="1">
                    <a:extLst>
                      <a:ext uri="{63B3BB69-23CF-44E3-9099-C40C66FF867C}">
                        <a14:compatExt spid="_x0000_s114447"/>
                      </a:ext>
                      <a:ext uri="{FF2B5EF4-FFF2-40B4-BE49-F238E27FC236}">
                        <a16:creationId xmlns:a16="http://schemas.microsoft.com/office/drawing/2014/main" id="{00000000-0008-0000-0100-00000FBF0100}"/>
                      </a:ext>
                    </a:extLst>
                  </xdr:cNvPr>
                  <xdr:cNvSpPr/>
                </xdr:nvSpPr>
                <xdr:spPr bwMode="auto">
                  <a:xfrm>
                    <a:off x="1725133" y="6439786"/>
                    <a:ext cx="2444381" cy="19781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5468" name="TextBox1" hidden="1">
                    <a:extLst>
                      <a:ext uri="{63B3BB69-23CF-44E3-9099-C40C66FF867C}">
                        <a14:compatExt spid="_x0000_s35468"/>
                      </a:ext>
                      <a:ext uri="{FF2B5EF4-FFF2-40B4-BE49-F238E27FC236}">
                        <a16:creationId xmlns:a16="http://schemas.microsoft.com/office/drawing/2014/main" id="{00000000-0008-0000-0100-00008C8A0000}"/>
                      </a:ext>
                    </a:extLst>
                  </xdr:cNvPr>
                  <xdr:cNvSpPr/>
                </xdr:nvSpPr>
                <xdr:spPr bwMode="auto">
                  <a:xfrm>
                    <a:off x="1144108" y="5093217"/>
                    <a:ext cx="635959" cy="25496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5469" name="TextBox2" hidden="1">
                    <a:extLst>
                      <a:ext uri="{63B3BB69-23CF-44E3-9099-C40C66FF867C}">
                        <a14:compatExt spid="_x0000_s35469"/>
                      </a:ext>
                      <a:ext uri="{FF2B5EF4-FFF2-40B4-BE49-F238E27FC236}">
                        <a16:creationId xmlns:a16="http://schemas.microsoft.com/office/drawing/2014/main" id="{00000000-0008-0000-0100-00008D8A0000}"/>
                      </a:ext>
                    </a:extLst>
                  </xdr:cNvPr>
                  <xdr:cNvSpPr/>
                </xdr:nvSpPr>
                <xdr:spPr bwMode="auto">
                  <a:xfrm>
                    <a:off x="1144108" y="6411211"/>
                    <a:ext cx="635959" cy="264485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5470" name="TextBox3" hidden="1">
                    <a:extLst>
                      <a:ext uri="{63B3BB69-23CF-44E3-9099-C40C66FF867C}">
                        <a14:compatExt spid="_x0000_s35470"/>
                      </a:ext>
                      <a:ext uri="{FF2B5EF4-FFF2-40B4-BE49-F238E27FC236}">
                        <a16:creationId xmlns:a16="http://schemas.microsoft.com/office/drawing/2014/main" id="{00000000-0008-0000-0100-00008E8A0000}"/>
                      </a:ext>
                    </a:extLst>
                  </xdr:cNvPr>
                  <xdr:cNvSpPr/>
                </xdr:nvSpPr>
                <xdr:spPr bwMode="auto">
                  <a:xfrm>
                    <a:off x="4188563" y="5093217"/>
                    <a:ext cx="637289" cy="25496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5471" name="TextBox4" hidden="1">
                    <a:extLst>
                      <a:ext uri="{63B3BB69-23CF-44E3-9099-C40C66FF867C}">
                        <a14:compatExt spid="_x0000_s35471"/>
                      </a:ext>
                      <a:ext uri="{FF2B5EF4-FFF2-40B4-BE49-F238E27FC236}">
                        <a16:creationId xmlns:a16="http://schemas.microsoft.com/office/drawing/2014/main" id="{00000000-0008-0000-0100-00008F8A0000}"/>
                      </a:ext>
                    </a:extLst>
                  </xdr:cNvPr>
                  <xdr:cNvSpPr/>
                </xdr:nvSpPr>
                <xdr:spPr bwMode="auto">
                  <a:xfrm>
                    <a:off x="4188563" y="6411211"/>
                    <a:ext cx="637289" cy="264485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5472" name="TextBox5" hidden="1">
                    <a:extLst>
                      <a:ext uri="{63B3BB69-23CF-44E3-9099-C40C66FF867C}">
                        <a14:compatExt spid="_x0000_s35472"/>
                      </a:ext>
                      <a:ext uri="{FF2B5EF4-FFF2-40B4-BE49-F238E27FC236}">
                        <a16:creationId xmlns:a16="http://schemas.microsoft.com/office/drawing/2014/main" id="{00000000-0008-0000-0100-0000908A0000}"/>
                      </a:ext>
                    </a:extLst>
                  </xdr:cNvPr>
                  <xdr:cNvSpPr/>
                </xdr:nvSpPr>
                <xdr:spPr bwMode="auto">
                  <a:xfrm>
                    <a:off x="7129573" y="5658072"/>
                    <a:ext cx="637732" cy="264484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114444" name="TextBox11" hidden="1">
                    <a:extLst>
                      <a:ext uri="{63B3BB69-23CF-44E3-9099-C40C66FF867C}">
                        <a14:compatExt spid="_x0000_s114444"/>
                      </a:ext>
                      <a:ext uri="{FF2B5EF4-FFF2-40B4-BE49-F238E27FC236}">
                        <a16:creationId xmlns:a16="http://schemas.microsoft.com/office/drawing/2014/main" id="{00000000-0008-0000-0100-00000CBF0100}"/>
                      </a:ext>
                    </a:extLst>
                  </xdr:cNvPr>
                  <xdr:cNvSpPr/>
                </xdr:nvSpPr>
                <xdr:spPr bwMode="auto">
                  <a:xfrm>
                    <a:off x="2142017" y="5405327"/>
                    <a:ext cx="1494096" cy="39562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114445" name="TextBox12" hidden="1">
                    <a:extLst>
                      <a:ext uri="{63B3BB69-23CF-44E3-9099-C40C66FF867C}">
                        <a14:compatExt spid="_x0000_s114445"/>
                      </a:ext>
                      <a:ext uri="{FF2B5EF4-FFF2-40B4-BE49-F238E27FC236}">
                        <a16:creationId xmlns:a16="http://schemas.microsoft.com/office/drawing/2014/main" id="{00000000-0008-0000-0100-00000DBF0100}"/>
                      </a:ext>
                    </a:extLst>
                  </xdr:cNvPr>
                  <xdr:cNvSpPr/>
                </xdr:nvSpPr>
                <xdr:spPr bwMode="auto">
                  <a:xfrm>
                    <a:off x="2008667" y="6732850"/>
                    <a:ext cx="1598871" cy="178758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114448" name="TextBox15" hidden="1">
                    <a:extLst>
                      <a:ext uri="{63B3BB69-23CF-44E3-9099-C40C66FF867C}">
                        <a14:compatExt spid="_x0000_s114448"/>
                      </a:ext>
                      <a:ext uri="{FF2B5EF4-FFF2-40B4-BE49-F238E27FC236}">
                        <a16:creationId xmlns:a16="http://schemas.microsoft.com/office/drawing/2014/main" id="{00000000-0008-0000-0100-000010BF0100}"/>
                      </a:ext>
                    </a:extLst>
                  </xdr:cNvPr>
                  <xdr:cNvSpPr/>
                </xdr:nvSpPr>
                <xdr:spPr bwMode="auto">
                  <a:xfrm>
                    <a:off x="4235745" y="5677122"/>
                    <a:ext cx="2970028" cy="19780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114449" name="TextBox16" hidden="1">
                    <a:extLst>
                      <a:ext uri="{63B3BB69-23CF-44E3-9099-C40C66FF867C}">
                        <a14:compatExt spid="_x0000_s114449"/>
                      </a:ext>
                      <a:ext uri="{FF2B5EF4-FFF2-40B4-BE49-F238E27FC236}">
                        <a16:creationId xmlns:a16="http://schemas.microsoft.com/office/drawing/2014/main" id="{00000000-0008-0000-0100-000011BF0100}"/>
                      </a:ext>
                    </a:extLst>
                  </xdr:cNvPr>
                  <xdr:cNvSpPr/>
                </xdr:nvSpPr>
                <xdr:spPr bwMode="auto">
                  <a:xfrm>
                    <a:off x="867882" y="5686647"/>
                    <a:ext cx="3472648" cy="19780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xdr:grpSp>
          </mc:Choice>
          <mc:Fallback/>
        </mc:AlternateContent>
      </xdr:grpSp>
      <xdr:sp macro="" textlink="">
        <xdr:nvSpPr>
          <xdr:cNvPr id="45294" name="Freeform: Shape 9">
            <a:extLst>
              <a:ext uri="{FF2B5EF4-FFF2-40B4-BE49-F238E27FC236}">
                <a16:creationId xmlns:a16="http://schemas.microsoft.com/office/drawing/2014/main" id="{00000000-0008-0000-0100-0000EEB00000}"/>
              </a:ext>
            </a:extLst>
          </xdr:cNvPr>
          <xdr:cNvSpPr/>
        </xdr:nvSpPr>
        <xdr:spPr>
          <a:xfrm>
            <a:off x="503718" y="5632063"/>
            <a:ext cx="8311321" cy="1773329"/>
          </a:xfrm>
          <a:custGeom>
            <a:avLst/>
            <a:gdLst>
              <a:gd name="connsiteX0" fmla="*/ 0 w 8326243"/>
              <a:gd name="connsiteY0" fmla="*/ 1770256 h 1770256"/>
              <a:gd name="connsiteX1" fmla="*/ 5440865 w 8326243"/>
              <a:gd name="connsiteY1" fmla="*/ 1770256 h 1770256"/>
              <a:gd name="connsiteX2" fmla="*/ 5687122 w 8326243"/>
              <a:gd name="connsiteY2" fmla="*/ 1575110 h 1770256"/>
              <a:gd name="connsiteX3" fmla="*/ 7903426 w 8326243"/>
              <a:gd name="connsiteY3" fmla="*/ 1575110 h 1770256"/>
              <a:gd name="connsiteX4" fmla="*/ 8326243 w 8326243"/>
              <a:gd name="connsiteY4" fmla="*/ 1152293 h 1770256"/>
              <a:gd name="connsiteX5" fmla="*/ 8326243 w 8326243"/>
              <a:gd name="connsiteY5" fmla="*/ 0 h 1770256"/>
              <a:gd name="connsiteX6" fmla="*/ 5631365 w 8326243"/>
              <a:gd name="connsiteY6" fmla="*/ 0 h 1770256"/>
              <a:gd name="connsiteX7" fmla="*/ 5134207 w 8326243"/>
              <a:gd name="connsiteY7" fmla="*/ 752707 h 1770256"/>
              <a:gd name="connsiteX8" fmla="*/ 218378 w 8326243"/>
              <a:gd name="connsiteY8" fmla="*/ 752707 h 1770256"/>
              <a:gd name="connsiteX9" fmla="*/ 218378 w 8326243"/>
              <a:gd name="connsiteY9" fmla="*/ 1245219 h 1770256"/>
              <a:gd name="connsiteX10" fmla="*/ 27878 w 8326243"/>
              <a:gd name="connsiteY10" fmla="*/ 1435719 h 1770256"/>
              <a:gd name="connsiteX11" fmla="*/ 0 w 8326243"/>
              <a:gd name="connsiteY11" fmla="*/ 1770256 h 1770256"/>
              <a:gd name="connsiteX0" fmla="*/ 0 w 8303011"/>
              <a:gd name="connsiteY0" fmla="*/ 1770256 h 1770256"/>
              <a:gd name="connsiteX1" fmla="*/ 5417633 w 8303011"/>
              <a:gd name="connsiteY1" fmla="*/ 1770256 h 1770256"/>
              <a:gd name="connsiteX2" fmla="*/ 5663890 w 8303011"/>
              <a:gd name="connsiteY2" fmla="*/ 1575110 h 1770256"/>
              <a:gd name="connsiteX3" fmla="*/ 7880194 w 8303011"/>
              <a:gd name="connsiteY3" fmla="*/ 1575110 h 1770256"/>
              <a:gd name="connsiteX4" fmla="*/ 8303011 w 8303011"/>
              <a:gd name="connsiteY4" fmla="*/ 1152293 h 1770256"/>
              <a:gd name="connsiteX5" fmla="*/ 8303011 w 8303011"/>
              <a:gd name="connsiteY5" fmla="*/ 0 h 1770256"/>
              <a:gd name="connsiteX6" fmla="*/ 5608133 w 8303011"/>
              <a:gd name="connsiteY6" fmla="*/ 0 h 1770256"/>
              <a:gd name="connsiteX7" fmla="*/ 5110975 w 8303011"/>
              <a:gd name="connsiteY7" fmla="*/ 752707 h 1770256"/>
              <a:gd name="connsiteX8" fmla="*/ 195146 w 8303011"/>
              <a:gd name="connsiteY8" fmla="*/ 752707 h 1770256"/>
              <a:gd name="connsiteX9" fmla="*/ 195146 w 8303011"/>
              <a:gd name="connsiteY9" fmla="*/ 1245219 h 1770256"/>
              <a:gd name="connsiteX10" fmla="*/ 4646 w 8303011"/>
              <a:gd name="connsiteY10" fmla="*/ 1435719 h 1770256"/>
              <a:gd name="connsiteX11" fmla="*/ 0 w 8303011"/>
              <a:gd name="connsiteY11" fmla="*/ 1770256 h 1770256"/>
              <a:gd name="connsiteX0" fmla="*/ 0 w 8303011"/>
              <a:gd name="connsiteY0" fmla="*/ 1770256 h 1770256"/>
              <a:gd name="connsiteX1" fmla="*/ 5417633 w 8303011"/>
              <a:gd name="connsiteY1" fmla="*/ 1770256 h 1770256"/>
              <a:gd name="connsiteX2" fmla="*/ 5663890 w 8303011"/>
              <a:gd name="connsiteY2" fmla="*/ 1575110 h 1770256"/>
              <a:gd name="connsiteX3" fmla="*/ 7880194 w 8303011"/>
              <a:gd name="connsiteY3" fmla="*/ 1575110 h 1770256"/>
              <a:gd name="connsiteX4" fmla="*/ 8303011 w 8303011"/>
              <a:gd name="connsiteY4" fmla="*/ 1152293 h 1770256"/>
              <a:gd name="connsiteX5" fmla="*/ 8303011 w 8303011"/>
              <a:gd name="connsiteY5" fmla="*/ 0 h 1770256"/>
              <a:gd name="connsiteX6" fmla="*/ 5608133 w 8303011"/>
              <a:gd name="connsiteY6" fmla="*/ 0 h 1770256"/>
              <a:gd name="connsiteX7" fmla="*/ 5110975 w 8303011"/>
              <a:gd name="connsiteY7" fmla="*/ 752707 h 1770256"/>
              <a:gd name="connsiteX8" fmla="*/ 195146 w 8303011"/>
              <a:gd name="connsiteY8" fmla="*/ 752707 h 1770256"/>
              <a:gd name="connsiteX9" fmla="*/ 195146 w 8303011"/>
              <a:gd name="connsiteY9" fmla="*/ 1245219 h 1770256"/>
              <a:gd name="connsiteX10" fmla="*/ 4646 w 8303011"/>
              <a:gd name="connsiteY10" fmla="*/ 1435719 h 1770256"/>
              <a:gd name="connsiteX11" fmla="*/ 0 w 8303011"/>
              <a:gd name="connsiteY11" fmla="*/ 1770256 h 1770256"/>
              <a:gd name="connsiteX0" fmla="*/ 4781 w 8298573"/>
              <a:gd name="connsiteY0" fmla="*/ 1770256 h 1770256"/>
              <a:gd name="connsiteX1" fmla="*/ 5413195 w 8298573"/>
              <a:gd name="connsiteY1" fmla="*/ 1770256 h 1770256"/>
              <a:gd name="connsiteX2" fmla="*/ 5659452 w 8298573"/>
              <a:gd name="connsiteY2" fmla="*/ 1575110 h 1770256"/>
              <a:gd name="connsiteX3" fmla="*/ 7875756 w 8298573"/>
              <a:gd name="connsiteY3" fmla="*/ 1575110 h 1770256"/>
              <a:gd name="connsiteX4" fmla="*/ 8298573 w 8298573"/>
              <a:gd name="connsiteY4" fmla="*/ 1152293 h 1770256"/>
              <a:gd name="connsiteX5" fmla="*/ 8298573 w 8298573"/>
              <a:gd name="connsiteY5" fmla="*/ 0 h 1770256"/>
              <a:gd name="connsiteX6" fmla="*/ 5603695 w 8298573"/>
              <a:gd name="connsiteY6" fmla="*/ 0 h 1770256"/>
              <a:gd name="connsiteX7" fmla="*/ 5106537 w 8298573"/>
              <a:gd name="connsiteY7" fmla="*/ 752707 h 1770256"/>
              <a:gd name="connsiteX8" fmla="*/ 190708 w 8298573"/>
              <a:gd name="connsiteY8" fmla="*/ 752707 h 1770256"/>
              <a:gd name="connsiteX9" fmla="*/ 190708 w 8298573"/>
              <a:gd name="connsiteY9" fmla="*/ 1245219 h 1770256"/>
              <a:gd name="connsiteX10" fmla="*/ 208 w 8298573"/>
              <a:gd name="connsiteY10" fmla="*/ 1435719 h 1770256"/>
              <a:gd name="connsiteX11" fmla="*/ 4781 w 8298573"/>
              <a:gd name="connsiteY11" fmla="*/ 1770256 h 1770256"/>
              <a:gd name="connsiteX0" fmla="*/ 0 w 8299937"/>
              <a:gd name="connsiteY0" fmla="*/ 1773329 h 1773329"/>
              <a:gd name="connsiteX1" fmla="*/ 5414559 w 8299937"/>
              <a:gd name="connsiteY1" fmla="*/ 1770256 h 1773329"/>
              <a:gd name="connsiteX2" fmla="*/ 5660816 w 8299937"/>
              <a:gd name="connsiteY2" fmla="*/ 1575110 h 1773329"/>
              <a:gd name="connsiteX3" fmla="*/ 7877120 w 8299937"/>
              <a:gd name="connsiteY3" fmla="*/ 1575110 h 1773329"/>
              <a:gd name="connsiteX4" fmla="*/ 8299937 w 8299937"/>
              <a:gd name="connsiteY4" fmla="*/ 1152293 h 1773329"/>
              <a:gd name="connsiteX5" fmla="*/ 8299937 w 8299937"/>
              <a:gd name="connsiteY5" fmla="*/ 0 h 1773329"/>
              <a:gd name="connsiteX6" fmla="*/ 5605059 w 8299937"/>
              <a:gd name="connsiteY6" fmla="*/ 0 h 1773329"/>
              <a:gd name="connsiteX7" fmla="*/ 5107901 w 8299937"/>
              <a:gd name="connsiteY7" fmla="*/ 752707 h 1773329"/>
              <a:gd name="connsiteX8" fmla="*/ 192072 w 8299937"/>
              <a:gd name="connsiteY8" fmla="*/ 752707 h 1773329"/>
              <a:gd name="connsiteX9" fmla="*/ 192072 w 8299937"/>
              <a:gd name="connsiteY9" fmla="*/ 1245219 h 1773329"/>
              <a:gd name="connsiteX10" fmla="*/ 1572 w 8299937"/>
              <a:gd name="connsiteY10" fmla="*/ 1435719 h 1773329"/>
              <a:gd name="connsiteX11" fmla="*/ 0 w 8299937"/>
              <a:gd name="connsiteY11" fmla="*/ 1773329 h 1773329"/>
              <a:gd name="connsiteX0" fmla="*/ 0 w 8299937"/>
              <a:gd name="connsiteY0" fmla="*/ 1773329 h 1773329"/>
              <a:gd name="connsiteX1" fmla="*/ 5414559 w 8299937"/>
              <a:gd name="connsiteY1" fmla="*/ 1770256 h 1773329"/>
              <a:gd name="connsiteX2" fmla="*/ 5660816 w 8299937"/>
              <a:gd name="connsiteY2" fmla="*/ 1575110 h 1773329"/>
              <a:gd name="connsiteX3" fmla="*/ 7877120 w 8299937"/>
              <a:gd name="connsiteY3" fmla="*/ 1575110 h 1773329"/>
              <a:gd name="connsiteX4" fmla="*/ 8299937 w 8299937"/>
              <a:gd name="connsiteY4" fmla="*/ 1152293 h 1773329"/>
              <a:gd name="connsiteX5" fmla="*/ 8299937 w 8299937"/>
              <a:gd name="connsiteY5" fmla="*/ 0 h 1773329"/>
              <a:gd name="connsiteX6" fmla="*/ 5605059 w 8299937"/>
              <a:gd name="connsiteY6" fmla="*/ 0 h 1773329"/>
              <a:gd name="connsiteX7" fmla="*/ 5107901 w 8299937"/>
              <a:gd name="connsiteY7" fmla="*/ 752707 h 1773329"/>
              <a:gd name="connsiteX8" fmla="*/ 192072 w 8299937"/>
              <a:gd name="connsiteY8" fmla="*/ 752707 h 1773329"/>
              <a:gd name="connsiteX9" fmla="*/ 192072 w 8299937"/>
              <a:gd name="connsiteY9" fmla="*/ 1245219 h 1773329"/>
              <a:gd name="connsiteX10" fmla="*/ 1572 w 8299937"/>
              <a:gd name="connsiteY10" fmla="*/ 1435719 h 1773329"/>
              <a:gd name="connsiteX11" fmla="*/ 0 w 8299937"/>
              <a:gd name="connsiteY11" fmla="*/ 1773329 h 177332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8299937" h="1773329">
                <a:moveTo>
                  <a:pt x="0" y="1773329"/>
                </a:moveTo>
                <a:lnTo>
                  <a:pt x="5414559" y="1770256"/>
                </a:lnTo>
                <a:lnTo>
                  <a:pt x="5660816" y="1575110"/>
                </a:lnTo>
                <a:lnTo>
                  <a:pt x="7877120" y="1575110"/>
                </a:lnTo>
                <a:lnTo>
                  <a:pt x="8299937" y="1152293"/>
                </a:lnTo>
                <a:lnTo>
                  <a:pt x="8299937" y="0"/>
                </a:lnTo>
                <a:lnTo>
                  <a:pt x="5605059" y="0"/>
                </a:lnTo>
                <a:lnTo>
                  <a:pt x="5107901" y="752707"/>
                </a:lnTo>
                <a:lnTo>
                  <a:pt x="192072" y="752707"/>
                </a:lnTo>
                <a:lnTo>
                  <a:pt x="192072" y="1245219"/>
                </a:lnTo>
                <a:lnTo>
                  <a:pt x="1572" y="1435719"/>
                </a:lnTo>
                <a:lnTo>
                  <a:pt x="0" y="1773329"/>
                </a:lnTo>
                <a:close/>
              </a:path>
            </a:pathLst>
          </a:custGeom>
          <a:gradFill>
            <a:gsLst>
              <a:gs pos="0">
                <a:srgbClr val="002060">
                  <a:alpha val="75000"/>
                  <a:lumMod val="50000"/>
                </a:srgbClr>
              </a:gs>
              <a:gs pos="100000">
                <a:srgbClr val="0070C0">
                  <a:alpha val="75000"/>
                  <a:lumMod val="50000"/>
                </a:srgbClr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CA" sz="11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4</xdr:row>
      <xdr:rowOff>142875</xdr:rowOff>
    </xdr:from>
    <xdr:to>
      <xdr:col>7</xdr:col>
      <xdr:colOff>47625</xdr:colOff>
      <xdr:row>10</xdr:row>
      <xdr:rowOff>200025</xdr:rowOff>
    </xdr:to>
    <xdr:sp macro="" textlink="">
      <xdr:nvSpPr>
        <xdr:cNvPr id="2" name="Right Bracke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48250" y="809625"/>
          <a:ext cx="47625" cy="2228850"/>
        </a:xfrm>
        <a:prstGeom prst="rightBracket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7</xdr:col>
      <xdr:colOff>9525</xdr:colOff>
      <xdr:row>18</xdr:row>
      <xdr:rowOff>40513</xdr:rowOff>
    </xdr:from>
    <xdr:to>
      <xdr:col>7</xdr:col>
      <xdr:colOff>57150</xdr:colOff>
      <xdr:row>18</xdr:row>
      <xdr:rowOff>328513</xdr:rowOff>
    </xdr:to>
    <xdr:sp macro="" textlink="">
      <xdr:nvSpPr>
        <xdr:cNvPr id="3" name="Right Bracke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838700" y="5774563"/>
          <a:ext cx="47625" cy="288000"/>
        </a:xfrm>
        <a:prstGeom prst="rightBracket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4</xdr:col>
      <xdr:colOff>0</xdr:colOff>
      <xdr:row>4</xdr:row>
      <xdr:rowOff>142875</xdr:rowOff>
    </xdr:from>
    <xdr:to>
      <xdr:col>7</xdr:col>
      <xdr:colOff>47625</xdr:colOff>
      <xdr:row>10</xdr:row>
      <xdr:rowOff>200025</xdr:rowOff>
    </xdr:to>
    <xdr:sp macro="" textlink="">
      <xdr:nvSpPr>
        <xdr:cNvPr id="4" name="Right Bracke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829175" y="819150"/>
          <a:ext cx="47625" cy="2228850"/>
        </a:xfrm>
        <a:prstGeom prst="rightBracket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7</xdr:col>
      <xdr:colOff>9525</xdr:colOff>
      <xdr:row>18</xdr:row>
      <xdr:rowOff>40513</xdr:rowOff>
    </xdr:from>
    <xdr:to>
      <xdr:col>7</xdr:col>
      <xdr:colOff>57150</xdr:colOff>
      <xdr:row>18</xdr:row>
      <xdr:rowOff>328513</xdr:rowOff>
    </xdr:to>
    <xdr:sp macro="" textlink="">
      <xdr:nvSpPr>
        <xdr:cNvPr id="6" name="Right Bracke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38700" y="5784088"/>
          <a:ext cx="47625" cy="288000"/>
        </a:xfrm>
        <a:prstGeom prst="rightBracket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1571624</xdr:colOff>
      <xdr:row>4</xdr:row>
      <xdr:rowOff>57150</xdr:rowOff>
    </xdr:from>
    <xdr:to>
      <xdr:col>3</xdr:col>
      <xdr:colOff>19349</xdr:colOff>
      <xdr:row>22</xdr:row>
      <xdr:rowOff>354169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2819399" y="723900"/>
          <a:ext cx="648000" cy="6812119"/>
          <a:chOff x="2933700" y="723900"/>
          <a:chExt cx="566265" cy="6812119"/>
        </a:xfrm>
      </xdr:grpSpPr>
      <xdr:grpSp>
        <xdr:nvGrpSpPr>
          <xdr:cNvPr id="8" name="Group 193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GrpSpPr/>
        </xdr:nvGrpSpPr>
        <xdr:grpSpPr>
          <a:xfrm>
            <a:off x="3062674" y="4683143"/>
            <a:ext cx="309736" cy="284279"/>
            <a:chOff x="5326485" y="7193638"/>
            <a:chExt cx="689796" cy="645846"/>
          </a:xfrm>
        </xdr:grpSpPr>
        <xdr:sp macro="" textlink="">
          <xdr:nvSpPr>
            <xdr:cNvPr id="104" name="Rectangle: Top Corners Snipped 274">
              <a:extLst>
                <a:ext uri="{FF2B5EF4-FFF2-40B4-BE49-F238E27FC236}">
                  <a16:creationId xmlns:a16="http://schemas.microsoft.com/office/drawing/2014/main" id="{00000000-0008-0000-0300-000068000000}"/>
                </a:ext>
              </a:extLst>
            </xdr:cNvPr>
            <xdr:cNvSpPr/>
          </xdr:nvSpPr>
          <xdr:spPr>
            <a:xfrm rot="17697885">
              <a:off x="5463568" y="7317461"/>
              <a:ext cx="293366" cy="45719"/>
            </a:xfrm>
            <a:prstGeom prst="snip2SameRect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105" name="Freeform: Shape 275">
              <a:extLst>
                <a:ext uri="{FF2B5EF4-FFF2-40B4-BE49-F238E27FC236}">
                  <a16:creationId xmlns:a16="http://schemas.microsoft.com/office/drawing/2014/main" id="{00000000-0008-0000-0300-000069000000}"/>
                </a:ext>
              </a:extLst>
            </xdr:cNvPr>
            <xdr:cNvSpPr/>
          </xdr:nvSpPr>
          <xdr:spPr>
            <a:xfrm>
              <a:off x="5569338" y="7206405"/>
              <a:ext cx="446943" cy="633079"/>
            </a:xfrm>
            <a:custGeom>
              <a:avLst/>
              <a:gdLst>
                <a:gd name="connsiteX0" fmla="*/ 58616 w 446943"/>
                <a:gd name="connsiteY0" fmla="*/ 644769 h 644769"/>
                <a:gd name="connsiteX1" fmla="*/ 65943 w 446943"/>
                <a:gd name="connsiteY1" fmla="*/ 381000 h 644769"/>
                <a:gd name="connsiteX2" fmla="*/ 0 w 446943"/>
                <a:gd name="connsiteY2" fmla="*/ 388327 h 644769"/>
                <a:gd name="connsiteX3" fmla="*/ 0 w 446943"/>
                <a:gd name="connsiteY3" fmla="*/ 256442 h 644769"/>
                <a:gd name="connsiteX4" fmla="*/ 117231 w 446943"/>
                <a:gd name="connsiteY4" fmla="*/ 0 h 644769"/>
                <a:gd name="connsiteX5" fmla="*/ 446943 w 446943"/>
                <a:gd name="connsiteY5" fmla="*/ 241788 h 644769"/>
                <a:gd name="connsiteX6" fmla="*/ 446943 w 446943"/>
                <a:gd name="connsiteY6" fmla="*/ 622788 h 644769"/>
                <a:gd name="connsiteX0" fmla="*/ 68141 w 446943"/>
                <a:gd name="connsiteY0" fmla="*/ 642383 h 642383"/>
                <a:gd name="connsiteX1" fmla="*/ 65943 w 446943"/>
                <a:gd name="connsiteY1" fmla="*/ 381000 h 642383"/>
                <a:gd name="connsiteX2" fmla="*/ 0 w 446943"/>
                <a:gd name="connsiteY2" fmla="*/ 388327 h 642383"/>
                <a:gd name="connsiteX3" fmla="*/ 0 w 446943"/>
                <a:gd name="connsiteY3" fmla="*/ 256442 h 642383"/>
                <a:gd name="connsiteX4" fmla="*/ 117231 w 446943"/>
                <a:gd name="connsiteY4" fmla="*/ 0 h 642383"/>
                <a:gd name="connsiteX5" fmla="*/ 446943 w 446943"/>
                <a:gd name="connsiteY5" fmla="*/ 241788 h 642383"/>
                <a:gd name="connsiteX6" fmla="*/ 446943 w 446943"/>
                <a:gd name="connsiteY6" fmla="*/ 622788 h 642383"/>
                <a:gd name="connsiteX0" fmla="*/ 68141 w 446943"/>
                <a:gd name="connsiteY0" fmla="*/ 642383 h 642383"/>
                <a:gd name="connsiteX1" fmla="*/ 65943 w 446943"/>
                <a:gd name="connsiteY1" fmla="*/ 381000 h 642383"/>
                <a:gd name="connsiteX2" fmla="*/ 0 w 446943"/>
                <a:gd name="connsiteY2" fmla="*/ 381167 h 642383"/>
                <a:gd name="connsiteX3" fmla="*/ 0 w 446943"/>
                <a:gd name="connsiteY3" fmla="*/ 256442 h 642383"/>
                <a:gd name="connsiteX4" fmla="*/ 117231 w 446943"/>
                <a:gd name="connsiteY4" fmla="*/ 0 h 642383"/>
                <a:gd name="connsiteX5" fmla="*/ 446943 w 446943"/>
                <a:gd name="connsiteY5" fmla="*/ 241788 h 642383"/>
                <a:gd name="connsiteX6" fmla="*/ 446943 w 446943"/>
                <a:gd name="connsiteY6" fmla="*/ 622788 h 64238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446943" h="642383">
                  <a:moveTo>
                    <a:pt x="68141" y="642383"/>
                  </a:moveTo>
                  <a:cubicBezTo>
                    <a:pt x="67408" y="555255"/>
                    <a:pt x="66676" y="468128"/>
                    <a:pt x="65943" y="381000"/>
                  </a:cubicBezTo>
                  <a:lnTo>
                    <a:pt x="0" y="381167"/>
                  </a:lnTo>
                  <a:lnTo>
                    <a:pt x="0" y="256442"/>
                  </a:lnTo>
                  <a:lnTo>
                    <a:pt x="117231" y="0"/>
                  </a:lnTo>
                  <a:lnTo>
                    <a:pt x="446943" y="241788"/>
                  </a:lnTo>
                  <a:lnTo>
                    <a:pt x="446943" y="622788"/>
                  </a:lnTo>
                </a:path>
              </a:pathLst>
            </a:cu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106" name="Straight Connector 276">
              <a:extLst>
                <a:ext uri="{FF2B5EF4-FFF2-40B4-BE49-F238E27FC236}">
                  <a16:creationId xmlns:a16="http://schemas.microsoft.com/office/drawing/2014/main" id="{00000000-0008-0000-0300-00006A000000}"/>
                </a:ext>
              </a:extLst>
            </xdr:cNvPr>
            <xdr:cNvCxnSpPr>
              <a:stCxn id="105" idx="1"/>
            </xdr:cNvCxnSpPr>
          </xdr:nvCxnSpPr>
          <xdr:spPr>
            <a:xfrm>
              <a:off x="5635281" y="7581887"/>
              <a:ext cx="380450" cy="4653"/>
            </a:xfrm>
            <a:prstGeom prst="line">
              <a:avLst/>
            </a:prstGeom>
            <a:solidFill>
              <a:schemeClr val="accent5"/>
            </a:solidFill>
            <a:ln w="63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7" name="Straight Arrow Connector 277">
              <a:extLst>
                <a:ext uri="{FF2B5EF4-FFF2-40B4-BE49-F238E27FC236}">
                  <a16:creationId xmlns:a16="http://schemas.microsoft.com/office/drawing/2014/main" id="{00000000-0008-0000-0300-00006B000000}"/>
                </a:ext>
              </a:extLst>
            </xdr:cNvPr>
            <xdr:cNvCxnSpPr/>
          </xdr:nvCxnSpPr>
          <xdr:spPr>
            <a:xfrm flipV="1">
              <a:off x="5326485" y="7354723"/>
              <a:ext cx="219075" cy="2381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8" name="Straight Arrow Connector 278">
              <a:extLst>
                <a:ext uri="{FF2B5EF4-FFF2-40B4-BE49-F238E27FC236}">
                  <a16:creationId xmlns:a16="http://schemas.microsoft.com/office/drawing/2014/main" id="{00000000-0008-0000-0300-00006C000000}"/>
                </a:ext>
              </a:extLst>
            </xdr:cNvPr>
            <xdr:cNvCxnSpPr/>
          </xdr:nvCxnSpPr>
          <xdr:spPr>
            <a:xfrm flipH="1">
              <a:off x="5631286" y="7354723"/>
              <a:ext cx="192881" cy="2381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9" name="Group 19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pSpPr/>
        </xdr:nvGrpSpPr>
        <xdr:grpSpPr>
          <a:xfrm>
            <a:off x="3015690" y="5037158"/>
            <a:ext cx="369279" cy="312870"/>
            <a:chOff x="5128768" y="7856693"/>
            <a:chExt cx="678699" cy="630426"/>
          </a:xfrm>
        </xdr:grpSpPr>
        <xdr:sp macro="" textlink="">
          <xdr:nvSpPr>
            <xdr:cNvPr id="99" name="Rectangle: Top Corners Snipped 269">
              <a:extLst>
                <a:ext uri="{FF2B5EF4-FFF2-40B4-BE49-F238E27FC236}">
                  <a16:creationId xmlns:a16="http://schemas.microsoft.com/office/drawing/2014/main" id="{00000000-0008-0000-0300-000063000000}"/>
                </a:ext>
              </a:extLst>
            </xdr:cNvPr>
            <xdr:cNvSpPr/>
          </xdr:nvSpPr>
          <xdr:spPr>
            <a:xfrm rot="21257746">
              <a:off x="5342064" y="7856693"/>
              <a:ext cx="42753" cy="137988"/>
            </a:xfrm>
            <a:prstGeom prst="snip2SameRect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100" name="Straight Arrow Connector 270">
              <a:extLst>
                <a:ext uri="{FF2B5EF4-FFF2-40B4-BE49-F238E27FC236}">
                  <a16:creationId xmlns:a16="http://schemas.microsoft.com/office/drawing/2014/main" id="{00000000-0008-0000-0300-000064000000}"/>
                </a:ext>
              </a:extLst>
            </xdr:cNvPr>
            <xdr:cNvCxnSpPr/>
          </xdr:nvCxnSpPr>
          <xdr:spPr>
            <a:xfrm>
              <a:off x="5128768" y="7974045"/>
              <a:ext cx="196614" cy="0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1" name="Freeform: Shape 271">
              <a:extLst>
                <a:ext uri="{FF2B5EF4-FFF2-40B4-BE49-F238E27FC236}">
                  <a16:creationId xmlns:a16="http://schemas.microsoft.com/office/drawing/2014/main" id="{00000000-0008-0000-0300-000065000000}"/>
                </a:ext>
              </a:extLst>
            </xdr:cNvPr>
            <xdr:cNvSpPr/>
          </xdr:nvSpPr>
          <xdr:spPr>
            <a:xfrm>
              <a:off x="5364834" y="7858854"/>
              <a:ext cx="438580" cy="628265"/>
            </a:xfrm>
            <a:custGeom>
              <a:avLst/>
              <a:gdLst>
                <a:gd name="connsiteX0" fmla="*/ 117231 w 410308"/>
                <a:gd name="connsiteY0" fmla="*/ 622788 h 622788"/>
                <a:gd name="connsiteX1" fmla="*/ 117231 w 410308"/>
                <a:gd name="connsiteY1" fmla="*/ 278423 h 622788"/>
                <a:gd name="connsiteX2" fmla="*/ 36635 w 410308"/>
                <a:gd name="connsiteY2" fmla="*/ 278423 h 622788"/>
                <a:gd name="connsiteX3" fmla="*/ 36635 w 410308"/>
                <a:gd name="connsiteY3" fmla="*/ 197827 h 622788"/>
                <a:gd name="connsiteX4" fmla="*/ 0 w 410308"/>
                <a:gd name="connsiteY4" fmla="*/ 0 h 622788"/>
                <a:gd name="connsiteX5" fmla="*/ 410308 w 410308"/>
                <a:gd name="connsiteY5" fmla="*/ 175846 h 622788"/>
                <a:gd name="connsiteX6" fmla="*/ 410308 w 410308"/>
                <a:gd name="connsiteY6" fmla="*/ 520211 h 622788"/>
                <a:gd name="connsiteX0" fmla="*/ 102944 w 396021"/>
                <a:gd name="connsiteY0" fmla="*/ 658591 h 658591"/>
                <a:gd name="connsiteX1" fmla="*/ 102944 w 396021"/>
                <a:gd name="connsiteY1" fmla="*/ 314226 h 658591"/>
                <a:gd name="connsiteX2" fmla="*/ 22348 w 396021"/>
                <a:gd name="connsiteY2" fmla="*/ 314226 h 658591"/>
                <a:gd name="connsiteX3" fmla="*/ 22348 w 396021"/>
                <a:gd name="connsiteY3" fmla="*/ 233630 h 658591"/>
                <a:gd name="connsiteX4" fmla="*/ 0 w 396021"/>
                <a:gd name="connsiteY4" fmla="*/ 0 h 658591"/>
                <a:gd name="connsiteX5" fmla="*/ 396021 w 396021"/>
                <a:gd name="connsiteY5" fmla="*/ 211649 h 658591"/>
                <a:gd name="connsiteX6" fmla="*/ 396021 w 396021"/>
                <a:gd name="connsiteY6" fmla="*/ 556014 h 658591"/>
                <a:gd name="connsiteX0" fmla="*/ 102944 w 396021"/>
                <a:gd name="connsiteY0" fmla="*/ 572664 h 572664"/>
                <a:gd name="connsiteX1" fmla="*/ 102944 w 396021"/>
                <a:gd name="connsiteY1" fmla="*/ 314226 h 572664"/>
                <a:gd name="connsiteX2" fmla="*/ 22348 w 396021"/>
                <a:gd name="connsiteY2" fmla="*/ 314226 h 572664"/>
                <a:gd name="connsiteX3" fmla="*/ 22348 w 396021"/>
                <a:gd name="connsiteY3" fmla="*/ 233630 h 572664"/>
                <a:gd name="connsiteX4" fmla="*/ 0 w 396021"/>
                <a:gd name="connsiteY4" fmla="*/ 0 h 572664"/>
                <a:gd name="connsiteX5" fmla="*/ 396021 w 396021"/>
                <a:gd name="connsiteY5" fmla="*/ 211649 h 572664"/>
                <a:gd name="connsiteX6" fmla="*/ 396021 w 396021"/>
                <a:gd name="connsiteY6" fmla="*/ 556014 h 57266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96021" h="572664">
                  <a:moveTo>
                    <a:pt x="102944" y="572664"/>
                  </a:moveTo>
                  <a:lnTo>
                    <a:pt x="102944" y="314226"/>
                  </a:lnTo>
                  <a:lnTo>
                    <a:pt x="22348" y="314226"/>
                  </a:lnTo>
                  <a:lnTo>
                    <a:pt x="22348" y="233630"/>
                  </a:lnTo>
                  <a:lnTo>
                    <a:pt x="0" y="0"/>
                  </a:lnTo>
                  <a:lnTo>
                    <a:pt x="396021" y="211649"/>
                  </a:lnTo>
                  <a:lnTo>
                    <a:pt x="396021" y="556014"/>
                  </a:lnTo>
                </a:path>
              </a:pathLst>
            </a:cu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102" name="Straight Connector 272">
              <a:extLst>
                <a:ext uri="{FF2B5EF4-FFF2-40B4-BE49-F238E27FC236}">
                  <a16:creationId xmlns:a16="http://schemas.microsoft.com/office/drawing/2014/main" id="{00000000-0008-0000-0300-000066000000}"/>
                </a:ext>
              </a:extLst>
            </xdr:cNvPr>
            <xdr:cNvCxnSpPr>
              <a:stCxn id="101" idx="1"/>
            </xdr:cNvCxnSpPr>
          </xdr:nvCxnSpPr>
          <xdr:spPr>
            <a:xfrm>
              <a:off x="5478841" y="8203589"/>
              <a:ext cx="328626" cy="3860"/>
            </a:xfrm>
            <a:prstGeom prst="line">
              <a:avLst/>
            </a:prstGeom>
            <a:ln w="63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3" name="Straight Arrow Connector 273">
              <a:extLst>
                <a:ext uri="{FF2B5EF4-FFF2-40B4-BE49-F238E27FC236}">
                  <a16:creationId xmlns:a16="http://schemas.microsoft.com/office/drawing/2014/main" id="{00000000-0008-0000-0300-000067000000}"/>
                </a:ext>
              </a:extLst>
            </xdr:cNvPr>
            <xdr:cNvCxnSpPr/>
          </xdr:nvCxnSpPr>
          <xdr:spPr>
            <a:xfrm flipH="1">
              <a:off x="5394480" y="7974044"/>
              <a:ext cx="134036" cy="1655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0" name="Group 201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GrpSpPr/>
        </xdr:nvGrpSpPr>
        <xdr:grpSpPr>
          <a:xfrm>
            <a:off x="2964577" y="5448152"/>
            <a:ext cx="422506" cy="233114"/>
            <a:chOff x="5033963" y="8274844"/>
            <a:chExt cx="673256" cy="378940"/>
          </a:xfrm>
        </xdr:grpSpPr>
        <xdr:sp macro="" textlink="">
          <xdr:nvSpPr>
            <xdr:cNvPr id="85" name="Rectangle: Top Corners Snipped 249">
              <a:extLst>
                <a:ext uri="{FF2B5EF4-FFF2-40B4-BE49-F238E27FC236}">
                  <a16:creationId xmlns:a16="http://schemas.microsoft.com/office/drawing/2014/main" id="{00000000-0008-0000-0300-000055000000}"/>
                </a:ext>
              </a:extLst>
            </xdr:cNvPr>
            <xdr:cNvSpPr/>
          </xdr:nvSpPr>
          <xdr:spPr>
            <a:xfrm rot="14351997" flipV="1">
              <a:off x="5394083" y="8330395"/>
              <a:ext cx="45719" cy="85311"/>
            </a:xfrm>
            <a:prstGeom prst="snip2SameRect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87" name="Rectangle: Top Corners Snipped 250">
              <a:extLst>
                <a:ext uri="{FF2B5EF4-FFF2-40B4-BE49-F238E27FC236}">
                  <a16:creationId xmlns:a16="http://schemas.microsoft.com/office/drawing/2014/main" id="{00000000-0008-0000-0300-000057000000}"/>
                </a:ext>
              </a:extLst>
            </xdr:cNvPr>
            <xdr:cNvSpPr/>
          </xdr:nvSpPr>
          <xdr:spPr>
            <a:xfrm rot="8098399">
              <a:off x="5155079" y="8408670"/>
              <a:ext cx="104418" cy="45719"/>
            </a:xfrm>
            <a:prstGeom prst="snip2SameRect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89" name="Freeform: Shape 251">
              <a:extLst>
                <a:ext uri="{FF2B5EF4-FFF2-40B4-BE49-F238E27FC236}">
                  <a16:creationId xmlns:a16="http://schemas.microsoft.com/office/drawing/2014/main" id="{00000000-0008-0000-0300-000059000000}"/>
                </a:ext>
              </a:extLst>
            </xdr:cNvPr>
            <xdr:cNvSpPr/>
          </xdr:nvSpPr>
          <xdr:spPr>
            <a:xfrm>
              <a:off x="5172075" y="8274844"/>
              <a:ext cx="492921" cy="376239"/>
            </a:xfrm>
            <a:custGeom>
              <a:avLst/>
              <a:gdLst>
                <a:gd name="connsiteX0" fmla="*/ 316707 w 330994"/>
                <a:gd name="connsiteY0" fmla="*/ 0 h 214312"/>
                <a:gd name="connsiteX1" fmla="*/ 250032 w 330994"/>
                <a:gd name="connsiteY1" fmla="*/ 0 h 214312"/>
                <a:gd name="connsiteX2" fmla="*/ 159544 w 330994"/>
                <a:gd name="connsiteY2" fmla="*/ 57150 h 214312"/>
                <a:gd name="connsiteX3" fmla="*/ 50007 w 330994"/>
                <a:gd name="connsiteY3" fmla="*/ 57150 h 214312"/>
                <a:gd name="connsiteX4" fmla="*/ 0 w 330994"/>
                <a:gd name="connsiteY4" fmla="*/ 104775 h 214312"/>
                <a:gd name="connsiteX5" fmla="*/ 64294 w 330994"/>
                <a:gd name="connsiteY5" fmla="*/ 142875 h 214312"/>
                <a:gd name="connsiteX6" fmla="*/ 166688 w 330994"/>
                <a:gd name="connsiteY6" fmla="*/ 142875 h 214312"/>
                <a:gd name="connsiteX7" fmla="*/ 250032 w 330994"/>
                <a:gd name="connsiteY7" fmla="*/ 214312 h 214312"/>
                <a:gd name="connsiteX8" fmla="*/ 330994 w 330994"/>
                <a:gd name="connsiteY8" fmla="*/ 214312 h 214312"/>
                <a:gd name="connsiteX0" fmla="*/ 316707 w 330994"/>
                <a:gd name="connsiteY0" fmla="*/ 0 h 214312"/>
                <a:gd name="connsiteX1" fmla="*/ 250032 w 330994"/>
                <a:gd name="connsiteY1" fmla="*/ 0 h 214312"/>
                <a:gd name="connsiteX2" fmla="*/ 159544 w 330994"/>
                <a:gd name="connsiteY2" fmla="*/ 57150 h 214312"/>
                <a:gd name="connsiteX3" fmla="*/ 50007 w 330994"/>
                <a:gd name="connsiteY3" fmla="*/ 57150 h 214312"/>
                <a:gd name="connsiteX4" fmla="*/ 0 w 330994"/>
                <a:gd name="connsiteY4" fmla="*/ 104775 h 214312"/>
                <a:gd name="connsiteX5" fmla="*/ 42589 w 330994"/>
                <a:gd name="connsiteY5" fmla="*/ 163024 h 214312"/>
                <a:gd name="connsiteX6" fmla="*/ 166688 w 330994"/>
                <a:gd name="connsiteY6" fmla="*/ 142875 h 214312"/>
                <a:gd name="connsiteX7" fmla="*/ 250032 w 330994"/>
                <a:gd name="connsiteY7" fmla="*/ 214312 h 214312"/>
                <a:gd name="connsiteX8" fmla="*/ 330994 w 330994"/>
                <a:gd name="connsiteY8" fmla="*/ 214312 h 214312"/>
                <a:gd name="connsiteX0" fmla="*/ 316707 w 330994"/>
                <a:gd name="connsiteY0" fmla="*/ 0 h 214312"/>
                <a:gd name="connsiteX1" fmla="*/ 250032 w 330994"/>
                <a:gd name="connsiteY1" fmla="*/ 0 h 214312"/>
                <a:gd name="connsiteX2" fmla="*/ 159544 w 330994"/>
                <a:gd name="connsiteY2" fmla="*/ 57150 h 214312"/>
                <a:gd name="connsiteX3" fmla="*/ 50007 w 330994"/>
                <a:gd name="connsiteY3" fmla="*/ 57150 h 214312"/>
                <a:gd name="connsiteX4" fmla="*/ 0 w 330994"/>
                <a:gd name="connsiteY4" fmla="*/ 104775 h 214312"/>
                <a:gd name="connsiteX5" fmla="*/ 42589 w 330994"/>
                <a:gd name="connsiteY5" fmla="*/ 163024 h 214312"/>
                <a:gd name="connsiteX6" fmla="*/ 154027 w 330994"/>
                <a:gd name="connsiteY6" fmla="*/ 166687 h 214312"/>
                <a:gd name="connsiteX7" fmla="*/ 250032 w 330994"/>
                <a:gd name="connsiteY7" fmla="*/ 214312 h 214312"/>
                <a:gd name="connsiteX8" fmla="*/ 330994 w 330994"/>
                <a:gd name="connsiteY8" fmla="*/ 214312 h 214312"/>
                <a:gd name="connsiteX0" fmla="*/ 316707 w 330994"/>
                <a:gd name="connsiteY0" fmla="*/ 0 h 214312"/>
                <a:gd name="connsiteX1" fmla="*/ 250032 w 330994"/>
                <a:gd name="connsiteY1" fmla="*/ 0 h 214312"/>
                <a:gd name="connsiteX2" fmla="*/ 159544 w 330994"/>
                <a:gd name="connsiteY2" fmla="*/ 57150 h 214312"/>
                <a:gd name="connsiteX3" fmla="*/ 50007 w 330994"/>
                <a:gd name="connsiteY3" fmla="*/ 57150 h 214312"/>
                <a:gd name="connsiteX4" fmla="*/ 0 w 330994"/>
                <a:gd name="connsiteY4" fmla="*/ 104775 h 214312"/>
                <a:gd name="connsiteX5" fmla="*/ 48015 w 330994"/>
                <a:gd name="connsiteY5" fmla="*/ 164856 h 214312"/>
                <a:gd name="connsiteX6" fmla="*/ 154027 w 330994"/>
                <a:gd name="connsiteY6" fmla="*/ 166687 h 214312"/>
                <a:gd name="connsiteX7" fmla="*/ 250032 w 330994"/>
                <a:gd name="connsiteY7" fmla="*/ 214312 h 214312"/>
                <a:gd name="connsiteX8" fmla="*/ 330994 w 330994"/>
                <a:gd name="connsiteY8" fmla="*/ 214312 h 214312"/>
                <a:gd name="connsiteX0" fmla="*/ 316707 w 330994"/>
                <a:gd name="connsiteY0" fmla="*/ 0 h 214312"/>
                <a:gd name="connsiteX1" fmla="*/ 250032 w 330994"/>
                <a:gd name="connsiteY1" fmla="*/ 0 h 214312"/>
                <a:gd name="connsiteX2" fmla="*/ 159544 w 330994"/>
                <a:gd name="connsiteY2" fmla="*/ 57150 h 214312"/>
                <a:gd name="connsiteX3" fmla="*/ 50007 w 330994"/>
                <a:gd name="connsiteY3" fmla="*/ 57150 h 214312"/>
                <a:gd name="connsiteX4" fmla="*/ 0 w 330994"/>
                <a:gd name="connsiteY4" fmla="*/ 104775 h 214312"/>
                <a:gd name="connsiteX5" fmla="*/ 48015 w 330994"/>
                <a:gd name="connsiteY5" fmla="*/ 164856 h 214312"/>
                <a:gd name="connsiteX6" fmla="*/ 159454 w 330994"/>
                <a:gd name="connsiteY6" fmla="*/ 164855 h 214312"/>
                <a:gd name="connsiteX7" fmla="*/ 250032 w 330994"/>
                <a:gd name="connsiteY7" fmla="*/ 214312 h 214312"/>
                <a:gd name="connsiteX8" fmla="*/ 330994 w 330994"/>
                <a:gd name="connsiteY8" fmla="*/ 214312 h 214312"/>
                <a:gd name="connsiteX0" fmla="*/ 316707 w 330994"/>
                <a:gd name="connsiteY0" fmla="*/ 0 h 223471"/>
                <a:gd name="connsiteX1" fmla="*/ 250032 w 330994"/>
                <a:gd name="connsiteY1" fmla="*/ 0 h 223471"/>
                <a:gd name="connsiteX2" fmla="*/ 159544 w 330994"/>
                <a:gd name="connsiteY2" fmla="*/ 57150 h 223471"/>
                <a:gd name="connsiteX3" fmla="*/ 50007 w 330994"/>
                <a:gd name="connsiteY3" fmla="*/ 57150 h 223471"/>
                <a:gd name="connsiteX4" fmla="*/ 0 w 330994"/>
                <a:gd name="connsiteY4" fmla="*/ 104775 h 223471"/>
                <a:gd name="connsiteX5" fmla="*/ 48015 w 330994"/>
                <a:gd name="connsiteY5" fmla="*/ 164856 h 223471"/>
                <a:gd name="connsiteX6" fmla="*/ 159454 w 330994"/>
                <a:gd name="connsiteY6" fmla="*/ 164855 h 223471"/>
                <a:gd name="connsiteX7" fmla="*/ 253649 w 330994"/>
                <a:gd name="connsiteY7" fmla="*/ 223471 h 223471"/>
                <a:gd name="connsiteX8" fmla="*/ 330994 w 330994"/>
                <a:gd name="connsiteY8" fmla="*/ 214312 h 223471"/>
                <a:gd name="connsiteX0" fmla="*/ 316707 w 332803"/>
                <a:gd name="connsiteY0" fmla="*/ 0 h 223471"/>
                <a:gd name="connsiteX1" fmla="*/ 250032 w 332803"/>
                <a:gd name="connsiteY1" fmla="*/ 0 h 223471"/>
                <a:gd name="connsiteX2" fmla="*/ 159544 w 332803"/>
                <a:gd name="connsiteY2" fmla="*/ 57150 h 223471"/>
                <a:gd name="connsiteX3" fmla="*/ 50007 w 332803"/>
                <a:gd name="connsiteY3" fmla="*/ 57150 h 223471"/>
                <a:gd name="connsiteX4" fmla="*/ 0 w 332803"/>
                <a:gd name="connsiteY4" fmla="*/ 104775 h 223471"/>
                <a:gd name="connsiteX5" fmla="*/ 48015 w 332803"/>
                <a:gd name="connsiteY5" fmla="*/ 164856 h 223471"/>
                <a:gd name="connsiteX6" fmla="*/ 159454 w 332803"/>
                <a:gd name="connsiteY6" fmla="*/ 164855 h 223471"/>
                <a:gd name="connsiteX7" fmla="*/ 253649 w 332803"/>
                <a:gd name="connsiteY7" fmla="*/ 223471 h 223471"/>
                <a:gd name="connsiteX8" fmla="*/ 332803 w 332803"/>
                <a:gd name="connsiteY8" fmla="*/ 219807 h 223471"/>
                <a:gd name="connsiteX0" fmla="*/ 316707 w 338229"/>
                <a:gd name="connsiteY0" fmla="*/ 0 h 223471"/>
                <a:gd name="connsiteX1" fmla="*/ 250032 w 338229"/>
                <a:gd name="connsiteY1" fmla="*/ 0 h 223471"/>
                <a:gd name="connsiteX2" fmla="*/ 159544 w 338229"/>
                <a:gd name="connsiteY2" fmla="*/ 57150 h 223471"/>
                <a:gd name="connsiteX3" fmla="*/ 50007 w 338229"/>
                <a:gd name="connsiteY3" fmla="*/ 57150 h 223471"/>
                <a:gd name="connsiteX4" fmla="*/ 0 w 338229"/>
                <a:gd name="connsiteY4" fmla="*/ 104775 h 223471"/>
                <a:gd name="connsiteX5" fmla="*/ 48015 w 338229"/>
                <a:gd name="connsiteY5" fmla="*/ 164856 h 223471"/>
                <a:gd name="connsiteX6" fmla="*/ 159454 w 338229"/>
                <a:gd name="connsiteY6" fmla="*/ 164855 h 223471"/>
                <a:gd name="connsiteX7" fmla="*/ 253649 w 338229"/>
                <a:gd name="connsiteY7" fmla="*/ 223471 h 223471"/>
                <a:gd name="connsiteX8" fmla="*/ 338229 w 338229"/>
                <a:gd name="connsiteY8" fmla="*/ 223471 h 223471"/>
                <a:gd name="connsiteX0" fmla="*/ 318516 w 340038"/>
                <a:gd name="connsiteY0" fmla="*/ 0 h 223471"/>
                <a:gd name="connsiteX1" fmla="*/ 251841 w 340038"/>
                <a:gd name="connsiteY1" fmla="*/ 0 h 223471"/>
                <a:gd name="connsiteX2" fmla="*/ 161353 w 340038"/>
                <a:gd name="connsiteY2" fmla="*/ 57150 h 223471"/>
                <a:gd name="connsiteX3" fmla="*/ 51816 w 340038"/>
                <a:gd name="connsiteY3" fmla="*/ 57150 h 223471"/>
                <a:gd name="connsiteX4" fmla="*/ 0 w 340038"/>
                <a:gd name="connsiteY4" fmla="*/ 115766 h 223471"/>
                <a:gd name="connsiteX5" fmla="*/ 49824 w 340038"/>
                <a:gd name="connsiteY5" fmla="*/ 164856 h 223471"/>
                <a:gd name="connsiteX6" fmla="*/ 161263 w 340038"/>
                <a:gd name="connsiteY6" fmla="*/ 164855 h 223471"/>
                <a:gd name="connsiteX7" fmla="*/ 255458 w 340038"/>
                <a:gd name="connsiteY7" fmla="*/ 223471 h 223471"/>
                <a:gd name="connsiteX8" fmla="*/ 340038 w 340038"/>
                <a:gd name="connsiteY8" fmla="*/ 223471 h 223471"/>
                <a:gd name="connsiteX0" fmla="*/ 318516 w 340038"/>
                <a:gd name="connsiteY0" fmla="*/ 0 h 223471"/>
                <a:gd name="connsiteX1" fmla="*/ 251841 w 340038"/>
                <a:gd name="connsiteY1" fmla="*/ 0 h 223471"/>
                <a:gd name="connsiteX2" fmla="*/ 161353 w 340038"/>
                <a:gd name="connsiteY2" fmla="*/ 57150 h 223471"/>
                <a:gd name="connsiteX3" fmla="*/ 51816 w 340038"/>
                <a:gd name="connsiteY3" fmla="*/ 57150 h 223471"/>
                <a:gd name="connsiteX4" fmla="*/ 0 w 340038"/>
                <a:gd name="connsiteY4" fmla="*/ 115766 h 223471"/>
                <a:gd name="connsiteX5" fmla="*/ 49824 w 340038"/>
                <a:gd name="connsiteY5" fmla="*/ 164856 h 223471"/>
                <a:gd name="connsiteX6" fmla="*/ 161263 w 340038"/>
                <a:gd name="connsiteY6" fmla="*/ 164855 h 223471"/>
                <a:gd name="connsiteX7" fmla="*/ 255458 w 340038"/>
                <a:gd name="connsiteY7" fmla="*/ 223471 h 223471"/>
                <a:gd name="connsiteX8" fmla="*/ 340038 w 340038"/>
                <a:gd name="connsiteY8" fmla="*/ 223471 h 223471"/>
                <a:gd name="connsiteX0" fmla="*/ 318516 w 340038"/>
                <a:gd name="connsiteY0" fmla="*/ 0 h 223471"/>
                <a:gd name="connsiteX1" fmla="*/ 251841 w 340038"/>
                <a:gd name="connsiteY1" fmla="*/ 0 h 223471"/>
                <a:gd name="connsiteX2" fmla="*/ 161353 w 340038"/>
                <a:gd name="connsiteY2" fmla="*/ 57150 h 223471"/>
                <a:gd name="connsiteX3" fmla="*/ 51816 w 340038"/>
                <a:gd name="connsiteY3" fmla="*/ 57150 h 223471"/>
                <a:gd name="connsiteX4" fmla="*/ 0 w 340038"/>
                <a:gd name="connsiteY4" fmla="*/ 115766 h 223471"/>
                <a:gd name="connsiteX5" fmla="*/ 49824 w 340038"/>
                <a:gd name="connsiteY5" fmla="*/ 164856 h 223471"/>
                <a:gd name="connsiteX6" fmla="*/ 161263 w 340038"/>
                <a:gd name="connsiteY6" fmla="*/ 164855 h 223471"/>
                <a:gd name="connsiteX7" fmla="*/ 255458 w 340038"/>
                <a:gd name="connsiteY7" fmla="*/ 223471 h 223471"/>
                <a:gd name="connsiteX8" fmla="*/ 340038 w 340038"/>
                <a:gd name="connsiteY8" fmla="*/ 223471 h 223471"/>
                <a:gd name="connsiteX0" fmla="*/ 343837 w 343837"/>
                <a:gd name="connsiteY0" fmla="*/ 1832 h 223471"/>
                <a:gd name="connsiteX1" fmla="*/ 251841 w 343837"/>
                <a:gd name="connsiteY1" fmla="*/ 0 h 223471"/>
                <a:gd name="connsiteX2" fmla="*/ 161353 w 343837"/>
                <a:gd name="connsiteY2" fmla="*/ 57150 h 223471"/>
                <a:gd name="connsiteX3" fmla="*/ 51816 w 343837"/>
                <a:gd name="connsiteY3" fmla="*/ 57150 h 223471"/>
                <a:gd name="connsiteX4" fmla="*/ 0 w 343837"/>
                <a:gd name="connsiteY4" fmla="*/ 115766 h 223471"/>
                <a:gd name="connsiteX5" fmla="*/ 49824 w 343837"/>
                <a:gd name="connsiteY5" fmla="*/ 164856 h 223471"/>
                <a:gd name="connsiteX6" fmla="*/ 161263 w 343837"/>
                <a:gd name="connsiteY6" fmla="*/ 164855 h 223471"/>
                <a:gd name="connsiteX7" fmla="*/ 255458 w 343837"/>
                <a:gd name="connsiteY7" fmla="*/ 223471 h 223471"/>
                <a:gd name="connsiteX8" fmla="*/ 340038 w 343837"/>
                <a:gd name="connsiteY8" fmla="*/ 223471 h 223471"/>
                <a:gd name="connsiteX0" fmla="*/ 343837 w 343837"/>
                <a:gd name="connsiteY0" fmla="*/ 36635 h 258274"/>
                <a:gd name="connsiteX1" fmla="*/ 295250 w 343837"/>
                <a:gd name="connsiteY1" fmla="*/ 0 h 258274"/>
                <a:gd name="connsiteX2" fmla="*/ 161353 w 343837"/>
                <a:gd name="connsiteY2" fmla="*/ 91953 h 258274"/>
                <a:gd name="connsiteX3" fmla="*/ 51816 w 343837"/>
                <a:gd name="connsiteY3" fmla="*/ 91953 h 258274"/>
                <a:gd name="connsiteX4" fmla="*/ 0 w 343837"/>
                <a:gd name="connsiteY4" fmla="*/ 150569 h 258274"/>
                <a:gd name="connsiteX5" fmla="*/ 49824 w 343837"/>
                <a:gd name="connsiteY5" fmla="*/ 199659 h 258274"/>
                <a:gd name="connsiteX6" fmla="*/ 161263 w 343837"/>
                <a:gd name="connsiteY6" fmla="*/ 199658 h 258274"/>
                <a:gd name="connsiteX7" fmla="*/ 255458 w 343837"/>
                <a:gd name="connsiteY7" fmla="*/ 258274 h 258274"/>
                <a:gd name="connsiteX8" fmla="*/ 340038 w 343837"/>
                <a:gd name="connsiteY8" fmla="*/ 258274 h 258274"/>
                <a:gd name="connsiteX0" fmla="*/ 374585 w 374585"/>
                <a:gd name="connsiteY0" fmla="*/ 7328 h 258274"/>
                <a:gd name="connsiteX1" fmla="*/ 295250 w 374585"/>
                <a:gd name="connsiteY1" fmla="*/ 0 h 258274"/>
                <a:gd name="connsiteX2" fmla="*/ 161353 w 374585"/>
                <a:gd name="connsiteY2" fmla="*/ 91953 h 258274"/>
                <a:gd name="connsiteX3" fmla="*/ 51816 w 374585"/>
                <a:gd name="connsiteY3" fmla="*/ 91953 h 258274"/>
                <a:gd name="connsiteX4" fmla="*/ 0 w 374585"/>
                <a:gd name="connsiteY4" fmla="*/ 150569 h 258274"/>
                <a:gd name="connsiteX5" fmla="*/ 49824 w 374585"/>
                <a:gd name="connsiteY5" fmla="*/ 199659 h 258274"/>
                <a:gd name="connsiteX6" fmla="*/ 161263 w 374585"/>
                <a:gd name="connsiteY6" fmla="*/ 199658 h 258274"/>
                <a:gd name="connsiteX7" fmla="*/ 255458 w 374585"/>
                <a:gd name="connsiteY7" fmla="*/ 258274 h 258274"/>
                <a:gd name="connsiteX8" fmla="*/ 340038 w 374585"/>
                <a:gd name="connsiteY8" fmla="*/ 258274 h 258274"/>
                <a:gd name="connsiteX0" fmla="*/ 372776 w 372776"/>
                <a:gd name="connsiteY0" fmla="*/ 1832 h 258274"/>
                <a:gd name="connsiteX1" fmla="*/ 295250 w 372776"/>
                <a:gd name="connsiteY1" fmla="*/ 0 h 258274"/>
                <a:gd name="connsiteX2" fmla="*/ 161353 w 372776"/>
                <a:gd name="connsiteY2" fmla="*/ 91953 h 258274"/>
                <a:gd name="connsiteX3" fmla="*/ 51816 w 372776"/>
                <a:gd name="connsiteY3" fmla="*/ 91953 h 258274"/>
                <a:gd name="connsiteX4" fmla="*/ 0 w 372776"/>
                <a:gd name="connsiteY4" fmla="*/ 150569 h 258274"/>
                <a:gd name="connsiteX5" fmla="*/ 49824 w 372776"/>
                <a:gd name="connsiteY5" fmla="*/ 199659 h 258274"/>
                <a:gd name="connsiteX6" fmla="*/ 161263 w 372776"/>
                <a:gd name="connsiteY6" fmla="*/ 199658 h 258274"/>
                <a:gd name="connsiteX7" fmla="*/ 255458 w 372776"/>
                <a:gd name="connsiteY7" fmla="*/ 258274 h 258274"/>
                <a:gd name="connsiteX8" fmla="*/ 340038 w 372776"/>
                <a:gd name="connsiteY8" fmla="*/ 258274 h 258274"/>
                <a:gd name="connsiteX0" fmla="*/ 372776 w 372776"/>
                <a:gd name="connsiteY0" fmla="*/ 1832 h 287582"/>
                <a:gd name="connsiteX1" fmla="*/ 295250 w 372776"/>
                <a:gd name="connsiteY1" fmla="*/ 0 h 287582"/>
                <a:gd name="connsiteX2" fmla="*/ 161353 w 372776"/>
                <a:gd name="connsiteY2" fmla="*/ 91953 h 287582"/>
                <a:gd name="connsiteX3" fmla="*/ 51816 w 372776"/>
                <a:gd name="connsiteY3" fmla="*/ 91953 h 287582"/>
                <a:gd name="connsiteX4" fmla="*/ 0 w 372776"/>
                <a:gd name="connsiteY4" fmla="*/ 150569 h 287582"/>
                <a:gd name="connsiteX5" fmla="*/ 49824 w 372776"/>
                <a:gd name="connsiteY5" fmla="*/ 199659 h 287582"/>
                <a:gd name="connsiteX6" fmla="*/ 161263 w 372776"/>
                <a:gd name="connsiteY6" fmla="*/ 199658 h 287582"/>
                <a:gd name="connsiteX7" fmla="*/ 282588 w 372776"/>
                <a:gd name="connsiteY7" fmla="*/ 287582 h 287582"/>
                <a:gd name="connsiteX8" fmla="*/ 340038 w 372776"/>
                <a:gd name="connsiteY8" fmla="*/ 258274 h 287582"/>
                <a:gd name="connsiteX0" fmla="*/ 372776 w 372776"/>
                <a:gd name="connsiteY0" fmla="*/ 1832 h 287582"/>
                <a:gd name="connsiteX1" fmla="*/ 295250 w 372776"/>
                <a:gd name="connsiteY1" fmla="*/ 0 h 287582"/>
                <a:gd name="connsiteX2" fmla="*/ 161353 w 372776"/>
                <a:gd name="connsiteY2" fmla="*/ 91953 h 287582"/>
                <a:gd name="connsiteX3" fmla="*/ 51816 w 372776"/>
                <a:gd name="connsiteY3" fmla="*/ 91953 h 287582"/>
                <a:gd name="connsiteX4" fmla="*/ 0 w 372776"/>
                <a:gd name="connsiteY4" fmla="*/ 150569 h 287582"/>
                <a:gd name="connsiteX5" fmla="*/ 49824 w 372776"/>
                <a:gd name="connsiteY5" fmla="*/ 199659 h 287582"/>
                <a:gd name="connsiteX6" fmla="*/ 161263 w 372776"/>
                <a:gd name="connsiteY6" fmla="*/ 199658 h 287582"/>
                <a:gd name="connsiteX7" fmla="*/ 293441 w 372776"/>
                <a:gd name="connsiteY7" fmla="*/ 287582 h 287582"/>
                <a:gd name="connsiteX8" fmla="*/ 340038 w 372776"/>
                <a:gd name="connsiteY8" fmla="*/ 258274 h 287582"/>
                <a:gd name="connsiteX0" fmla="*/ 372776 w 374404"/>
                <a:gd name="connsiteY0" fmla="*/ 1832 h 287582"/>
                <a:gd name="connsiteX1" fmla="*/ 295250 w 374404"/>
                <a:gd name="connsiteY1" fmla="*/ 0 h 287582"/>
                <a:gd name="connsiteX2" fmla="*/ 161353 w 374404"/>
                <a:gd name="connsiteY2" fmla="*/ 91953 h 287582"/>
                <a:gd name="connsiteX3" fmla="*/ 51816 w 374404"/>
                <a:gd name="connsiteY3" fmla="*/ 91953 h 287582"/>
                <a:gd name="connsiteX4" fmla="*/ 0 w 374404"/>
                <a:gd name="connsiteY4" fmla="*/ 150569 h 287582"/>
                <a:gd name="connsiteX5" fmla="*/ 49824 w 374404"/>
                <a:gd name="connsiteY5" fmla="*/ 199659 h 287582"/>
                <a:gd name="connsiteX6" fmla="*/ 161263 w 374404"/>
                <a:gd name="connsiteY6" fmla="*/ 199658 h 287582"/>
                <a:gd name="connsiteX7" fmla="*/ 293441 w 374404"/>
                <a:gd name="connsiteY7" fmla="*/ 287582 h 287582"/>
                <a:gd name="connsiteX8" fmla="*/ 374404 w 374404"/>
                <a:gd name="connsiteY8" fmla="*/ 283919 h 287582"/>
                <a:gd name="connsiteX0" fmla="*/ 372776 w 374404"/>
                <a:gd name="connsiteY0" fmla="*/ 1832 h 289414"/>
                <a:gd name="connsiteX1" fmla="*/ 295250 w 374404"/>
                <a:gd name="connsiteY1" fmla="*/ 0 h 289414"/>
                <a:gd name="connsiteX2" fmla="*/ 161353 w 374404"/>
                <a:gd name="connsiteY2" fmla="*/ 91953 h 289414"/>
                <a:gd name="connsiteX3" fmla="*/ 51816 w 374404"/>
                <a:gd name="connsiteY3" fmla="*/ 91953 h 289414"/>
                <a:gd name="connsiteX4" fmla="*/ 0 w 374404"/>
                <a:gd name="connsiteY4" fmla="*/ 150569 h 289414"/>
                <a:gd name="connsiteX5" fmla="*/ 49824 w 374404"/>
                <a:gd name="connsiteY5" fmla="*/ 199659 h 289414"/>
                <a:gd name="connsiteX6" fmla="*/ 161263 w 374404"/>
                <a:gd name="connsiteY6" fmla="*/ 199658 h 289414"/>
                <a:gd name="connsiteX7" fmla="*/ 293441 w 374404"/>
                <a:gd name="connsiteY7" fmla="*/ 287582 h 289414"/>
                <a:gd name="connsiteX8" fmla="*/ 374404 w 374404"/>
                <a:gd name="connsiteY8" fmla="*/ 289414 h 28941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374404" h="289414">
                  <a:moveTo>
                    <a:pt x="372776" y="1832"/>
                  </a:moveTo>
                  <a:lnTo>
                    <a:pt x="295250" y="0"/>
                  </a:lnTo>
                  <a:lnTo>
                    <a:pt x="161353" y="91953"/>
                  </a:lnTo>
                  <a:lnTo>
                    <a:pt x="51816" y="91953"/>
                  </a:lnTo>
                  <a:lnTo>
                    <a:pt x="0" y="150569"/>
                  </a:lnTo>
                  <a:lnTo>
                    <a:pt x="49824" y="199659"/>
                  </a:lnTo>
                  <a:lnTo>
                    <a:pt x="161263" y="199658"/>
                  </a:lnTo>
                  <a:lnTo>
                    <a:pt x="293441" y="287582"/>
                  </a:lnTo>
                  <a:lnTo>
                    <a:pt x="374404" y="289414"/>
                  </a:lnTo>
                </a:path>
              </a:pathLst>
            </a:cu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92" name="Straight Arrow Connector 252">
              <a:extLst>
                <a:ext uri="{FF2B5EF4-FFF2-40B4-BE49-F238E27FC236}">
                  <a16:creationId xmlns:a16="http://schemas.microsoft.com/office/drawing/2014/main" id="{00000000-0008-0000-0300-00005C000000}"/>
                </a:ext>
              </a:extLst>
            </xdr:cNvPr>
            <xdr:cNvCxnSpPr/>
          </xdr:nvCxnSpPr>
          <xdr:spPr>
            <a:xfrm rot="5400000" flipH="1" flipV="1">
              <a:off x="5095876" y="8372476"/>
              <a:ext cx="2381" cy="126207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Arrow Connector 253">
              <a:extLst>
                <a:ext uri="{FF2B5EF4-FFF2-40B4-BE49-F238E27FC236}">
                  <a16:creationId xmlns:a16="http://schemas.microsoft.com/office/drawing/2014/main" id="{00000000-0008-0000-0300-00005D000000}"/>
                </a:ext>
              </a:extLst>
            </xdr:cNvPr>
            <xdr:cNvCxnSpPr/>
          </xdr:nvCxnSpPr>
          <xdr:spPr>
            <a:xfrm rot="5400000">
              <a:off x="5276849" y="8377238"/>
              <a:ext cx="0" cy="116682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4" name="Freeform: Shape 254">
              <a:extLst>
                <a:ext uri="{FF2B5EF4-FFF2-40B4-BE49-F238E27FC236}">
                  <a16:creationId xmlns:a16="http://schemas.microsoft.com/office/drawing/2014/main" id="{00000000-0008-0000-0300-00005E000000}"/>
                </a:ext>
              </a:extLst>
            </xdr:cNvPr>
            <xdr:cNvSpPr/>
          </xdr:nvSpPr>
          <xdr:spPr>
            <a:xfrm flipV="1">
              <a:off x="5636375" y="8279606"/>
              <a:ext cx="59582" cy="366713"/>
            </a:xfrm>
            <a:custGeom>
              <a:avLst/>
              <a:gdLst>
                <a:gd name="connsiteX0" fmla="*/ 33363 w 66707"/>
                <a:gd name="connsiteY0" fmla="*/ 0 h 283369"/>
                <a:gd name="connsiteX1" fmla="*/ 26 w 66707"/>
                <a:gd name="connsiteY1" fmla="*/ 57150 h 283369"/>
                <a:gd name="connsiteX2" fmla="*/ 38126 w 66707"/>
                <a:gd name="connsiteY2" fmla="*/ 140494 h 283369"/>
                <a:gd name="connsiteX3" fmla="*/ 66701 w 66707"/>
                <a:gd name="connsiteY3" fmla="*/ 226219 h 283369"/>
                <a:gd name="connsiteX4" fmla="*/ 35745 w 66707"/>
                <a:gd name="connsiteY4" fmla="*/ 283369 h 283369"/>
                <a:gd name="connsiteX0" fmla="*/ 26238 w 59582"/>
                <a:gd name="connsiteY0" fmla="*/ 0 h 283369"/>
                <a:gd name="connsiteX1" fmla="*/ 45 w 59582"/>
                <a:gd name="connsiteY1" fmla="*/ 57150 h 283369"/>
                <a:gd name="connsiteX2" fmla="*/ 31001 w 59582"/>
                <a:gd name="connsiteY2" fmla="*/ 140494 h 283369"/>
                <a:gd name="connsiteX3" fmla="*/ 59576 w 59582"/>
                <a:gd name="connsiteY3" fmla="*/ 226219 h 283369"/>
                <a:gd name="connsiteX4" fmla="*/ 28620 w 59582"/>
                <a:gd name="connsiteY4" fmla="*/ 283369 h 2833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582" h="283369">
                  <a:moveTo>
                    <a:pt x="26238" y="0"/>
                  </a:moveTo>
                  <a:cubicBezTo>
                    <a:pt x="9172" y="16867"/>
                    <a:pt x="-749" y="33734"/>
                    <a:pt x="45" y="57150"/>
                  </a:cubicBezTo>
                  <a:cubicBezTo>
                    <a:pt x="839" y="80566"/>
                    <a:pt x="21079" y="112316"/>
                    <a:pt x="31001" y="140494"/>
                  </a:cubicBezTo>
                  <a:cubicBezTo>
                    <a:pt x="40923" y="168672"/>
                    <a:pt x="59973" y="202407"/>
                    <a:pt x="59576" y="226219"/>
                  </a:cubicBezTo>
                  <a:cubicBezTo>
                    <a:pt x="59179" y="250032"/>
                    <a:pt x="52036" y="253207"/>
                    <a:pt x="28620" y="283369"/>
                  </a:cubicBezTo>
                </a:path>
              </a:pathLst>
            </a:custGeom>
            <a:noFill/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95" name="Freeform: Shape 255">
              <a:extLst>
                <a:ext uri="{FF2B5EF4-FFF2-40B4-BE49-F238E27FC236}">
                  <a16:creationId xmlns:a16="http://schemas.microsoft.com/office/drawing/2014/main" id="{00000000-0008-0000-0300-00005F000000}"/>
                </a:ext>
              </a:extLst>
            </xdr:cNvPr>
            <xdr:cNvSpPr/>
          </xdr:nvSpPr>
          <xdr:spPr>
            <a:xfrm rot="10800000" flipV="1">
              <a:off x="5660145" y="8455818"/>
              <a:ext cx="47074" cy="197966"/>
            </a:xfrm>
            <a:custGeom>
              <a:avLst/>
              <a:gdLst>
                <a:gd name="connsiteX0" fmla="*/ 21517 w 28661"/>
                <a:gd name="connsiteY0" fmla="*/ 0 h 142875"/>
                <a:gd name="connsiteX1" fmla="*/ 86 w 28661"/>
                <a:gd name="connsiteY1" fmla="*/ 90488 h 142875"/>
                <a:gd name="connsiteX2" fmla="*/ 28661 w 28661"/>
                <a:gd name="connsiteY2" fmla="*/ 142875 h 1428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28661" h="142875">
                  <a:moveTo>
                    <a:pt x="21517" y="0"/>
                  </a:moveTo>
                  <a:cubicBezTo>
                    <a:pt x="10206" y="33338"/>
                    <a:pt x="-1105" y="66676"/>
                    <a:pt x="86" y="90488"/>
                  </a:cubicBezTo>
                  <a:cubicBezTo>
                    <a:pt x="1277" y="114300"/>
                    <a:pt x="4055" y="112713"/>
                    <a:pt x="28661" y="142875"/>
                  </a:cubicBezTo>
                </a:path>
              </a:pathLst>
            </a:custGeom>
            <a:noFill/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96" name="Straight Connector 256">
              <a:extLst>
                <a:ext uri="{FF2B5EF4-FFF2-40B4-BE49-F238E27FC236}">
                  <a16:creationId xmlns:a16="http://schemas.microsoft.com/office/drawing/2014/main" id="{00000000-0008-0000-0300-000060000000}"/>
                </a:ext>
              </a:extLst>
            </xdr:cNvPr>
            <xdr:cNvCxnSpPr>
              <a:stCxn id="89" idx="1"/>
              <a:endCxn id="89" idx="7"/>
            </xdr:cNvCxnSpPr>
          </xdr:nvCxnSpPr>
          <xdr:spPr>
            <a:xfrm flipH="1">
              <a:off x="5558404" y="8274844"/>
              <a:ext cx="2382" cy="373857"/>
            </a:xfrm>
            <a:prstGeom prst="line">
              <a:avLst/>
            </a:prstGeom>
            <a:ln w="63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7" name="Straight Connector 257">
              <a:extLst>
                <a:ext uri="{FF2B5EF4-FFF2-40B4-BE49-F238E27FC236}">
                  <a16:creationId xmlns:a16="http://schemas.microsoft.com/office/drawing/2014/main" id="{00000000-0008-0000-0300-000061000000}"/>
                </a:ext>
              </a:extLst>
            </xdr:cNvPr>
            <xdr:cNvCxnSpPr>
              <a:stCxn id="89" idx="2"/>
              <a:endCxn id="89" idx="6"/>
            </xdr:cNvCxnSpPr>
          </xdr:nvCxnSpPr>
          <xdr:spPr>
            <a:xfrm flipH="1">
              <a:off x="5384386" y="8394383"/>
              <a:ext cx="118" cy="140017"/>
            </a:xfrm>
            <a:prstGeom prst="line">
              <a:avLst/>
            </a:prstGeom>
            <a:ln w="63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8" name="Straight Connector 258">
              <a:extLst>
                <a:ext uri="{FF2B5EF4-FFF2-40B4-BE49-F238E27FC236}">
                  <a16:creationId xmlns:a16="http://schemas.microsoft.com/office/drawing/2014/main" id="{00000000-0008-0000-0300-000062000000}"/>
                </a:ext>
              </a:extLst>
            </xdr:cNvPr>
            <xdr:cNvCxnSpPr>
              <a:stCxn id="89" idx="5"/>
            </xdr:cNvCxnSpPr>
          </xdr:nvCxnSpPr>
          <xdr:spPr>
            <a:xfrm flipH="1" flipV="1">
              <a:off x="5237670" y="8477249"/>
              <a:ext cx="1" cy="57152"/>
            </a:xfrm>
            <a:prstGeom prst="line">
              <a:avLst/>
            </a:prstGeom>
            <a:ln w="63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" name="Group 20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GrpSpPr/>
        </xdr:nvGrpSpPr>
        <xdr:grpSpPr>
          <a:xfrm>
            <a:off x="2992446" y="5806139"/>
            <a:ext cx="413610" cy="277018"/>
            <a:chOff x="5253598" y="9491533"/>
            <a:chExt cx="536887" cy="370703"/>
          </a:xfrm>
        </xdr:grpSpPr>
        <xdr:sp macro="" textlink="">
          <xdr:nvSpPr>
            <xdr:cNvPr id="76" name="Rectangle: Top Corners Snipped 236">
              <a:extLst>
                <a:ext uri="{FF2B5EF4-FFF2-40B4-BE49-F238E27FC236}">
                  <a16:creationId xmlns:a16="http://schemas.microsoft.com/office/drawing/2014/main" id="{00000000-0008-0000-0300-00004C000000}"/>
                </a:ext>
              </a:extLst>
            </xdr:cNvPr>
            <xdr:cNvSpPr/>
          </xdr:nvSpPr>
          <xdr:spPr>
            <a:xfrm rot="16200000">
              <a:off x="5313120" y="9655554"/>
              <a:ext cx="124216" cy="30195"/>
            </a:xfrm>
            <a:prstGeom prst="snip2SameRect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77" name="Freeform: Shape 237">
              <a:extLst>
                <a:ext uri="{FF2B5EF4-FFF2-40B4-BE49-F238E27FC236}">
                  <a16:creationId xmlns:a16="http://schemas.microsoft.com/office/drawing/2014/main" id="{00000000-0008-0000-0300-00004D000000}"/>
                </a:ext>
              </a:extLst>
            </xdr:cNvPr>
            <xdr:cNvSpPr/>
          </xdr:nvSpPr>
          <xdr:spPr>
            <a:xfrm>
              <a:off x="5376810" y="9500544"/>
              <a:ext cx="397027" cy="229721"/>
            </a:xfrm>
            <a:custGeom>
              <a:avLst/>
              <a:gdLst>
                <a:gd name="connsiteX0" fmla="*/ 501463 w 518272"/>
                <a:gd name="connsiteY0" fmla="*/ 0 h 229721"/>
                <a:gd name="connsiteX1" fmla="*/ 22412 w 518272"/>
                <a:gd name="connsiteY1" fmla="*/ 0 h 229721"/>
                <a:gd name="connsiteX2" fmla="*/ 22412 w 518272"/>
                <a:gd name="connsiteY2" fmla="*/ 42022 h 229721"/>
                <a:gd name="connsiteX3" fmla="*/ 0 w 518272"/>
                <a:gd name="connsiteY3" fmla="*/ 42022 h 229721"/>
                <a:gd name="connsiteX4" fmla="*/ 0 w 518272"/>
                <a:gd name="connsiteY4" fmla="*/ 229721 h 229721"/>
                <a:gd name="connsiteX5" fmla="*/ 58831 w 518272"/>
                <a:gd name="connsiteY5" fmla="*/ 193302 h 229721"/>
                <a:gd name="connsiteX6" fmla="*/ 518272 w 518272"/>
                <a:gd name="connsiteY6" fmla="*/ 193302 h 229721"/>
                <a:gd name="connsiteX0" fmla="*/ 501463 w 501463"/>
                <a:gd name="connsiteY0" fmla="*/ 0 h 229721"/>
                <a:gd name="connsiteX1" fmla="*/ 22412 w 501463"/>
                <a:gd name="connsiteY1" fmla="*/ 0 h 229721"/>
                <a:gd name="connsiteX2" fmla="*/ 22412 w 501463"/>
                <a:gd name="connsiteY2" fmla="*/ 42022 h 229721"/>
                <a:gd name="connsiteX3" fmla="*/ 0 w 501463"/>
                <a:gd name="connsiteY3" fmla="*/ 42022 h 229721"/>
                <a:gd name="connsiteX4" fmla="*/ 0 w 501463"/>
                <a:gd name="connsiteY4" fmla="*/ 229721 h 229721"/>
                <a:gd name="connsiteX5" fmla="*/ 58831 w 501463"/>
                <a:gd name="connsiteY5" fmla="*/ 193302 h 229721"/>
                <a:gd name="connsiteX6" fmla="*/ 364191 w 501463"/>
                <a:gd name="connsiteY6" fmla="*/ 196104 h 229721"/>
                <a:gd name="connsiteX0" fmla="*/ 366992 w 366992"/>
                <a:gd name="connsiteY0" fmla="*/ 5603 h 229721"/>
                <a:gd name="connsiteX1" fmla="*/ 22412 w 366992"/>
                <a:gd name="connsiteY1" fmla="*/ 0 h 229721"/>
                <a:gd name="connsiteX2" fmla="*/ 22412 w 366992"/>
                <a:gd name="connsiteY2" fmla="*/ 42022 h 229721"/>
                <a:gd name="connsiteX3" fmla="*/ 0 w 366992"/>
                <a:gd name="connsiteY3" fmla="*/ 42022 h 229721"/>
                <a:gd name="connsiteX4" fmla="*/ 0 w 366992"/>
                <a:gd name="connsiteY4" fmla="*/ 229721 h 229721"/>
                <a:gd name="connsiteX5" fmla="*/ 58831 w 366992"/>
                <a:gd name="connsiteY5" fmla="*/ 193302 h 229721"/>
                <a:gd name="connsiteX6" fmla="*/ 364191 w 366992"/>
                <a:gd name="connsiteY6" fmla="*/ 196104 h 229721"/>
                <a:gd name="connsiteX0" fmla="*/ 358588 w 364191"/>
                <a:gd name="connsiteY0" fmla="*/ 5603 h 229721"/>
                <a:gd name="connsiteX1" fmla="*/ 22412 w 364191"/>
                <a:gd name="connsiteY1" fmla="*/ 0 h 229721"/>
                <a:gd name="connsiteX2" fmla="*/ 22412 w 364191"/>
                <a:gd name="connsiteY2" fmla="*/ 42022 h 229721"/>
                <a:gd name="connsiteX3" fmla="*/ 0 w 364191"/>
                <a:gd name="connsiteY3" fmla="*/ 42022 h 229721"/>
                <a:gd name="connsiteX4" fmla="*/ 0 w 364191"/>
                <a:gd name="connsiteY4" fmla="*/ 229721 h 229721"/>
                <a:gd name="connsiteX5" fmla="*/ 58831 w 364191"/>
                <a:gd name="connsiteY5" fmla="*/ 193302 h 229721"/>
                <a:gd name="connsiteX6" fmla="*/ 364191 w 364191"/>
                <a:gd name="connsiteY6" fmla="*/ 196104 h 229721"/>
                <a:gd name="connsiteX0" fmla="*/ 356207 w 364191"/>
                <a:gd name="connsiteY0" fmla="*/ 840 h 229721"/>
                <a:gd name="connsiteX1" fmla="*/ 22412 w 364191"/>
                <a:gd name="connsiteY1" fmla="*/ 0 h 229721"/>
                <a:gd name="connsiteX2" fmla="*/ 22412 w 364191"/>
                <a:gd name="connsiteY2" fmla="*/ 42022 h 229721"/>
                <a:gd name="connsiteX3" fmla="*/ 0 w 364191"/>
                <a:gd name="connsiteY3" fmla="*/ 42022 h 229721"/>
                <a:gd name="connsiteX4" fmla="*/ 0 w 364191"/>
                <a:gd name="connsiteY4" fmla="*/ 229721 h 229721"/>
                <a:gd name="connsiteX5" fmla="*/ 58831 w 364191"/>
                <a:gd name="connsiteY5" fmla="*/ 193302 h 229721"/>
                <a:gd name="connsiteX6" fmla="*/ 364191 w 364191"/>
                <a:gd name="connsiteY6" fmla="*/ 196104 h 229721"/>
                <a:gd name="connsiteX0" fmla="*/ 358588 w 364191"/>
                <a:gd name="connsiteY0" fmla="*/ 840 h 229721"/>
                <a:gd name="connsiteX1" fmla="*/ 22412 w 364191"/>
                <a:gd name="connsiteY1" fmla="*/ 0 h 229721"/>
                <a:gd name="connsiteX2" fmla="*/ 22412 w 364191"/>
                <a:gd name="connsiteY2" fmla="*/ 42022 h 229721"/>
                <a:gd name="connsiteX3" fmla="*/ 0 w 364191"/>
                <a:gd name="connsiteY3" fmla="*/ 42022 h 229721"/>
                <a:gd name="connsiteX4" fmla="*/ 0 w 364191"/>
                <a:gd name="connsiteY4" fmla="*/ 229721 h 229721"/>
                <a:gd name="connsiteX5" fmla="*/ 58831 w 364191"/>
                <a:gd name="connsiteY5" fmla="*/ 193302 h 229721"/>
                <a:gd name="connsiteX6" fmla="*/ 364191 w 364191"/>
                <a:gd name="connsiteY6" fmla="*/ 196104 h 229721"/>
                <a:gd name="connsiteX0" fmla="*/ 365732 w 365732"/>
                <a:gd name="connsiteY0" fmla="*/ 0 h 231262"/>
                <a:gd name="connsiteX1" fmla="*/ 22412 w 365732"/>
                <a:gd name="connsiteY1" fmla="*/ 1541 h 231262"/>
                <a:gd name="connsiteX2" fmla="*/ 22412 w 365732"/>
                <a:gd name="connsiteY2" fmla="*/ 43563 h 231262"/>
                <a:gd name="connsiteX3" fmla="*/ 0 w 365732"/>
                <a:gd name="connsiteY3" fmla="*/ 43563 h 231262"/>
                <a:gd name="connsiteX4" fmla="*/ 0 w 365732"/>
                <a:gd name="connsiteY4" fmla="*/ 231262 h 231262"/>
                <a:gd name="connsiteX5" fmla="*/ 58831 w 365732"/>
                <a:gd name="connsiteY5" fmla="*/ 194843 h 231262"/>
                <a:gd name="connsiteX6" fmla="*/ 364191 w 365732"/>
                <a:gd name="connsiteY6" fmla="*/ 197645 h 231262"/>
                <a:gd name="connsiteX0" fmla="*/ 372876 w 372876"/>
                <a:gd name="connsiteY0" fmla="*/ 0 h 231262"/>
                <a:gd name="connsiteX1" fmla="*/ 22412 w 372876"/>
                <a:gd name="connsiteY1" fmla="*/ 1541 h 231262"/>
                <a:gd name="connsiteX2" fmla="*/ 22412 w 372876"/>
                <a:gd name="connsiteY2" fmla="*/ 43563 h 231262"/>
                <a:gd name="connsiteX3" fmla="*/ 0 w 372876"/>
                <a:gd name="connsiteY3" fmla="*/ 43563 h 231262"/>
                <a:gd name="connsiteX4" fmla="*/ 0 w 372876"/>
                <a:gd name="connsiteY4" fmla="*/ 231262 h 231262"/>
                <a:gd name="connsiteX5" fmla="*/ 58831 w 372876"/>
                <a:gd name="connsiteY5" fmla="*/ 194843 h 231262"/>
                <a:gd name="connsiteX6" fmla="*/ 364191 w 372876"/>
                <a:gd name="connsiteY6" fmla="*/ 197645 h 231262"/>
                <a:gd name="connsiteX0" fmla="*/ 495523 w 495523"/>
                <a:gd name="connsiteY0" fmla="*/ 840 h 229721"/>
                <a:gd name="connsiteX1" fmla="*/ 22412 w 495523"/>
                <a:gd name="connsiteY1" fmla="*/ 0 h 229721"/>
                <a:gd name="connsiteX2" fmla="*/ 22412 w 495523"/>
                <a:gd name="connsiteY2" fmla="*/ 42022 h 229721"/>
                <a:gd name="connsiteX3" fmla="*/ 0 w 495523"/>
                <a:gd name="connsiteY3" fmla="*/ 42022 h 229721"/>
                <a:gd name="connsiteX4" fmla="*/ 0 w 495523"/>
                <a:gd name="connsiteY4" fmla="*/ 229721 h 229721"/>
                <a:gd name="connsiteX5" fmla="*/ 58831 w 495523"/>
                <a:gd name="connsiteY5" fmla="*/ 193302 h 229721"/>
                <a:gd name="connsiteX6" fmla="*/ 364191 w 495523"/>
                <a:gd name="connsiteY6" fmla="*/ 196104 h 229721"/>
                <a:gd name="connsiteX0" fmla="*/ 495523 w 495813"/>
                <a:gd name="connsiteY0" fmla="*/ 840 h 229721"/>
                <a:gd name="connsiteX1" fmla="*/ 22412 w 495813"/>
                <a:gd name="connsiteY1" fmla="*/ 0 h 229721"/>
                <a:gd name="connsiteX2" fmla="*/ 22412 w 495813"/>
                <a:gd name="connsiteY2" fmla="*/ 42022 h 229721"/>
                <a:gd name="connsiteX3" fmla="*/ 0 w 495813"/>
                <a:gd name="connsiteY3" fmla="*/ 42022 h 229721"/>
                <a:gd name="connsiteX4" fmla="*/ 0 w 495813"/>
                <a:gd name="connsiteY4" fmla="*/ 229721 h 229721"/>
                <a:gd name="connsiteX5" fmla="*/ 58831 w 495813"/>
                <a:gd name="connsiteY5" fmla="*/ 193302 h 229721"/>
                <a:gd name="connsiteX6" fmla="*/ 495813 w 495813"/>
                <a:gd name="connsiteY6" fmla="*/ 193723 h 229721"/>
                <a:gd name="connsiteX0" fmla="*/ 495523 w 495813"/>
                <a:gd name="connsiteY0" fmla="*/ 840 h 229721"/>
                <a:gd name="connsiteX1" fmla="*/ 22412 w 495813"/>
                <a:gd name="connsiteY1" fmla="*/ 0 h 229721"/>
                <a:gd name="connsiteX2" fmla="*/ 22412 w 495813"/>
                <a:gd name="connsiteY2" fmla="*/ 42022 h 229721"/>
                <a:gd name="connsiteX3" fmla="*/ 0 w 495813"/>
                <a:gd name="connsiteY3" fmla="*/ 42022 h 229721"/>
                <a:gd name="connsiteX4" fmla="*/ 0 w 495813"/>
                <a:gd name="connsiteY4" fmla="*/ 229721 h 229721"/>
                <a:gd name="connsiteX5" fmla="*/ 58831 w 495813"/>
                <a:gd name="connsiteY5" fmla="*/ 193302 h 229721"/>
                <a:gd name="connsiteX6" fmla="*/ 175588 w 495813"/>
                <a:gd name="connsiteY6" fmla="*/ 190500 h 229721"/>
                <a:gd name="connsiteX7" fmla="*/ 495813 w 495813"/>
                <a:gd name="connsiteY7" fmla="*/ 193723 h 229721"/>
                <a:gd name="connsiteX0" fmla="*/ 495523 w 495813"/>
                <a:gd name="connsiteY0" fmla="*/ 840 h 229721"/>
                <a:gd name="connsiteX1" fmla="*/ 22412 w 495813"/>
                <a:gd name="connsiteY1" fmla="*/ 0 h 229721"/>
                <a:gd name="connsiteX2" fmla="*/ 22412 w 495813"/>
                <a:gd name="connsiteY2" fmla="*/ 42022 h 229721"/>
                <a:gd name="connsiteX3" fmla="*/ 0 w 495813"/>
                <a:gd name="connsiteY3" fmla="*/ 42022 h 229721"/>
                <a:gd name="connsiteX4" fmla="*/ 0 w 495813"/>
                <a:gd name="connsiteY4" fmla="*/ 229721 h 229721"/>
                <a:gd name="connsiteX5" fmla="*/ 58831 w 495813"/>
                <a:gd name="connsiteY5" fmla="*/ 193302 h 229721"/>
                <a:gd name="connsiteX6" fmla="*/ 235416 w 495813"/>
                <a:gd name="connsiteY6" fmla="*/ 190500 h 229721"/>
                <a:gd name="connsiteX7" fmla="*/ 495813 w 495813"/>
                <a:gd name="connsiteY7" fmla="*/ 193723 h 229721"/>
                <a:gd name="connsiteX0" fmla="*/ 495523 w 495813"/>
                <a:gd name="connsiteY0" fmla="*/ 840 h 229721"/>
                <a:gd name="connsiteX1" fmla="*/ 22412 w 495813"/>
                <a:gd name="connsiteY1" fmla="*/ 0 h 229721"/>
                <a:gd name="connsiteX2" fmla="*/ 22412 w 495813"/>
                <a:gd name="connsiteY2" fmla="*/ 42022 h 229721"/>
                <a:gd name="connsiteX3" fmla="*/ 0 w 495813"/>
                <a:gd name="connsiteY3" fmla="*/ 42022 h 229721"/>
                <a:gd name="connsiteX4" fmla="*/ 0 w 495813"/>
                <a:gd name="connsiteY4" fmla="*/ 229721 h 229721"/>
                <a:gd name="connsiteX5" fmla="*/ 58831 w 495813"/>
                <a:gd name="connsiteY5" fmla="*/ 193302 h 229721"/>
                <a:gd name="connsiteX6" fmla="*/ 235416 w 495813"/>
                <a:gd name="connsiteY6" fmla="*/ 190500 h 229721"/>
                <a:gd name="connsiteX7" fmla="*/ 396953 w 495813"/>
                <a:gd name="connsiteY7" fmla="*/ 192881 h 229721"/>
                <a:gd name="connsiteX8" fmla="*/ 495813 w 495813"/>
                <a:gd name="connsiteY8" fmla="*/ 193723 h 229721"/>
                <a:gd name="connsiteX0" fmla="*/ 495523 w 495813"/>
                <a:gd name="connsiteY0" fmla="*/ 840 h 229721"/>
                <a:gd name="connsiteX1" fmla="*/ 22412 w 495813"/>
                <a:gd name="connsiteY1" fmla="*/ 0 h 229721"/>
                <a:gd name="connsiteX2" fmla="*/ 22412 w 495813"/>
                <a:gd name="connsiteY2" fmla="*/ 42022 h 229721"/>
                <a:gd name="connsiteX3" fmla="*/ 0 w 495813"/>
                <a:gd name="connsiteY3" fmla="*/ 42022 h 229721"/>
                <a:gd name="connsiteX4" fmla="*/ 0 w 495813"/>
                <a:gd name="connsiteY4" fmla="*/ 229721 h 229721"/>
                <a:gd name="connsiteX5" fmla="*/ 58831 w 495813"/>
                <a:gd name="connsiteY5" fmla="*/ 193302 h 229721"/>
                <a:gd name="connsiteX6" fmla="*/ 235416 w 495813"/>
                <a:gd name="connsiteY6" fmla="*/ 190500 h 229721"/>
                <a:gd name="connsiteX7" fmla="*/ 295244 w 495813"/>
                <a:gd name="connsiteY7" fmla="*/ 164306 h 229721"/>
                <a:gd name="connsiteX8" fmla="*/ 495813 w 495813"/>
                <a:gd name="connsiteY8" fmla="*/ 193723 h 229721"/>
                <a:gd name="connsiteX0" fmla="*/ 495523 w 501795"/>
                <a:gd name="connsiteY0" fmla="*/ 840 h 229721"/>
                <a:gd name="connsiteX1" fmla="*/ 22412 w 501795"/>
                <a:gd name="connsiteY1" fmla="*/ 0 h 229721"/>
                <a:gd name="connsiteX2" fmla="*/ 22412 w 501795"/>
                <a:gd name="connsiteY2" fmla="*/ 42022 h 229721"/>
                <a:gd name="connsiteX3" fmla="*/ 0 w 501795"/>
                <a:gd name="connsiteY3" fmla="*/ 42022 h 229721"/>
                <a:gd name="connsiteX4" fmla="*/ 0 w 501795"/>
                <a:gd name="connsiteY4" fmla="*/ 229721 h 229721"/>
                <a:gd name="connsiteX5" fmla="*/ 58831 w 501795"/>
                <a:gd name="connsiteY5" fmla="*/ 193302 h 229721"/>
                <a:gd name="connsiteX6" fmla="*/ 235416 w 501795"/>
                <a:gd name="connsiteY6" fmla="*/ 190500 h 229721"/>
                <a:gd name="connsiteX7" fmla="*/ 295244 w 501795"/>
                <a:gd name="connsiteY7" fmla="*/ 164306 h 229721"/>
                <a:gd name="connsiteX8" fmla="*/ 501795 w 501795"/>
                <a:gd name="connsiteY8" fmla="*/ 158004 h 229721"/>
                <a:gd name="connsiteX0" fmla="*/ 495523 w 507778"/>
                <a:gd name="connsiteY0" fmla="*/ 840 h 229721"/>
                <a:gd name="connsiteX1" fmla="*/ 22412 w 507778"/>
                <a:gd name="connsiteY1" fmla="*/ 0 h 229721"/>
                <a:gd name="connsiteX2" fmla="*/ 22412 w 507778"/>
                <a:gd name="connsiteY2" fmla="*/ 42022 h 229721"/>
                <a:gd name="connsiteX3" fmla="*/ 0 w 507778"/>
                <a:gd name="connsiteY3" fmla="*/ 42022 h 229721"/>
                <a:gd name="connsiteX4" fmla="*/ 0 w 507778"/>
                <a:gd name="connsiteY4" fmla="*/ 229721 h 229721"/>
                <a:gd name="connsiteX5" fmla="*/ 58831 w 507778"/>
                <a:gd name="connsiteY5" fmla="*/ 193302 h 229721"/>
                <a:gd name="connsiteX6" fmla="*/ 235416 w 507778"/>
                <a:gd name="connsiteY6" fmla="*/ 190500 h 229721"/>
                <a:gd name="connsiteX7" fmla="*/ 295244 w 507778"/>
                <a:gd name="connsiteY7" fmla="*/ 164306 h 229721"/>
                <a:gd name="connsiteX8" fmla="*/ 507778 w 507778"/>
                <a:gd name="connsiteY8" fmla="*/ 172291 h 229721"/>
                <a:gd name="connsiteX0" fmla="*/ 495523 w 495523"/>
                <a:gd name="connsiteY0" fmla="*/ 840 h 229721"/>
                <a:gd name="connsiteX1" fmla="*/ 22412 w 495523"/>
                <a:gd name="connsiteY1" fmla="*/ 0 h 229721"/>
                <a:gd name="connsiteX2" fmla="*/ 22412 w 495523"/>
                <a:gd name="connsiteY2" fmla="*/ 42022 h 229721"/>
                <a:gd name="connsiteX3" fmla="*/ 0 w 495523"/>
                <a:gd name="connsiteY3" fmla="*/ 42022 h 229721"/>
                <a:gd name="connsiteX4" fmla="*/ 0 w 495523"/>
                <a:gd name="connsiteY4" fmla="*/ 229721 h 229721"/>
                <a:gd name="connsiteX5" fmla="*/ 58831 w 495523"/>
                <a:gd name="connsiteY5" fmla="*/ 193302 h 229721"/>
                <a:gd name="connsiteX6" fmla="*/ 235416 w 495523"/>
                <a:gd name="connsiteY6" fmla="*/ 190500 h 229721"/>
                <a:gd name="connsiteX7" fmla="*/ 295244 w 495523"/>
                <a:gd name="connsiteY7" fmla="*/ 164306 h 229721"/>
                <a:gd name="connsiteX8" fmla="*/ 492821 w 495523"/>
                <a:gd name="connsiteY8" fmla="*/ 165147 h 229721"/>
                <a:gd name="connsiteX0" fmla="*/ 495523 w 495523"/>
                <a:gd name="connsiteY0" fmla="*/ 840 h 229721"/>
                <a:gd name="connsiteX1" fmla="*/ 142068 w 495523"/>
                <a:gd name="connsiteY1" fmla="*/ 0 h 229721"/>
                <a:gd name="connsiteX2" fmla="*/ 22412 w 495523"/>
                <a:gd name="connsiteY2" fmla="*/ 42022 h 229721"/>
                <a:gd name="connsiteX3" fmla="*/ 0 w 495523"/>
                <a:gd name="connsiteY3" fmla="*/ 42022 h 229721"/>
                <a:gd name="connsiteX4" fmla="*/ 0 w 495523"/>
                <a:gd name="connsiteY4" fmla="*/ 229721 h 229721"/>
                <a:gd name="connsiteX5" fmla="*/ 58831 w 495523"/>
                <a:gd name="connsiteY5" fmla="*/ 193302 h 229721"/>
                <a:gd name="connsiteX6" fmla="*/ 235416 w 495523"/>
                <a:gd name="connsiteY6" fmla="*/ 190500 h 229721"/>
                <a:gd name="connsiteX7" fmla="*/ 295244 w 495523"/>
                <a:gd name="connsiteY7" fmla="*/ 164306 h 229721"/>
                <a:gd name="connsiteX8" fmla="*/ 492821 w 495523"/>
                <a:gd name="connsiteY8" fmla="*/ 165147 h 229721"/>
                <a:gd name="connsiteX0" fmla="*/ 495523 w 495523"/>
                <a:gd name="connsiteY0" fmla="*/ 840 h 229721"/>
                <a:gd name="connsiteX1" fmla="*/ 142068 w 495523"/>
                <a:gd name="connsiteY1" fmla="*/ 0 h 229721"/>
                <a:gd name="connsiteX2" fmla="*/ 0 w 495523"/>
                <a:gd name="connsiteY2" fmla="*/ 42022 h 229721"/>
                <a:gd name="connsiteX3" fmla="*/ 0 w 495523"/>
                <a:gd name="connsiteY3" fmla="*/ 229721 h 229721"/>
                <a:gd name="connsiteX4" fmla="*/ 58831 w 495523"/>
                <a:gd name="connsiteY4" fmla="*/ 193302 h 229721"/>
                <a:gd name="connsiteX5" fmla="*/ 235416 w 495523"/>
                <a:gd name="connsiteY5" fmla="*/ 190500 h 229721"/>
                <a:gd name="connsiteX6" fmla="*/ 295244 w 495523"/>
                <a:gd name="connsiteY6" fmla="*/ 164306 h 229721"/>
                <a:gd name="connsiteX7" fmla="*/ 492821 w 495523"/>
                <a:gd name="connsiteY7" fmla="*/ 165147 h 229721"/>
                <a:gd name="connsiteX0" fmla="*/ 498757 w 498757"/>
                <a:gd name="connsiteY0" fmla="*/ 840 h 229721"/>
                <a:gd name="connsiteX1" fmla="*/ 145302 w 498757"/>
                <a:gd name="connsiteY1" fmla="*/ 0 h 229721"/>
                <a:gd name="connsiteX2" fmla="*/ 0 w 498757"/>
                <a:gd name="connsiteY2" fmla="*/ 49745 h 229721"/>
                <a:gd name="connsiteX3" fmla="*/ 3234 w 498757"/>
                <a:gd name="connsiteY3" fmla="*/ 229721 h 229721"/>
                <a:gd name="connsiteX4" fmla="*/ 62065 w 498757"/>
                <a:gd name="connsiteY4" fmla="*/ 193302 h 229721"/>
                <a:gd name="connsiteX5" fmla="*/ 238650 w 498757"/>
                <a:gd name="connsiteY5" fmla="*/ 190500 h 229721"/>
                <a:gd name="connsiteX6" fmla="*/ 298478 w 498757"/>
                <a:gd name="connsiteY6" fmla="*/ 164306 h 229721"/>
                <a:gd name="connsiteX7" fmla="*/ 496055 w 498757"/>
                <a:gd name="connsiteY7" fmla="*/ 165147 h 22972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498757" h="229721">
                  <a:moveTo>
                    <a:pt x="498757" y="840"/>
                  </a:moveTo>
                  <a:lnTo>
                    <a:pt x="145302" y="0"/>
                  </a:lnTo>
                  <a:lnTo>
                    <a:pt x="0" y="49745"/>
                  </a:lnTo>
                  <a:lnTo>
                    <a:pt x="3234" y="229721"/>
                  </a:lnTo>
                  <a:lnTo>
                    <a:pt x="62065" y="193302"/>
                  </a:lnTo>
                  <a:lnTo>
                    <a:pt x="238650" y="190500"/>
                  </a:lnTo>
                  <a:lnTo>
                    <a:pt x="298478" y="164306"/>
                  </a:lnTo>
                  <a:lnTo>
                    <a:pt x="496055" y="165147"/>
                  </a:lnTo>
                </a:path>
              </a:pathLst>
            </a:cu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78" name="Straight Arrow Connector 238">
              <a:extLst>
                <a:ext uri="{FF2B5EF4-FFF2-40B4-BE49-F238E27FC236}">
                  <a16:creationId xmlns:a16="http://schemas.microsoft.com/office/drawing/2014/main" id="{00000000-0008-0000-0300-00004E000000}"/>
                </a:ext>
              </a:extLst>
            </xdr:cNvPr>
            <xdr:cNvCxnSpPr/>
          </xdr:nvCxnSpPr>
          <xdr:spPr>
            <a:xfrm rot="16200000" flipH="1" flipV="1">
              <a:off x="5439987" y="9590315"/>
              <a:ext cx="2381" cy="100465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9" name="Straight Arrow Connector 239">
              <a:extLst>
                <a:ext uri="{FF2B5EF4-FFF2-40B4-BE49-F238E27FC236}">
                  <a16:creationId xmlns:a16="http://schemas.microsoft.com/office/drawing/2014/main" id="{00000000-0008-0000-0300-00004F000000}"/>
                </a:ext>
              </a:extLst>
            </xdr:cNvPr>
            <xdr:cNvCxnSpPr/>
          </xdr:nvCxnSpPr>
          <xdr:spPr>
            <a:xfrm rot="16200000" flipH="1">
              <a:off x="5300039" y="9595158"/>
              <a:ext cx="0" cy="92882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80" name="Group 240">
              <a:extLst>
                <a:ext uri="{FF2B5EF4-FFF2-40B4-BE49-F238E27FC236}">
                  <a16:creationId xmlns:a16="http://schemas.microsoft.com/office/drawing/2014/main" id="{00000000-0008-0000-0300-000050000000}"/>
                </a:ext>
              </a:extLst>
            </xdr:cNvPr>
            <xdr:cNvGrpSpPr/>
          </xdr:nvGrpSpPr>
          <xdr:grpSpPr>
            <a:xfrm>
              <a:off x="5754485" y="9500545"/>
              <a:ext cx="36000" cy="162000"/>
              <a:chOff x="5747921" y="9498806"/>
              <a:chExt cx="36137" cy="192882"/>
            </a:xfrm>
          </xdr:grpSpPr>
          <xdr:sp macro="" textlink="">
            <xdr:nvSpPr>
              <xdr:cNvPr id="83" name="Freeform: Shape 242">
                <a:extLst>
                  <a:ext uri="{FF2B5EF4-FFF2-40B4-BE49-F238E27FC236}">
                    <a16:creationId xmlns:a16="http://schemas.microsoft.com/office/drawing/2014/main" id="{00000000-0008-0000-0300-000053000000}"/>
                  </a:ext>
                </a:extLst>
              </xdr:cNvPr>
              <xdr:cNvSpPr/>
            </xdr:nvSpPr>
            <xdr:spPr>
              <a:xfrm>
                <a:off x="5747921" y="9498806"/>
                <a:ext cx="36137" cy="192882"/>
              </a:xfrm>
              <a:custGeom>
                <a:avLst/>
                <a:gdLst>
                  <a:gd name="connsiteX0" fmla="*/ 23848 w 45396"/>
                  <a:gd name="connsiteY0" fmla="*/ 192882 h 192882"/>
                  <a:gd name="connsiteX1" fmla="*/ 36 w 45396"/>
                  <a:gd name="connsiteY1" fmla="*/ 145257 h 192882"/>
                  <a:gd name="connsiteX2" fmla="*/ 19086 w 45396"/>
                  <a:gd name="connsiteY2" fmla="*/ 92869 h 192882"/>
                  <a:gd name="connsiteX3" fmla="*/ 45279 w 45396"/>
                  <a:gd name="connsiteY3" fmla="*/ 42863 h 192882"/>
                  <a:gd name="connsiteX4" fmla="*/ 26229 w 45396"/>
                  <a:gd name="connsiteY4" fmla="*/ 0 h 19288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45396" h="192882">
                    <a:moveTo>
                      <a:pt x="23848" y="192882"/>
                    </a:moveTo>
                    <a:cubicBezTo>
                      <a:pt x="12339" y="177404"/>
                      <a:pt x="830" y="161926"/>
                      <a:pt x="36" y="145257"/>
                    </a:cubicBezTo>
                    <a:cubicBezTo>
                      <a:pt x="-758" y="128588"/>
                      <a:pt x="11546" y="109935"/>
                      <a:pt x="19086" y="92869"/>
                    </a:cubicBezTo>
                    <a:cubicBezTo>
                      <a:pt x="26626" y="75803"/>
                      <a:pt x="44089" y="58341"/>
                      <a:pt x="45279" y="42863"/>
                    </a:cubicBezTo>
                    <a:cubicBezTo>
                      <a:pt x="46470" y="27385"/>
                      <a:pt x="38532" y="32544"/>
                      <a:pt x="26229" y="0"/>
                    </a:cubicBezTo>
                  </a:path>
                </a:pathLst>
              </a:custGeom>
              <a:noFill/>
              <a:ln w="635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/>
              </a:p>
            </xdr:txBody>
          </xdr:sp>
          <xdr:sp macro="" textlink="">
            <xdr:nvSpPr>
              <xdr:cNvPr id="84" name="Freeform: Shape 243">
                <a:extLst>
                  <a:ext uri="{FF2B5EF4-FFF2-40B4-BE49-F238E27FC236}">
                    <a16:creationId xmlns:a16="http://schemas.microsoft.com/office/drawing/2014/main" id="{00000000-0008-0000-0300-000054000000}"/>
                  </a:ext>
                </a:extLst>
              </xdr:cNvPr>
              <xdr:cNvSpPr/>
            </xdr:nvSpPr>
            <xdr:spPr>
              <a:xfrm>
                <a:off x="5765010" y="9596438"/>
                <a:ext cx="18991" cy="95250"/>
              </a:xfrm>
              <a:custGeom>
                <a:avLst/>
                <a:gdLst>
                  <a:gd name="connsiteX0" fmla="*/ 4763 w 23857"/>
                  <a:gd name="connsiteY0" fmla="*/ 95250 h 95250"/>
                  <a:gd name="connsiteX1" fmla="*/ 23813 w 23857"/>
                  <a:gd name="connsiteY1" fmla="*/ 35718 h 95250"/>
                  <a:gd name="connsiteX2" fmla="*/ 0 w 23857"/>
                  <a:gd name="connsiteY2" fmla="*/ 0 h 9525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</a:cxnLst>
                <a:rect l="l" t="t" r="r" b="b"/>
                <a:pathLst>
                  <a:path w="23857" h="95250">
                    <a:moveTo>
                      <a:pt x="4763" y="95250"/>
                    </a:moveTo>
                    <a:cubicBezTo>
                      <a:pt x="14685" y="73421"/>
                      <a:pt x="24607" y="51593"/>
                      <a:pt x="23813" y="35718"/>
                    </a:cubicBezTo>
                    <a:cubicBezTo>
                      <a:pt x="23019" y="19843"/>
                      <a:pt x="7541" y="14287"/>
                      <a:pt x="0" y="0"/>
                    </a:cubicBezTo>
                  </a:path>
                </a:pathLst>
              </a:custGeom>
              <a:noFill/>
              <a:ln w="635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/>
              </a:p>
            </xdr:txBody>
          </xdr:sp>
        </xdr:grpSp>
        <xdr:sp macro="" textlink="">
          <xdr:nvSpPr>
            <xdr:cNvPr id="81" name="Arc 80">
              <a:extLst>
                <a:ext uri="{FF2B5EF4-FFF2-40B4-BE49-F238E27FC236}">
                  <a16:creationId xmlns:a16="http://schemas.microsoft.com/office/drawing/2014/main" id="{00000000-0008-0000-0300-000051000000}"/>
                </a:ext>
              </a:extLst>
            </xdr:cNvPr>
            <xdr:cNvSpPr/>
          </xdr:nvSpPr>
          <xdr:spPr>
            <a:xfrm>
              <a:off x="5279940" y="9491533"/>
              <a:ext cx="337236" cy="370703"/>
            </a:xfrm>
            <a:prstGeom prst="arc">
              <a:avLst>
                <a:gd name="adj1" fmla="val 17284102"/>
                <a:gd name="adj2" fmla="val 21389269"/>
              </a:avLst>
            </a:prstGeom>
            <a:ln w="63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</xdr:grpSp>
      <xdr:grpSp>
        <xdr:nvGrpSpPr>
          <xdr:cNvPr id="12" name="Group 206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pSpPr/>
        </xdr:nvGrpSpPr>
        <xdr:grpSpPr>
          <a:xfrm>
            <a:off x="3066062" y="3977025"/>
            <a:ext cx="303021" cy="258500"/>
            <a:chOff x="5285201" y="9998800"/>
            <a:chExt cx="433465" cy="377223"/>
          </a:xfrm>
        </xdr:grpSpPr>
        <xdr:sp macro="" textlink="">
          <xdr:nvSpPr>
            <xdr:cNvPr id="66" name="Freeform: Shape 230">
              <a:extLst>
                <a:ext uri="{FF2B5EF4-FFF2-40B4-BE49-F238E27FC236}">
                  <a16:creationId xmlns:a16="http://schemas.microsoft.com/office/drawing/2014/main" id="{00000000-0008-0000-0300-000042000000}"/>
                </a:ext>
              </a:extLst>
            </xdr:cNvPr>
            <xdr:cNvSpPr/>
          </xdr:nvSpPr>
          <xdr:spPr>
            <a:xfrm>
              <a:off x="5462394" y="10000259"/>
              <a:ext cx="92807" cy="78154"/>
            </a:xfrm>
            <a:custGeom>
              <a:avLst/>
              <a:gdLst>
                <a:gd name="connsiteX0" fmla="*/ 0 w 92807"/>
                <a:gd name="connsiteY0" fmla="*/ 68384 h 78154"/>
                <a:gd name="connsiteX1" fmla="*/ 43961 w 92807"/>
                <a:gd name="connsiteY1" fmla="*/ 0 h 78154"/>
                <a:gd name="connsiteX2" fmla="*/ 92807 w 92807"/>
                <a:gd name="connsiteY2" fmla="*/ 78154 h 78154"/>
                <a:gd name="connsiteX0" fmla="*/ 0 w 80596"/>
                <a:gd name="connsiteY0" fmla="*/ 80596 h 80596"/>
                <a:gd name="connsiteX1" fmla="*/ 31750 w 80596"/>
                <a:gd name="connsiteY1" fmla="*/ 0 h 80596"/>
                <a:gd name="connsiteX2" fmla="*/ 80596 w 80596"/>
                <a:gd name="connsiteY2" fmla="*/ 78154 h 80596"/>
                <a:gd name="connsiteX0" fmla="*/ 0 w 92807"/>
                <a:gd name="connsiteY0" fmla="*/ 75711 h 78154"/>
                <a:gd name="connsiteX1" fmla="*/ 43961 w 92807"/>
                <a:gd name="connsiteY1" fmla="*/ 0 h 78154"/>
                <a:gd name="connsiteX2" fmla="*/ 92807 w 92807"/>
                <a:gd name="connsiteY2" fmla="*/ 78154 h 7815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92807" h="78154">
                  <a:moveTo>
                    <a:pt x="0" y="75711"/>
                  </a:moveTo>
                  <a:lnTo>
                    <a:pt x="43961" y="0"/>
                  </a:lnTo>
                  <a:lnTo>
                    <a:pt x="92807" y="78154"/>
                  </a:lnTo>
                </a:path>
              </a:pathLst>
            </a:custGeom>
            <a:solidFill>
              <a:srgbClr val="FFC000"/>
            </a:solidFill>
            <a:ln>
              <a:solidFill>
                <a:sysClr val="windowText" lastClr="000000"/>
              </a:solidFill>
              <a:prstDash val="sys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68" name="Freeform: Shape 231">
              <a:extLst>
                <a:ext uri="{FF2B5EF4-FFF2-40B4-BE49-F238E27FC236}">
                  <a16:creationId xmlns:a16="http://schemas.microsoft.com/office/drawing/2014/main" id="{00000000-0008-0000-0300-000044000000}"/>
                </a:ext>
              </a:extLst>
            </xdr:cNvPr>
            <xdr:cNvSpPr/>
          </xdr:nvSpPr>
          <xdr:spPr>
            <a:xfrm>
              <a:off x="5407756" y="9998800"/>
              <a:ext cx="92807" cy="78154"/>
            </a:xfrm>
            <a:custGeom>
              <a:avLst/>
              <a:gdLst>
                <a:gd name="connsiteX0" fmla="*/ 0 w 92807"/>
                <a:gd name="connsiteY0" fmla="*/ 68384 h 78154"/>
                <a:gd name="connsiteX1" fmla="*/ 43961 w 92807"/>
                <a:gd name="connsiteY1" fmla="*/ 0 h 78154"/>
                <a:gd name="connsiteX2" fmla="*/ 92807 w 92807"/>
                <a:gd name="connsiteY2" fmla="*/ 78154 h 78154"/>
                <a:gd name="connsiteX0" fmla="*/ 0 w 80596"/>
                <a:gd name="connsiteY0" fmla="*/ 80596 h 80596"/>
                <a:gd name="connsiteX1" fmla="*/ 31750 w 80596"/>
                <a:gd name="connsiteY1" fmla="*/ 0 h 80596"/>
                <a:gd name="connsiteX2" fmla="*/ 80596 w 80596"/>
                <a:gd name="connsiteY2" fmla="*/ 78154 h 80596"/>
                <a:gd name="connsiteX0" fmla="*/ 0 w 92807"/>
                <a:gd name="connsiteY0" fmla="*/ 75711 h 78154"/>
                <a:gd name="connsiteX1" fmla="*/ 43961 w 92807"/>
                <a:gd name="connsiteY1" fmla="*/ 0 h 78154"/>
                <a:gd name="connsiteX2" fmla="*/ 92807 w 92807"/>
                <a:gd name="connsiteY2" fmla="*/ 78154 h 7815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92807" h="78154">
                  <a:moveTo>
                    <a:pt x="0" y="75711"/>
                  </a:moveTo>
                  <a:lnTo>
                    <a:pt x="43961" y="0"/>
                  </a:lnTo>
                  <a:lnTo>
                    <a:pt x="92807" y="78154"/>
                  </a:lnTo>
                </a:path>
              </a:pathLst>
            </a:custGeom>
            <a:noFill/>
            <a:ln w="190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70" name="Freeform: Shape 232">
              <a:extLst>
                <a:ext uri="{FF2B5EF4-FFF2-40B4-BE49-F238E27FC236}">
                  <a16:creationId xmlns:a16="http://schemas.microsoft.com/office/drawing/2014/main" id="{00000000-0008-0000-0300-000046000000}"/>
                </a:ext>
              </a:extLst>
            </xdr:cNvPr>
            <xdr:cNvSpPr/>
          </xdr:nvSpPr>
          <xdr:spPr>
            <a:xfrm>
              <a:off x="5416108" y="10017435"/>
              <a:ext cx="302558" cy="358588"/>
            </a:xfrm>
            <a:custGeom>
              <a:avLst/>
              <a:gdLst>
                <a:gd name="connsiteX0" fmla="*/ 25213 w 229720"/>
                <a:gd name="connsiteY0" fmla="*/ 341779 h 341779"/>
                <a:gd name="connsiteX1" fmla="*/ 25213 w 229720"/>
                <a:gd name="connsiteY1" fmla="*/ 201706 h 341779"/>
                <a:gd name="connsiteX2" fmla="*/ 0 w 229720"/>
                <a:gd name="connsiteY2" fmla="*/ 201706 h 341779"/>
                <a:gd name="connsiteX3" fmla="*/ 0 w 229720"/>
                <a:gd name="connsiteY3" fmla="*/ 0 h 341779"/>
                <a:gd name="connsiteX4" fmla="*/ 28014 w 229720"/>
                <a:gd name="connsiteY4" fmla="*/ 0 h 341779"/>
                <a:gd name="connsiteX5" fmla="*/ 28014 w 229720"/>
                <a:gd name="connsiteY5" fmla="*/ 64434 h 341779"/>
                <a:gd name="connsiteX6" fmla="*/ 229720 w 229720"/>
                <a:gd name="connsiteY6" fmla="*/ 64434 h 341779"/>
                <a:gd name="connsiteX7" fmla="*/ 229720 w 229720"/>
                <a:gd name="connsiteY7" fmla="*/ 204507 h 341779"/>
                <a:gd name="connsiteX8" fmla="*/ 229720 w 229720"/>
                <a:gd name="connsiteY8" fmla="*/ 308162 h 341779"/>
                <a:gd name="connsiteX0" fmla="*/ 25213 w 229720"/>
                <a:gd name="connsiteY0" fmla="*/ 341779 h 341779"/>
                <a:gd name="connsiteX1" fmla="*/ 25213 w 229720"/>
                <a:gd name="connsiteY1" fmla="*/ 201706 h 341779"/>
                <a:gd name="connsiteX2" fmla="*/ 0 w 229720"/>
                <a:gd name="connsiteY2" fmla="*/ 201706 h 341779"/>
                <a:gd name="connsiteX3" fmla="*/ 0 w 229720"/>
                <a:gd name="connsiteY3" fmla="*/ 60523 h 341779"/>
                <a:gd name="connsiteX4" fmla="*/ 28014 w 229720"/>
                <a:gd name="connsiteY4" fmla="*/ 0 h 341779"/>
                <a:gd name="connsiteX5" fmla="*/ 28014 w 229720"/>
                <a:gd name="connsiteY5" fmla="*/ 64434 h 341779"/>
                <a:gd name="connsiteX6" fmla="*/ 229720 w 229720"/>
                <a:gd name="connsiteY6" fmla="*/ 64434 h 341779"/>
                <a:gd name="connsiteX7" fmla="*/ 229720 w 229720"/>
                <a:gd name="connsiteY7" fmla="*/ 204507 h 341779"/>
                <a:gd name="connsiteX8" fmla="*/ 229720 w 229720"/>
                <a:gd name="connsiteY8" fmla="*/ 308162 h 341779"/>
                <a:gd name="connsiteX0" fmla="*/ 25213 w 229720"/>
                <a:gd name="connsiteY0" fmla="*/ 341779 h 341779"/>
                <a:gd name="connsiteX1" fmla="*/ 25213 w 229720"/>
                <a:gd name="connsiteY1" fmla="*/ 201706 h 341779"/>
                <a:gd name="connsiteX2" fmla="*/ 0 w 229720"/>
                <a:gd name="connsiteY2" fmla="*/ 201706 h 341779"/>
                <a:gd name="connsiteX3" fmla="*/ 0 w 229720"/>
                <a:gd name="connsiteY3" fmla="*/ 60523 h 341779"/>
                <a:gd name="connsiteX4" fmla="*/ 28014 w 229720"/>
                <a:gd name="connsiteY4" fmla="*/ 0 h 341779"/>
                <a:gd name="connsiteX5" fmla="*/ 61391 w 229720"/>
                <a:gd name="connsiteY5" fmla="*/ 66762 h 341779"/>
                <a:gd name="connsiteX6" fmla="*/ 229720 w 229720"/>
                <a:gd name="connsiteY6" fmla="*/ 64434 h 341779"/>
                <a:gd name="connsiteX7" fmla="*/ 229720 w 229720"/>
                <a:gd name="connsiteY7" fmla="*/ 204507 h 341779"/>
                <a:gd name="connsiteX8" fmla="*/ 229720 w 229720"/>
                <a:gd name="connsiteY8" fmla="*/ 308162 h 34177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229720" h="341779">
                  <a:moveTo>
                    <a:pt x="25213" y="341779"/>
                  </a:moveTo>
                  <a:lnTo>
                    <a:pt x="25213" y="201706"/>
                  </a:lnTo>
                  <a:lnTo>
                    <a:pt x="0" y="201706"/>
                  </a:lnTo>
                  <a:lnTo>
                    <a:pt x="0" y="60523"/>
                  </a:lnTo>
                  <a:lnTo>
                    <a:pt x="28014" y="0"/>
                  </a:lnTo>
                  <a:lnTo>
                    <a:pt x="61391" y="66762"/>
                  </a:lnTo>
                  <a:lnTo>
                    <a:pt x="229720" y="64434"/>
                  </a:lnTo>
                  <a:lnTo>
                    <a:pt x="229720" y="204507"/>
                  </a:lnTo>
                  <a:lnTo>
                    <a:pt x="229720" y="308162"/>
                  </a:lnTo>
                </a:path>
              </a:pathLst>
            </a:custGeom>
            <a:solidFill>
              <a:srgbClr val="00B0F0"/>
            </a:solidFill>
            <a:ln w="6350" cap="flat" cmpd="sng" algn="ctr">
              <a:solidFill>
                <a:sysClr val="windowText" lastClr="000000"/>
              </a:solidFill>
              <a:prstDash val="solid"/>
              <a:miter lim="800000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CA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endParaRPr>
            </a:p>
          </xdr:txBody>
        </xdr:sp>
        <xdr:cxnSp macro="">
          <xdr:nvCxnSpPr>
            <xdr:cNvPr id="72" name="Straight Connector 233">
              <a:extLst>
                <a:ext uri="{FF2B5EF4-FFF2-40B4-BE49-F238E27FC236}">
                  <a16:creationId xmlns:a16="http://schemas.microsoft.com/office/drawing/2014/main" id="{00000000-0008-0000-0300-000048000000}"/>
                </a:ext>
              </a:extLst>
            </xdr:cNvPr>
            <xdr:cNvCxnSpPr>
              <a:stCxn id="70" idx="1"/>
              <a:endCxn id="70" idx="7"/>
            </xdr:cNvCxnSpPr>
          </xdr:nvCxnSpPr>
          <xdr:spPr>
            <a:xfrm>
              <a:off x="5449315" y="10229061"/>
              <a:ext cx="269351" cy="2939"/>
            </a:xfrm>
            <a:prstGeom prst="line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</a:ln>
            <a:effectLst/>
          </xdr:spPr>
        </xdr:cxnSp>
        <xdr:cxnSp macro="">
          <xdr:nvCxnSpPr>
            <xdr:cNvPr id="73" name="Straight Arrow Connector 234">
              <a:extLst>
                <a:ext uri="{FF2B5EF4-FFF2-40B4-BE49-F238E27FC236}">
                  <a16:creationId xmlns:a16="http://schemas.microsoft.com/office/drawing/2014/main" id="{00000000-0008-0000-0300-000049000000}"/>
                </a:ext>
              </a:extLst>
            </xdr:cNvPr>
            <xdr:cNvCxnSpPr/>
          </xdr:nvCxnSpPr>
          <xdr:spPr>
            <a:xfrm rot="5400000" flipH="1" flipV="1">
              <a:off x="5347114" y="9947677"/>
              <a:ext cx="2382" cy="126207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headEnd type="none" w="med" len="med"/>
              <a:tailEnd type="stealth" w="sm" len="sm"/>
            </a:ln>
            <a:effectLst/>
          </xdr:spPr>
        </xdr:cxnSp>
        <xdr:cxnSp macro="">
          <xdr:nvCxnSpPr>
            <xdr:cNvPr id="74" name="Straight Arrow Connector 235">
              <a:extLst>
                <a:ext uri="{FF2B5EF4-FFF2-40B4-BE49-F238E27FC236}">
                  <a16:creationId xmlns:a16="http://schemas.microsoft.com/office/drawing/2014/main" id="{00000000-0008-0000-0300-00004A000000}"/>
                </a:ext>
              </a:extLst>
            </xdr:cNvPr>
            <xdr:cNvCxnSpPr/>
          </xdr:nvCxnSpPr>
          <xdr:spPr>
            <a:xfrm rot="5400000">
              <a:off x="5592539" y="9953438"/>
              <a:ext cx="0" cy="116682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headEnd type="none" w="med" len="med"/>
              <a:tailEnd type="stealth" w="sm" len="sm"/>
            </a:ln>
            <a:effectLst/>
          </xdr:spPr>
        </xdr:cxnSp>
      </xdr:grpSp>
      <xdr:grpSp>
        <xdr:nvGrpSpPr>
          <xdr:cNvPr id="13" name="Group 208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GrpSpPr/>
        </xdr:nvGrpSpPr>
        <xdr:grpSpPr>
          <a:xfrm>
            <a:off x="3000388" y="4325202"/>
            <a:ext cx="391816" cy="278881"/>
            <a:chOff x="5261022" y="10591800"/>
            <a:chExt cx="510545" cy="370703"/>
          </a:xfrm>
        </xdr:grpSpPr>
        <xdr:sp macro="" textlink="">
          <xdr:nvSpPr>
            <xdr:cNvPr id="505" name="Freeform: Shape 221">
              <a:extLst>
                <a:ext uri="{FF2B5EF4-FFF2-40B4-BE49-F238E27FC236}">
                  <a16:creationId xmlns:a16="http://schemas.microsoft.com/office/drawing/2014/main" id="{00000000-0008-0000-0300-0000F9010000}"/>
                </a:ext>
              </a:extLst>
            </xdr:cNvPr>
            <xdr:cNvSpPr/>
          </xdr:nvSpPr>
          <xdr:spPr>
            <a:xfrm flipV="1">
              <a:off x="5415013" y="10784680"/>
              <a:ext cx="83293" cy="76357"/>
            </a:xfrm>
            <a:custGeom>
              <a:avLst/>
              <a:gdLst>
                <a:gd name="connsiteX0" fmla="*/ 0 w 92807"/>
                <a:gd name="connsiteY0" fmla="*/ 68384 h 78154"/>
                <a:gd name="connsiteX1" fmla="*/ 43961 w 92807"/>
                <a:gd name="connsiteY1" fmla="*/ 0 h 78154"/>
                <a:gd name="connsiteX2" fmla="*/ 92807 w 92807"/>
                <a:gd name="connsiteY2" fmla="*/ 78154 h 78154"/>
                <a:gd name="connsiteX0" fmla="*/ 0 w 80596"/>
                <a:gd name="connsiteY0" fmla="*/ 80596 h 80596"/>
                <a:gd name="connsiteX1" fmla="*/ 31750 w 80596"/>
                <a:gd name="connsiteY1" fmla="*/ 0 h 80596"/>
                <a:gd name="connsiteX2" fmla="*/ 80596 w 80596"/>
                <a:gd name="connsiteY2" fmla="*/ 78154 h 80596"/>
                <a:gd name="connsiteX0" fmla="*/ 0 w 92807"/>
                <a:gd name="connsiteY0" fmla="*/ 75711 h 78154"/>
                <a:gd name="connsiteX1" fmla="*/ 43961 w 92807"/>
                <a:gd name="connsiteY1" fmla="*/ 0 h 78154"/>
                <a:gd name="connsiteX2" fmla="*/ 92807 w 92807"/>
                <a:gd name="connsiteY2" fmla="*/ 78154 h 7815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92807" h="78154">
                  <a:moveTo>
                    <a:pt x="0" y="75711"/>
                  </a:moveTo>
                  <a:lnTo>
                    <a:pt x="43961" y="0"/>
                  </a:lnTo>
                  <a:lnTo>
                    <a:pt x="92807" y="78154"/>
                  </a:lnTo>
                </a:path>
              </a:pathLst>
            </a:custGeom>
            <a:solidFill>
              <a:srgbClr val="FFC000"/>
            </a:solidFill>
            <a:ln>
              <a:solidFill>
                <a:sysClr val="windowText" lastClr="000000"/>
              </a:solidFill>
              <a:prstDash val="sys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506" name="Freeform: Shape 222">
              <a:extLst>
                <a:ext uri="{FF2B5EF4-FFF2-40B4-BE49-F238E27FC236}">
                  <a16:creationId xmlns:a16="http://schemas.microsoft.com/office/drawing/2014/main" id="{00000000-0008-0000-0300-0000FA010000}"/>
                </a:ext>
              </a:extLst>
            </xdr:cNvPr>
            <xdr:cNvSpPr/>
          </xdr:nvSpPr>
          <xdr:spPr>
            <a:xfrm flipV="1">
              <a:off x="5345906" y="10781788"/>
              <a:ext cx="92807" cy="78154"/>
            </a:xfrm>
            <a:custGeom>
              <a:avLst/>
              <a:gdLst>
                <a:gd name="connsiteX0" fmla="*/ 0 w 92807"/>
                <a:gd name="connsiteY0" fmla="*/ 68384 h 78154"/>
                <a:gd name="connsiteX1" fmla="*/ 43961 w 92807"/>
                <a:gd name="connsiteY1" fmla="*/ 0 h 78154"/>
                <a:gd name="connsiteX2" fmla="*/ 92807 w 92807"/>
                <a:gd name="connsiteY2" fmla="*/ 78154 h 78154"/>
                <a:gd name="connsiteX0" fmla="*/ 0 w 80596"/>
                <a:gd name="connsiteY0" fmla="*/ 80596 h 80596"/>
                <a:gd name="connsiteX1" fmla="*/ 31750 w 80596"/>
                <a:gd name="connsiteY1" fmla="*/ 0 h 80596"/>
                <a:gd name="connsiteX2" fmla="*/ 80596 w 80596"/>
                <a:gd name="connsiteY2" fmla="*/ 78154 h 80596"/>
                <a:gd name="connsiteX0" fmla="*/ 0 w 92807"/>
                <a:gd name="connsiteY0" fmla="*/ 75711 h 78154"/>
                <a:gd name="connsiteX1" fmla="*/ 43961 w 92807"/>
                <a:gd name="connsiteY1" fmla="*/ 0 h 78154"/>
                <a:gd name="connsiteX2" fmla="*/ 92807 w 92807"/>
                <a:gd name="connsiteY2" fmla="*/ 78154 h 7815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92807" h="78154">
                  <a:moveTo>
                    <a:pt x="0" y="75711"/>
                  </a:moveTo>
                  <a:lnTo>
                    <a:pt x="43961" y="0"/>
                  </a:lnTo>
                  <a:lnTo>
                    <a:pt x="92807" y="78154"/>
                  </a:lnTo>
                </a:path>
              </a:pathLst>
            </a:custGeom>
            <a:noFill/>
            <a:ln w="190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507" name="Freeform: Shape 223">
              <a:extLst>
                <a:ext uri="{FF2B5EF4-FFF2-40B4-BE49-F238E27FC236}">
                  <a16:creationId xmlns:a16="http://schemas.microsoft.com/office/drawing/2014/main" id="{00000000-0008-0000-0300-0000FB010000}"/>
                </a:ext>
              </a:extLst>
            </xdr:cNvPr>
            <xdr:cNvSpPr/>
          </xdr:nvSpPr>
          <xdr:spPr>
            <a:xfrm>
              <a:off x="5357813" y="10600812"/>
              <a:ext cx="397106" cy="244008"/>
            </a:xfrm>
            <a:custGeom>
              <a:avLst/>
              <a:gdLst>
                <a:gd name="connsiteX0" fmla="*/ 501463 w 518272"/>
                <a:gd name="connsiteY0" fmla="*/ 0 h 229721"/>
                <a:gd name="connsiteX1" fmla="*/ 22412 w 518272"/>
                <a:gd name="connsiteY1" fmla="*/ 0 h 229721"/>
                <a:gd name="connsiteX2" fmla="*/ 22412 w 518272"/>
                <a:gd name="connsiteY2" fmla="*/ 42022 h 229721"/>
                <a:gd name="connsiteX3" fmla="*/ 0 w 518272"/>
                <a:gd name="connsiteY3" fmla="*/ 42022 h 229721"/>
                <a:gd name="connsiteX4" fmla="*/ 0 w 518272"/>
                <a:gd name="connsiteY4" fmla="*/ 229721 h 229721"/>
                <a:gd name="connsiteX5" fmla="*/ 58831 w 518272"/>
                <a:gd name="connsiteY5" fmla="*/ 193302 h 229721"/>
                <a:gd name="connsiteX6" fmla="*/ 518272 w 518272"/>
                <a:gd name="connsiteY6" fmla="*/ 193302 h 229721"/>
                <a:gd name="connsiteX0" fmla="*/ 501463 w 501463"/>
                <a:gd name="connsiteY0" fmla="*/ 0 h 229721"/>
                <a:gd name="connsiteX1" fmla="*/ 22412 w 501463"/>
                <a:gd name="connsiteY1" fmla="*/ 0 h 229721"/>
                <a:gd name="connsiteX2" fmla="*/ 22412 w 501463"/>
                <a:gd name="connsiteY2" fmla="*/ 42022 h 229721"/>
                <a:gd name="connsiteX3" fmla="*/ 0 w 501463"/>
                <a:gd name="connsiteY3" fmla="*/ 42022 h 229721"/>
                <a:gd name="connsiteX4" fmla="*/ 0 w 501463"/>
                <a:gd name="connsiteY4" fmla="*/ 229721 h 229721"/>
                <a:gd name="connsiteX5" fmla="*/ 58831 w 501463"/>
                <a:gd name="connsiteY5" fmla="*/ 193302 h 229721"/>
                <a:gd name="connsiteX6" fmla="*/ 364191 w 501463"/>
                <a:gd name="connsiteY6" fmla="*/ 196104 h 229721"/>
                <a:gd name="connsiteX0" fmla="*/ 366992 w 366992"/>
                <a:gd name="connsiteY0" fmla="*/ 5603 h 229721"/>
                <a:gd name="connsiteX1" fmla="*/ 22412 w 366992"/>
                <a:gd name="connsiteY1" fmla="*/ 0 h 229721"/>
                <a:gd name="connsiteX2" fmla="*/ 22412 w 366992"/>
                <a:gd name="connsiteY2" fmla="*/ 42022 h 229721"/>
                <a:gd name="connsiteX3" fmla="*/ 0 w 366992"/>
                <a:gd name="connsiteY3" fmla="*/ 42022 h 229721"/>
                <a:gd name="connsiteX4" fmla="*/ 0 w 366992"/>
                <a:gd name="connsiteY4" fmla="*/ 229721 h 229721"/>
                <a:gd name="connsiteX5" fmla="*/ 58831 w 366992"/>
                <a:gd name="connsiteY5" fmla="*/ 193302 h 229721"/>
                <a:gd name="connsiteX6" fmla="*/ 364191 w 366992"/>
                <a:gd name="connsiteY6" fmla="*/ 196104 h 229721"/>
                <a:gd name="connsiteX0" fmla="*/ 358588 w 364191"/>
                <a:gd name="connsiteY0" fmla="*/ 5603 h 229721"/>
                <a:gd name="connsiteX1" fmla="*/ 22412 w 364191"/>
                <a:gd name="connsiteY1" fmla="*/ 0 h 229721"/>
                <a:gd name="connsiteX2" fmla="*/ 22412 w 364191"/>
                <a:gd name="connsiteY2" fmla="*/ 42022 h 229721"/>
                <a:gd name="connsiteX3" fmla="*/ 0 w 364191"/>
                <a:gd name="connsiteY3" fmla="*/ 42022 h 229721"/>
                <a:gd name="connsiteX4" fmla="*/ 0 w 364191"/>
                <a:gd name="connsiteY4" fmla="*/ 229721 h 229721"/>
                <a:gd name="connsiteX5" fmla="*/ 58831 w 364191"/>
                <a:gd name="connsiteY5" fmla="*/ 193302 h 229721"/>
                <a:gd name="connsiteX6" fmla="*/ 364191 w 364191"/>
                <a:gd name="connsiteY6" fmla="*/ 196104 h 229721"/>
                <a:gd name="connsiteX0" fmla="*/ 356207 w 364191"/>
                <a:gd name="connsiteY0" fmla="*/ 840 h 229721"/>
                <a:gd name="connsiteX1" fmla="*/ 22412 w 364191"/>
                <a:gd name="connsiteY1" fmla="*/ 0 h 229721"/>
                <a:gd name="connsiteX2" fmla="*/ 22412 w 364191"/>
                <a:gd name="connsiteY2" fmla="*/ 42022 h 229721"/>
                <a:gd name="connsiteX3" fmla="*/ 0 w 364191"/>
                <a:gd name="connsiteY3" fmla="*/ 42022 h 229721"/>
                <a:gd name="connsiteX4" fmla="*/ 0 w 364191"/>
                <a:gd name="connsiteY4" fmla="*/ 229721 h 229721"/>
                <a:gd name="connsiteX5" fmla="*/ 58831 w 364191"/>
                <a:gd name="connsiteY5" fmla="*/ 193302 h 229721"/>
                <a:gd name="connsiteX6" fmla="*/ 364191 w 364191"/>
                <a:gd name="connsiteY6" fmla="*/ 196104 h 229721"/>
                <a:gd name="connsiteX0" fmla="*/ 358588 w 364191"/>
                <a:gd name="connsiteY0" fmla="*/ 840 h 229721"/>
                <a:gd name="connsiteX1" fmla="*/ 22412 w 364191"/>
                <a:gd name="connsiteY1" fmla="*/ 0 h 229721"/>
                <a:gd name="connsiteX2" fmla="*/ 22412 w 364191"/>
                <a:gd name="connsiteY2" fmla="*/ 42022 h 229721"/>
                <a:gd name="connsiteX3" fmla="*/ 0 w 364191"/>
                <a:gd name="connsiteY3" fmla="*/ 42022 h 229721"/>
                <a:gd name="connsiteX4" fmla="*/ 0 w 364191"/>
                <a:gd name="connsiteY4" fmla="*/ 229721 h 229721"/>
                <a:gd name="connsiteX5" fmla="*/ 58831 w 364191"/>
                <a:gd name="connsiteY5" fmla="*/ 193302 h 229721"/>
                <a:gd name="connsiteX6" fmla="*/ 364191 w 364191"/>
                <a:gd name="connsiteY6" fmla="*/ 196104 h 229721"/>
                <a:gd name="connsiteX0" fmla="*/ 365732 w 365732"/>
                <a:gd name="connsiteY0" fmla="*/ 0 h 231262"/>
                <a:gd name="connsiteX1" fmla="*/ 22412 w 365732"/>
                <a:gd name="connsiteY1" fmla="*/ 1541 h 231262"/>
                <a:gd name="connsiteX2" fmla="*/ 22412 w 365732"/>
                <a:gd name="connsiteY2" fmla="*/ 43563 h 231262"/>
                <a:gd name="connsiteX3" fmla="*/ 0 w 365732"/>
                <a:gd name="connsiteY3" fmla="*/ 43563 h 231262"/>
                <a:gd name="connsiteX4" fmla="*/ 0 w 365732"/>
                <a:gd name="connsiteY4" fmla="*/ 231262 h 231262"/>
                <a:gd name="connsiteX5" fmla="*/ 58831 w 365732"/>
                <a:gd name="connsiteY5" fmla="*/ 194843 h 231262"/>
                <a:gd name="connsiteX6" fmla="*/ 364191 w 365732"/>
                <a:gd name="connsiteY6" fmla="*/ 197645 h 231262"/>
                <a:gd name="connsiteX0" fmla="*/ 372876 w 372876"/>
                <a:gd name="connsiteY0" fmla="*/ 0 h 231262"/>
                <a:gd name="connsiteX1" fmla="*/ 22412 w 372876"/>
                <a:gd name="connsiteY1" fmla="*/ 1541 h 231262"/>
                <a:gd name="connsiteX2" fmla="*/ 22412 w 372876"/>
                <a:gd name="connsiteY2" fmla="*/ 43563 h 231262"/>
                <a:gd name="connsiteX3" fmla="*/ 0 w 372876"/>
                <a:gd name="connsiteY3" fmla="*/ 43563 h 231262"/>
                <a:gd name="connsiteX4" fmla="*/ 0 w 372876"/>
                <a:gd name="connsiteY4" fmla="*/ 231262 h 231262"/>
                <a:gd name="connsiteX5" fmla="*/ 58831 w 372876"/>
                <a:gd name="connsiteY5" fmla="*/ 194843 h 231262"/>
                <a:gd name="connsiteX6" fmla="*/ 364191 w 372876"/>
                <a:gd name="connsiteY6" fmla="*/ 197645 h 231262"/>
                <a:gd name="connsiteX0" fmla="*/ 495523 w 495523"/>
                <a:gd name="connsiteY0" fmla="*/ 840 h 229721"/>
                <a:gd name="connsiteX1" fmla="*/ 22412 w 495523"/>
                <a:gd name="connsiteY1" fmla="*/ 0 h 229721"/>
                <a:gd name="connsiteX2" fmla="*/ 22412 w 495523"/>
                <a:gd name="connsiteY2" fmla="*/ 42022 h 229721"/>
                <a:gd name="connsiteX3" fmla="*/ 0 w 495523"/>
                <a:gd name="connsiteY3" fmla="*/ 42022 h 229721"/>
                <a:gd name="connsiteX4" fmla="*/ 0 w 495523"/>
                <a:gd name="connsiteY4" fmla="*/ 229721 h 229721"/>
                <a:gd name="connsiteX5" fmla="*/ 58831 w 495523"/>
                <a:gd name="connsiteY5" fmla="*/ 193302 h 229721"/>
                <a:gd name="connsiteX6" fmla="*/ 364191 w 495523"/>
                <a:gd name="connsiteY6" fmla="*/ 196104 h 229721"/>
                <a:gd name="connsiteX0" fmla="*/ 495523 w 495813"/>
                <a:gd name="connsiteY0" fmla="*/ 840 h 229721"/>
                <a:gd name="connsiteX1" fmla="*/ 22412 w 495813"/>
                <a:gd name="connsiteY1" fmla="*/ 0 h 229721"/>
                <a:gd name="connsiteX2" fmla="*/ 22412 w 495813"/>
                <a:gd name="connsiteY2" fmla="*/ 42022 h 229721"/>
                <a:gd name="connsiteX3" fmla="*/ 0 w 495813"/>
                <a:gd name="connsiteY3" fmla="*/ 42022 h 229721"/>
                <a:gd name="connsiteX4" fmla="*/ 0 w 495813"/>
                <a:gd name="connsiteY4" fmla="*/ 229721 h 229721"/>
                <a:gd name="connsiteX5" fmla="*/ 58831 w 495813"/>
                <a:gd name="connsiteY5" fmla="*/ 193302 h 229721"/>
                <a:gd name="connsiteX6" fmla="*/ 495813 w 495813"/>
                <a:gd name="connsiteY6" fmla="*/ 193723 h 229721"/>
                <a:gd name="connsiteX0" fmla="*/ 495523 w 495813"/>
                <a:gd name="connsiteY0" fmla="*/ 840 h 229721"/>
                <a:gd name="connsiteX1" fmla="*/ 22412 w 495813"/>
                <a:gd name="connsiteY1" fmla="*/ 0 h 229721"/>
                <a:gd name="connsiteX2" fmla="*/ 22412 w 495813"/>
                <a:gd name="connsiteY2" fmla="*/ 42022 h 229721"/>
                <a:gd name="connsiteX3" fmla="*/ 0 w 495813"/>
                <a:gd name="connsiteY3" fmla="*/ 42022 h 229721"/>
                <a:gd name="connsiteX4" fmla="*/ 0 w 495813"/>
                <a:gd name="connsiteY4" fmla="*/ 229721 h 229721"/>
                <a:gd name="connsiteX5" fmla="*/ 58831 w 495813"/>
                <a:gd name="connsiteY5" fmla="*/ 193302 h 229721"/>
                <a:gd name="connsiteX6" fmla="*/ 175588 w 495813"/>
                <a:gd name="connsiteY6" fmla="*/ 190500 h 229721"/>
                <a:gd name="connsiteX7" fmla="*/ 495813 w 495813"/>
                <a:gd name="connsiteY7" fmla="*/ 193723 h 229721"/>
                <a:gd name="connsiteX0" fmla="*/ 495523 w 495813"/>
                <a:gd name="connsiteY0" fmla="*/ 840 h 229721"/>
                <a:gd name="connsiteX1" fmla="*/ 22412 w 495813"/>
                <a:gd name="connsiteY1" fmla="*/ 0 h 229721"/>
                <a:gd name="connsiteX2" fmla="*/ 22412 w 495813"/>
                <a:gd name="connsiteY2" fmla="*/ 42022 h 229721"/>
                <a:gd name="connsiteX3" fmla="*/ 0 w 495813"/>
                <a:gd name="connsiteY3" fmla="*/ 42022 h 229721"/>
                <a:gd name="connsiteX4" fmla="*/ 0 w 495813"/>
                <a:gd name="connsiteY4" fmla="*/ 229721 h 229721"/>
                <a:gd name="connsiteX5" fmla="*/ 58831 w 495813"/>
                <a:gd name="connsiteY5" fmla="*/ 193302 h 229721"/>
                <a:gd name="connsiteX6" fmla="*/ 235416 w 495813"/>
                <a:gd name="connsiteY6" fmla="*/ 190500 h 229721"/>
                <a:gd name="connsiteX7" fmla="*/ 495813 w 495813"/>
                <a:gd name="connsiteY7" fmla="*/ 193723 h 229721"/>
                <a:gd name="connsiteX0" fmla="*/ 495523 w 495813"/>
                <a:gd name="connsiteY0" fmla="*/ 840 h 229721"/>
                <a:gd name="connsiteX1" fmla="*/ 22412 w 495813"/>
                <a:gd name="connsiteY1" fmla="*/ 0 h 229721"/>
                <a:gd name="connsiteX2" fmla="*/ 22412 w 495813"/>
                <a:gd name="connsiteY2" fmla="*/ 42022 h 229721"/>
                <a:gd name="connsiteX3" fmla="*/ 0 w 495813"/>
                <a:gd name="connsiteY3" fmla="*/ 42022 h 229721"/>
                <a:gd name="connsiteX4" fmla="*/ 0 w 495813"/>
                <a:gd name="connsiteY4" fmla="*/ 229721 h 229721"/>
                <a:gd name="connsiteX5" fmla="*/ 58831 w 495813"/>
                <a:gd name="connsiteY5" fmla="*/ 193302 h 229721"/>
                <a:gd name="connsiteX6" fmla="*/ 235416 w 495813"/>
                <a:gd name="connsiteY6" fmla="*/ 190500 h 229721"/>
                <a:gd name="connsiteX7" fmla="*/ 396953 w 495813"/>
                <a:gd name="connsiteY7" fmla="*/ 192881 h 229721"/>
                <a:gd name="connsiteX8" fmla="*/ 495813 w 495813"/>
                <a:gd name="connsiteY8" fmla="*/ 193723 h 229721"/>
                <a:gd name="connsiteX0" fmla="*/ 495523 w 495813"/>
                <a:gd name="connsiteY0" fmla="*/ 840 h 229721"/>
                <a:gd name="connsiteX1" fmla="*/ 22412 w 495813"/>
                <a:gd name="connsiteY1" fmla="*/ 0 h 229721"/>
                <a:gd name="connsiteX2" fmla="*/ 22412 w 495813"/>
                <a:gd name="connsiteY2" fmla="*/ 42022 h 229721"/>
                <a:gd name="connsiteX3" fmla="*/ 0 w 495813"/>
                <a:gd name="connsiteY3" fmla="*/ 42022 h 229721"/>
                <a:gd name="connsiteX4" fmla="*/ 0 w 495813"/>
                <a:gd name="connsiteY4" fmla="*/ 229721 h 229721"/>
                <a:gd name="connsiteX5" fmla="*/ 58831 w 495813"/>
                <a:gd name="connsiteY5" fmla="*/ 193302 h 229721"/>
                <a:gd name="connsiteX6" fmla="*/ 235416 w 495813"/>
                <a:gd name="connsiteY6" fmla="*/ 190500 h 229721"/>
                <a:gd name="connsiteX7" fmla="*/ 295244 w 495813"/>
                <a:gd name="connsiteY7" fmla="*/ 164306 h 229721"/>
                <a:gd name="connsiteX8" fmla="*/ 495813 w 495813"/>
                <a:gd name="connsiteY8" fmla="*/ 193723 h 229721"/>
                <a:gd name="connsiteX0" fmla="*/ 495523 w 501795"/>
                <a:gd name="connsiteY0" fmla="*/ 840 h 229721"/>
                <a:gd name="connsiteX1" fmla="*/ 22412 w 501795"/>
                <a:gd name="connsiteY1" fmla="*/ 0 h 229721"/>
                <a:gd name="connsiteX2" fmla="*/ 22412 w 501795"/>
                <a:gd name="connsiteY2" fmla="*/ 42022 h 229721"/>
                <a:gd name="connsiteX3" fmla="*/ 0 w 501795"/>
                <a:gd name="connsiteY3" fmla="*/ 42022 h 229721"/>
                <a:gd name="connsiteX4" fmla="*/ 0 w 501795"/>
                <a:gd name="connsiteY4" fmla="*/ 229721 h 229721"/>
                <a:gd name="connsiteX5" fmla="*/ 58831 w 501795"/>
                <a:gd name="connsiteY5" fmla="*/ 193302 h 229721"/>
                <a:gd name="connsiteX6" fmla="*/ 235416 w 501795"/>
                <a:gd name="connsiteY6" fmla="*/ 190500 h 229721"/>
                <a:gd name="connsiteX7" fmla="*/ 295244 w 501795"/>
                <a:gd name="connsiteY7" fmla="*/ 164306 h 229721"/>
                <a:gd name="connsiteX8" fmla="*/ 501795 w 501795"/>
                <a:gd name="connsiteY8" fmla="*/ 158004 h 229721"/>
                <a:gd name="connsiteX0" fmla="*/ 495523 w 507778"/>
                <a:gd name="connsiteY0" fmla="*/ 840 h 229721"/>
                <a:gd name="connsiteX1" fmla="*/ 22412 w 507778"/>
                <a:gd name="connsiteY1" fmla="*/ 0 h 229721"/>
                <a:gd name="connsiteX2" fmla="*/ 22412 w 507778"/>
                <a:gd name="connsiteY2" fmla="*/ 42022 h 229721"/>
                <a:gd name="connsiteX3" fmla="*/ 0 w 507778"/>
                <a:gd name="connsiteY3" fmla="*/ 42022 h 229721"/>
                <a:gd name="connsiteX4" fmla="*/ 0 w 507778"/>
                <a:gd name="connsiteY4" fmla="*/ 229721 h 229721"/>
                <a:gd name="connsiteX5" fmla="*/ 58831 w 507778"/>
                <a:gd name="connsiteY5" fmla="*/ 193302 h 229721"/>
                <a:gd name="connsiteX6" fmla="*/ 235416 w 507778"/>
                <a:gd name="connsiteY6" fmla="*/ 190500 h 229721"/>
                <a:gd name="connsiteX7" fmla="*/ 295244 w 507778"/>
                <a:gd name="connsiteY7" fmla="*/ 164306 h 229721"/>
                <a:gd name="connsiteX8" fmla="*/ 507778 w 507778"/>
                <a:gd name="connsiteY8" fmla="*/ 172291 h 229721"/>
                <a:gd name="connsiteX0" fmla="*/ 495523 w 495523"/>
                <a:gd name="connsiteY0" fmla="*/ 840 h 229721"/>
                <a:gd name="connsiteX1" fmla="*/ 22412 w 495523"/>
                <a:gd name="connsiteY1" fmla="*/ 0 h 229721"/>
                <a:gd name="connsiteX2" fmla="*/ 22412 w 495523"/>
                <a:gd name="connsiteY2" fmla="*/ 42022 h 229721"/>
                <a:gd name="connsiteX3" fmla="*/ 0 w 495523"/>
                <a:gd name="connsiteY3" fmla="*/ 42022 h 229721"/>
                <a:gd name="connsiteX4" fmla="*/ 0 w 495523"/>
                <a:gd name="connsiteY4" fmla="*/ 229721 h 229721"/>
                <a:gd name="connsiteX5" fmla="*/ 58831 w 495523"/>
                <a:gd name="connsiteY5" fmla="*/ 193302 h 229721"/>
                <a:gd name="connsiteX6" fmla="*/ 235416 w 495523"/>
                <a:gd name="connsiteY6" fmla="*/ 190500 h 229721"/>
                <a:gd name="connsiteX7" fmla="*/ 295244 w 495523"/>
                <a:gd name="connsiteY7" fmla="*/ 164306 h 229721"/>
                <a:gd name="connsiteX8" fmla="*/ 492821 w 495523"/>
                <a:gd name="connsiteY8" fmla="*/ 165147 h 229721"/>
                <a:gd name="connsiteX0" fmla="*/ 495523 w 495523"/>
                <a:gd name="connsiteY0" fmla="*/ 840 h 229721"/>
                <a:gd name="connsiteX1" fmla="*/ 142068 w 495523"/>
                <a:gd name="connsiteY1" fmla="*/ 0 h 229721"/>
                <a:gd name="connsiteX2" fmla="*/ 22412 w 495523"/>
                <a:gd name="connsiteY2" fmla="*/ 42022 h 229721"/>
                <a:gd name="connsiteX3" fmla="*/ 0 w 495523"/>
                <a:gd name="connsiteY3" fmla="*/ 42022 h 229721"/>
                <a:gd name="connsiteX4" fmla="*/ 0 w 495523"/>
                <a:gd name="connsiteY4" fmla="*/ 229721 h 229721"/>
                <a:gd name="connsiteX5" fmla="*/ 58831 w 495523"/>
                <a:gd name="connsiteY5" fmla="*/ 193302 h 229721"/>
                <a:gd name="connsiteX6" fmla="*/ 235416 w 495523"/>
                <a:gd name="connsiteY6" fmla="*/ 190500 h 229721"/>
                <a:gd name="connsiteX7" fmla="*/ 295244 w 495523"/>
                <a:gd name="connsiteY7" fmla="*/ 164306 h 229721"/>
                <a:gd name="connsiteX8" fmla="*/ 492821 w 495523"/>
                <a:gd name="connsiteY8" fmla="*/ 165147 h 229721"/>
                <a:gd name="connsiteX0" fmla="*/ 495523 w 495523"/>
                <a:gd name="connsiteY0" fmla="*/ 840 h 229721"/>
                <a:gd name="connsiteX1" fmla="*/ 142068 w 495523"/>
                <a:gd name="connsiteY1" fmla="*/ 0 h 229721"/>
                <a:gd name="connsiteX2" fmla="*/ 0 w 495523"/>
                <a:gd name="connsiteY2" fmla="*/ 42022 h 229721"/>
                <a:gd name="connsiteX3" fmla="*/ 0 w 495523"/>
                <a:gd name="connsiteY3" fmla="*/ 229721 h 229721"/>
                <a:gd name="connsiteX4" fmla="*/ 58831 w 495523"/>
                <a:gd name="connsiteY4" fmla="*/ 193302 h 229721"/>
                <a:gd name="connsiteX5" fmla="*/ 235416 w 495523"/>
                <a:gd name="connsiteY5" fmla="*/ 190500 h 229721"/>
                <a:gd name="connsiteX6" fmla="*/ 295244 w 495523"/>
                <a:gd name="connsiteY6" fmla="*/ 164306 h 229721"/>
                <a:gd name="connsiteX7" fmla="*/ 492821 w 495523"/>
                <a:gd name="connsiteY7" fmla="*/ 165147 h 229721"/>
                <a:gd name="connsiteX0" fmla="*/ 498757 w 498757"/>
                <a:gd name="connsiteY0" fmla="*/ 840 h 229721"/>
                <a:gd name="connsiteX1" fmla="*/ 145302 w 498757"/>
                <a:gd name="connsiteY1" fmla="*/ 0 h 229721"/>
                <a:gd name="connsiteX2" fmla="*/ 0 w 498757"/>
                <a:gd name="connsiteY2" fmla="*/ 49745 h 229721"/>
                <a:gd name="connsiteX3" fmla="*/ 3234 w 498757"/>
                <a:gd name="connsiteY3" fmla="*/ 229721 h 229721"/>
                <a:gd name="connsiteX4" fmla="*/ 62065 w 498757"/>
                <a:gd name="connsiteY4" fmla="*/ 193302 h 229721"/>
                <a:gd name="connsiteX5" fmla="*/ 238650 w 498757"/>
                <a:gd name="connsiteY5" fmla="*/ 190500 h 229721"/>
                <a:gd name="connsiteX6" fmla="*/ 298478 w 498757"/>
                <a:gd name="connsiteY6" fmla="*/ 164306 h 229721"/>
                <a:gd name="connsiteX7" fmla="*/ 496055 w 498757"/>
                <a:gd name="connsiteY7" fmla="*/ 165147 h 229721"/>
                <a:gd name="connsiteX0" fmla="*/ 498856 w 498856"/>
                <a:gd name="connsiteY0" fmla="*/ 840 h 229721"/>
                <a:gd name="connsiteX1" fmla="*/ 145401 w 498856"/>
                <a:gd name="connsiteY1" fmla="*/ 0 h 229721"/>
                <a:gd name="connsiteX2" fmla="*/ 99 w 498856"/>
                <a:gd name="connsiteY2" fmla="*/ 49745 h 229721"/>
                <a:gd name="connsiteX3" fmla="*/ 0 w 498856"/>
                <a:gd name="connsiteY3" fmla="*/ 188633 h 229721"/>
                <a:gd name="connsiteX4" fmla="*/ 3333 w 498856"/>
                <a:gd name="connsiteY4" fmla="*/ 229721 h 229721"/>
                <a:gd name="connsiteX5" fmla="*/ 62164 w 498856"/>
                <a:gd name="connsiteY5" fmla="*/ 193302 h 229721"/>
                <a:gd name="connsiteX6" fmla="*/ 238749 w 498856"/>
                <a:gd name="connsiteY6" fmla="*/ 190500 h 229721"/>
                <a:gd name="connsiteX7" fmla="*/ 298577 w 498856"/>
                <a:gd name="connsiteY7" fmla="*/ 164306 h 229721"/>
                <a:gd name="connsiteX8" fmla="*/ 496154 w 498856"/>
                <a:gd name="connsiteY8" fmla="*/ 165147 h 229721"/>
                <a:gd name="connsiteX0" fmla="*/ 498856 w 498856"/>
                <a:gd name="connsiteY0" fmla="*/ 840 h 232102"/>
                <a:gd name="connsiteX1" fmla="*/ 145401 w 498856"/>
                <a:gd name="connsiteY1" fmla="*/ 0 h 232102"/>
                <a:gd name="connsiteX2" fmla="*/ 99 w 498856"/>
                <a:gd name="connsiteY2" fmla="*/ 49745 h 232102"/>
                <a:gd name="connsiteX3" fmla="*/ 0 w 498856"/>
                <a:gd name="connsiteY3" fmla="*/ 188633 h 232102"/>
                <a:gd name="connsiteX4" fmla="*/ 42221 w 498856"/>
                <a:gd name="connsiteY4" fmla="*/ 232102 h 232102"/>
                <a:gd name="connsiteX5" fmla="*/ 62164 w 498856"/>
                <a:gd name="connsiteY5" fmla="*/ 193302 h 232102"/>
                <a:gd name="connsiteX6" fmla="*/ 238749 w 498856"/>
                <a:gd name="connsiteY6" fmla="*/ 190500 h 232102"/>
                <a:gd name="connsiteX7" fmla="*/ 298577 w 498856"/>
                <a:gd name="connsiteY7" fmla="*/ 164306 h 232102"/>
                <a:gd name="connsiteX8" fmla="*/ 496154 w 498856"/>
                <a:gd name="connsiteY8" fmla="*/ 165147 h 232102"/>
                <a:gd name="connsiteX0" fmla="*/ 498856 w 498856"/>
                <a:gd name="connsiteY0" fmla="*/ 840 h 232102"/>
                <a:gd name="connsiteX1" fmla="*/ 145401 w 498856"/>
                <a:gd name="connsiteY1" fmla="*/ 0 h 232102"/>
                <a:gd name="connsiteX2" fmla="*/ 99 w 498856"/>
                <a:gd name="connsiteY2" fmla="*/ 49745 h 232102"/>
                <a:gd name="connsiteX3" fmla="*/ 0 w 498856"/>
                <a:gd name="connsiteY3" fmla="*/ 188633 h 232102"/>
                <a:gd name="connsiteX4" fmla="*/ 33246 w 498856"/>
                <a:gd name="connsiteY4" fmla="*/ 232102 h 232102"/>
                <a:gd name="connsiteX5" fmla="*/ 62164 w 498856"/>
                <a:gd name="connsiteY5" fmla="*/ 193302 h 232102"/>
                <a:gd name="connsiteX6" fmla="*/ 238749 w 498856"/>
                <a:gd name="connsiteY6" fmla="*/ 190500 h 232102"/>
                <a:gd name="connsiteX7" fmla="*/ 298577 w 498856"/>
                <a:gd name="connsiteY7" fmla="*/ 164306 h 232102"/>
                <a:gd name="connsiteX8" fmla="*/ 496154 w 498856"/>
                <a:gd name="connsiteY8" fmla="*/ 165147 h 232102"/>
                <a:gd name="connsiteX0" fmla="*/ 498856 w 498856"/>
                <a:gd name="connsiteY0" fmla="*/ 840 h 244008"/>
                <a:gd name="connsiteX1" fmla="*/ 145401 w 498856"/>
                <a:gd name="connsiteY1" fmla="*/ 0 h 244008"/>
                <a:gd name="connsiteX2" fmla="*/ 99 w 498856"/>
                <a:gd name="connsiteY2" fmla="*/ 49745 h 244008"/>
                <a:gd name="connsiteX3" fmla="*/ 0 w 498856"/>
                <a:gd name="connsiteY3" fmla="*/ 188633 h 244008"/>
                <a:gd name="connsiteX4" fmla="*/ 39228 w 498856"/>
                <a:gd name="connsiteY4" fmla="*/ 244008 h 244008"/>
                <a:gd name="connsiteX5" fmla="*/ 62164 w 498856"/>
                <a:gd name="connsiteY5" fmla="*/ 193302 h 244008"/>
                <a:gd name="connsiteX6" fmla="*/ 238749 w 498856"/>
                <a:gd name="connsiteY6" fmla="*/ 190500 h 244008"/>
                <a:gd name="connsiteX7" fmla="*/ 298577 w 498856"/>
                <a:gd name="connsiteY7" fmla="*/ 164306 h 244008"/>
                <a:gd name="connsiteX8" fmla="*/ 496154 w 498856"/>
                <a:gd name="connsiteY8" fmla="*/ 165147 h 244008"/>
                <a:gd name="connsiteX0" fmla="*/ 498856 w 498856"/>
                <a:gd name="connsiteY0" fmla="*/ 840 h 244008"/>
                <a:gd name="connsiteX1" fmla="*/ 145401 w 498856"/>
                <a:gd name="connsiteY1" fmla="*/ 0 h 244008"/>
                <a:gd name="connsiteX2" fmla="*/ 99 w 498856"/>
                <a:gd name="connsiteY2" fmla="*/ 49745 h 244008"/>
                <a:gd name="connsiteX3" fmla="*/ 0 w 498856"/>
                <a:gd name="connsiteY3" fmla="*/ 188633 h 244008"/>
                <a:gd name="connsiteX4" fmla="*/ 39228 w 498856"/>
                <a:gd name="connsiteY4" fmla="*/ 244008 h 244008"/>
                <a:gd name="connsiteX5" fmla="*/ 77121 w 498856"/>
                <a:gd name="connsiteY5" fmla="*/ 193302 h 244008"/>
                <a:gd name="connsiteX6" fmla="*/ 238749 w 498856"/>
                <a:gd name="connsiteY6" fmla="*/ 190500 h 244008"/>
                <a:gd name="connsiteX7" fmla="*/ 298577 w 498856"/>
                <a:gd name="connsiteY7" fmla="*/ 164306 h 244008"/>
                <a:gd name="connsiteX8" fmla="*/ 496154 w 498856"/>
                <a:gd name="connsiteY8" fmla="*/ 165147 h 244008"/>
                <a:gd name="connsiteX0" fmla="*/ 498856 w 498856"/>
                <a:gd name="connsiteY0" fmla="*/ 840 h 244008"/>
                <a:gd name="connsiteX1" fmla="*/ 145401 w 498856"/>
                <a:gd name="connsiteY1" fmla="*/ 0 h 244008"/>
                <a:gd name="connsiteX2" fmla="*/ 3470 w 498856"/>
                <a:gd name="connsiteY2" fmla="*/ 4132 h 244008"/>
                <a:gd name="connsiteX3" fmla="*/ 0 w 498856"/>
                <a:gd name="connsiteY3" fmla="*/ 188633 h 244008"/>
                <a:gd name="connsiteX4" fmla="*/ 39228 w 498856"/>
                <a:gd name="connsiteY4" fmla="*/ 244008 h 244008"/>
                <a:gd name="connsiteX5" fmla="*/ 77121 w 498856"/>
                <a:gd name="connsiteY5" fmla="*/ 193302 h 244008"/>
                <a:gd name="connsiteX6" fmla="*/ 238749 w 498856"/>
                <a:gd name="connsiteY6" fmla="*/ 190500 h 244008"/>
                <a:gd name="connsiteX7" fmla="*/ 298577 w 498856"/>
                <a:gd name="connsiteY7" fmla="*/ 164306 h 244008"/>
                <a:gd name="connsiteX8" fmla="*/ 496154 w 498856"/>
                <a:gd name="connsiteY8" fmla="*/ 165147 h 244008"/>
                <a:gd name="connsiteX0" fmla="*/ 498856 w 498856"/>
                <a:gd name="connsiteY0" fmla="*/ 840 h 244008"/>
                <a:gd name="connsiteX1" fmla="*/ 145401 w 498856"/>
                <a:gd name="connsiteY1" fmla="*/ 0 h 244008"/>
                <a:gd name="connsiteX2" fmla="*/ 477 w 498856"/>
                <a:gd name="connsiteY2" fmla="*/ 30325 h 244008"/>
                <a:gd name="connsiteX3" fmla="*/ 0 w 498856"/>
                <a:gd name="connsiteY3" fmla="*/ 188633 h 244008"/>
                <a:gd name="connsiteX4" fmla="*/ 39228 w 498856"/>
                <a:gd name="connsiteY4" fmla="*/ 244008 h 244008"/>
                <a:gd name="connsiteX5" fmla="*/ 77121 w 498856"/>
                <a:gd name="connsiteY5" fmla="*/ 193302 h 244008"/>
                <a:gd name="connsiteX6" fmla="*/ 238749 w 498856"/>
                <a:gd name="connsiteY6" fmla="*/ 190500 h 244008"/>
                <a:gd name="connsiteX7" fmla="*/ 298577 w 498856"/>
                <a:gd name="connsiteY7" fmla="*/ 164306 h 244008"/>
                <a:gd name="connsiteX8" fmla="*/ 496154 w 498856"/>
                <a:gd name="connsiteY8" fmla="*/ 165147 h 244008"/>
                <a:gd name="connsiteX0" fmla="*/ 498856 w 498856"/>
                <a:gd name="connsiteY0" fmla="*/ 840 h 244008"/>
                <a:gd name="connsiteX1" fmla="*/ 67624 w 498856"/>
                <a:gd name="connsiteY1" fmla="*/ 0 h 244008"/>
                <a:gd name="connsiteX2" fmla="*/ 477 w 498856"/>
                <a:gd name="connsiteY2" fmla="*/ 30325 h 244008"/>
                <a:gd name="connsiteX3" fmla="*/ 0 w 498856"/>
                <a:gd name="connsiteY3" fmla="*/ 188633 h 244008"/>
                <a:gd name="connsiteX4" fmla="*/ 39228 w 498856"/>
                <a:gd name="connsiteY4" fmla="*/ 244008 h 244008"/>
                <a:gd name="connsiteX5" fmla="*/ 77121 w 498856"/>
                <a:gd name="connsiteY5" fmla="*/ 193302 h 244008"/>
                <a:gd name="connsiteX6" fmla="*/ 238749 w 498856"/>
                <a:gd name="connsiteY6" fmla="*/ 190500 h 244008"/>
                <a:gd name="connsiteX7" fmla="*/ 298577 w 498856"/>
                <a:gd name="connsiteY7" fmla="*/ 164306 h 244008"/>
                <a:gd name="connsiteX8" fmla="*/ 496154 w 498856"/>
                <a:gd name="connsiteY8" fmla="*/ 165147 h 24400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498856" h="244008">
                  <a:moveTo>
                    <a:pt x="498856" y="840"/>
                  </a:moveTo>
                  <a:lnTo>
                    <a:pt x="67624" y="0"/>
                  </a:lnTo>
                  <a:lnTo>
                    <a:pt x="477" y="30325"/>
                  </a:lnTo>
                  <a:cubicBezTo>
                    <a:pt x="-680" y="91825"/>
                    <a:pt x="1157" y="127133"/>
                    <a:pt x="0" y="188633"/>
                  </a:cubicBezTo>
                  <a:lnTo>
                    <a:pt x="39228" y="244008"/>
                  </a:lnTo>
                  <a:lnTo>
                    <a:pt x="77121" y="193302"/>
                  </a:lnTo>
                  <a:lnTo>
                    <a:pt x="238749" y="190500"/>
                  </a:lnTo>
                  <a:lnTo>
                    <a:pt x="298577" y="164306"/>
                  </a:lnTo>
                  <a:lnTo>
                    <a:pt x="496154" y="165147"/>
                  </a:lnTo>
                </a:path>
              </a:pathLst>
            </a:cu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508" name="Straight Arrow Connector 224">
              <a:extLst>
                <a:ext uri="{FF2B5EF4-FFF2-40B4-BE49-F238E27FC236}">
                  <a16:creationId xmlns:a16="http://schemas.microsoft.com/office/drawing/2014/main" id="{00000000-0008-0000-0300-0000FC010000}"/>
                </a:ext>
              </a:extLst>
            </xdr:cNvPr>
            <xdr:cNvCxnSpPr/>
          </xdr:nvCxnSpPr>
          <xdr:spPr>
            <a:xfrm flipH="1">
              <a:off x="5474421" y="10868025"/>
              <a:ext cx="111992" cy="2566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09" name="Straight Arrow Connector 225">
              <a:extLst>
                <a:ext uri="{FF2B5EF4-FFF2-40B4-BE49-F238E27FC236}">
                  <a16:creationId xmlns:a16="http://schemas.microsoft.com/office/drawing/2014/main" id="{00000000-0008-0000-0300-0000FD010000}"/>
                </a:ext>
              </a:extLst>
            </xdr:cNvPr>
            <xdr:cNvCxnSpPr/>
          </xdr:nvCxnSpPr>
          <xdr:spPr>
            <a:xfrm>
              <a:off x="5264944" y="10868025"/>
              <a:ext cx="104788" cy="817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510" name="Group 226">
              <a:extLst>
                <a:ext uri="{FF2B5EF4-FFF2-40B4-BE49-F238E27FC236}">
                  <a16:creationId xmlns:a16="http://schemas.microsoft.com/office/drawing/2014/main" id="{00000000-0008-0000-0300-0000FE010000}"/>
                </a:ext>
              </a:extLst>
            </xdr:cNvPr>
            <xdr:cNvGrpSpPr/>
          </xdr:nvGrpSpPr>
          <xdr:grpSpPr>
            <a:xfrm>
              <a:off x="5735567" y="10600812"/>
              <a:ext cx="36000" cy="162000"/>
              <a:chOff x="5747921" y="9498806"/>
              <a:chExt cx="36137" cy="192882"/>
            </a:xfrm>
          </xdr:grpSpPr>
          <xdr:sp macro="" textlink="">
            <xdr:nvSpPr>
              <xdr:cNvPr id="64" name="Freeform: Shape 228">
                <a:extLst>
                  <a:ext uri="{FF2B5EF4-FFF2-40B4-BE49-F238E27FC236}">
                    <a16:creationId xmlns:a16="http://schemas.microsoft.com/office/drawing/2014/main" id="{00000000-0008-0000-0300-000040000000}"/>
                  </a:ext>
                </a:extLst>
              </xdr:cNvPr>
              <xdr:cNvSpPr/>
            </xdr:nvSpPr>
            <xdr:spPr>
              <a:xfrm>
                <a:off x="5747921" y="9498806"/>
                <a:ext cx="36137" cy="192882"/>
              </a:xfrm>
              <a:custGeom>
                <a:avLst/>
                <a:gdLst>
                  <a:gd name="connsiteX0" fmla="*/ 23848 w 45396"/>
                  <a:gd name="connsiteY0" fmla="*/ 192882 h 192882"/>
                  <a:gd name="connsiteX1" fmla="*/ 36 w 45396"/>
                  <a:gd name="connsiteY1" fmla="*/ 145257 h 192882"/>
                  <a:gd name="connsiteX2" fmla="*/ 19086 w 45396"/>
                  <a:gd name="connsiteY2" fmla="*/ 92869 h 192882"/>
                  <a:gd name="connsiteX3" fmla="*/ 45279 w 45396"/>
                  <a:gd name="connsiteY3" fmla="*/ 42863 h 192882"/>
                  <a:gd name="connsiteX4" fmla="*/ 26229 w 45396"/>
                  <a:gd name="connsiteY4" fmla="*/ 0 h 19288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45396" h="192882">
                    <a:moveTo>
                      <a:pt x="23848" y="192882"/>
                    </a:moveTo>
                    <a:cubicBezTo>
                      <a:pt x="12339" y="177404"/>
                      <a:pt x="830" y="161926"/>
                      <a:pt x="36" y="145257"/>
                    </a:cubicBezTo>
                    <a:cubicBezTo>
                      <a:pt x="-758" y="128588"/>
                      <a:pt x="11546" y="109935"/>
                      <a:pt x="19086" y="92869"/>
                    </a:cubicBezTo>
                    <a:cubicBezTo>
                      <a:pt x="26626" y="75803"/>
                      <a:pt x="44089" y="58341"/>
                      <a:pt x="45279" y="42863"/>
                    </a:cubicBezTo>
                    <a:cubicBezTo>
                      <a:pt x="46470" y="27385"/>
                      <a:pt x="38532" y="32544"/>
                      <a:pt x="26229" y="0"/>
                    </a:cubicBezTo>
                  </a:path>
                </a:pathLst>
              </a:custGeom>
              <a:noFill/>
              <a:ln w="635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/>
              </a:p>
            </xdr:txBody>
          </xdr:sp>
          <xdr:sp macro="" textlink="">
            <xdr:nvSpPr>
              <xdr:cNvPr id="65" name="Freeform: Shape 229">
                <a:extLst>
                  <a:ext uri="{FF2B5EF4-FFF2-40B4-BE49-F238E27FC236}">
                    <a16:creationId xmlns:a16="http://schemas.microsoft.com/office/drawing/2014/main" id="{00000000-0008-0000-0300-000041000000}"/>
                  </a:ext>
                </a:extLst>
              </xdr:cNvPr>
              <xdr:cNvSpPr/>
            </xdr:nvSpPr>
            <xdr:spPr>
              <a:xfrm>
                <a:off x="5765010" y="9596438"/>
                <a:ext cx="18991" cy="95250"/>
              </a:xfrm>
              <a:custGeom>
                <a:avLst/>
                <a:gdLst>
                  <a:gd name="connsiteX0" fmla="*/ 4763 w 23857"/>
                  <a:gd name="connsiteY0" fmla="*/ 95250 h 95250"/>
                  <a:gd name="connsiteX1" fmla="*/ 23813 w 23857"/>
                  <a:gd name="connsiteY1" fmla="*/ 35718 h 95250"/>
                  <a:gd name="connsiteX2" fmla="*/ 0 w 23857"/>
                  <a:gd name="connsiteY2" fmla="*/ 0 h 9525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</a:cxnLst>
                <a:rect l="l" t="t" r="r" b="b"/>
                <a:pathLst>
                  <a:path w="23857" h="95250">
                    <a:moveTo>
                      <a:pt x="4763" y="95250"/>
                    </a:moveTo>
                    <a:cubicBezTo>
                      <a:pt x="14685" y="73421"/>
                      <a:pt x="24607" y="51593"/>
                      <a:pt x="23813" y="35718"/>
                    </a:cubicBezTo>
                    <a:cubicBezTo>
                      <a:pt x="23019" y="19843"/>
                      <a:pt x="7541" y="14287"/>
                      <a:pt x="0" y="0"/>
                    </a:cubicBezTo>
                  </a:path>
                </a:pathLst>
              </a:custGeom>
              <a:noFill/>
              <a:ln w="635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/>
              </a:p>
            </xdr:txBody>
          </xdr:sp>
        </xdr:grpSp>
        <xdr:sp macro="" textlink="">
          <xdr:nvSpPr>
            <xdr:cNvPr id="511" name="Arc 510">
              <a:extLst>
                <a:ext uri="{FF2B5EF4-FFF2-40B4-BE49-F238E27FC236}">
                  <a16:creationId xmlns:a16="http://schemas.microsoft.com/office/drawing/2014/main" id="{00000000-0008-0000-0300-0000FF010000}"/>
                </a:ext>
              </a:extLst>
            </xdr:cNvPr>
            <xdr:cNvSpPr/>
          </xdr:nvSpPr>
          <xdr:spPr>
            <a:xfrm>
              <a:off x="5261022" y="10591800"/>
              <a:ext cx="337236" cy="370703"/>
            </a:xfrm>
            <a:prstGeom prst="arc">
              <a:avLst>
                <a:gd name="adj1" fmla="val 17284102"/>
                <a:gd name="adj2" fmla="val 21389269"/>
              </a:avLst>
            </a:prstGeom>
            <a:ln w="63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</xdr:grpSp>
      <xdr:grpSp>
        <xdr:nvGrpSpPr>
          <xdr:cNvPr id="14" name="Group 456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pSpPr/>
        </xdr:nvGrpSpPr>
        <xdr:grpSpPr>
          <a:xfrm>
            <a:off x="3106132" y="6075047"/>
            <a:ext cx="227603" cy="342470"/>
            <a:chOff x="5356790" y="6948354"/>
            <a:chExt cx="352241" cy="545306"/>
          </a:xfrm>
        </xdr:grpSpPr>
        <xdr:sp macro="" textlink="">
          <xdr:nvSpPr>
            <xdr:cNvPr id="500" name="Rectangle: Top Corners Snipped 457">
              <a:extLst>
                <a:ext uri="{FF2B5EF4-FFF2-40B4-BE49-F238E27FC236}">
                  <a16:creationId xmlns:a16="http://schemas.microsoft.com/office/drawing/2014/main" id="{00000000-0008-0000-0300-0000F4010000}"/>
                </a:ext>
              </a:extLst>
            </xdr:cNvPr>
            <xdr:cNvSpPr/>
          </xdr:nvSpPr>
          <xdr:spPr>
            <a:xfrm rot="5400000">
              <a:off x="5392275" y="7055642"/>
              <a:ext cx="36000" cy="106969"/>
            </a:xfrm>
            <a:prstGeom prst="snip2SameRect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501" name="Freeform: Shape 458">
              <a:extLst>
                <a:ext uri="{FF2B5EF4-FFF2-40B4-BE49-F238E27FC236}">
                  <a16:creationId xmlns:a16="http://schemas.microsoft.com/office/drawing/2014/main" id="{00000000-0008-0000-0300-0000F5010000}"/>
                </a:ext>
              </a:extLst>
            </xdr:cNvPr>
            <xdr:cNvSpPr/>
          </xdr:nvSpPr>
          <xdr:spPr>
            <a:xfrm>
              <a:off x="5358987" y="7119804"/>
              <a:ext cx="350044" cy="373856"/>
            </a:xfrm>
            <a:custGeom>
              <a:avLst/>
              <a:gdLst>
                <a:gd name="connsiteX0" fmla="*/ 114300 w 350044"/>
                <a:gd name="connsiteY0" fmla="*/ 373856 h 373856"/>
                <a:gd name="connsiteX1" fmla="*/ 114300 w 350044"/>
                <a:gd name="connsiteY1" fmla="*/ 204787 h 373856"/>
                <a:gd name="connsiteX2" fmla="*/ 54769 w 350044"/>
                <a:gd name="connsiteY2" fmla="*/ 204787 h 373856"/>
                <a:gd name="connsiteX3" fmla="*/ 0 w 350044"/>
                <a:gd name="connsiteY3" fmla="*/ 0 h 373856"/>
                <a:gd name="connsiteX4" fmla="*/ 169069 w 350044"/>
                <a:gd name="connsiteY4" fmla="*/ 0 h 373856"/>
                <a:gd name="connsiteX5" fmla="*/ 350044 w 350044"/>
                <a:gd name="connsiteY5" fmla="*/ 147637 h 373856"/>
                <a:gd name="connsiteX6" fmla="*/ 350044 w 350044"/>
                <a:gd name="connsiteY6" fmla="*/ 354806 h 37385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50044" h="373856">
                  <a:moveTo>
                    <a:pt x="114300" y="373856"/>
                  </a:moveTo>
                  <a:lnTo>
                    <a:pt x="114300" y="204787"/>
                  </a:lnTo>
                  <a:lnTo>
                    <a:pt x="54769" y="204787"/>
                  </a:lnTo>
                  <a:lnTo>
                    <a:pt x="0" y="0"/>
                  </a:lnTo>
                  <a:lnTo>
                    <a:pt x="169069" y="0"/>
                  </a:lnTo>
                  <a:lnTo>
                    <a:pt x="350044" y="147637"/>
                  </a:lnTo>
                  <a:lnTo>
                    <a:pt x="350044" y="354806"/>
                  </a:lnTo>
                </a:path>
              </a:pathLst>
            </a:cu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502" name="Straight Connector 459">
              <a:extLst>
                <a:ext uri="{FF2B5EF4-FFF2-40B4-BE49-F238E27FC236}">
                  <a16:creationId xmlns:a16="http://schemas.microsoft.com/office/drawing/2014/main" id="{00000000-0008-0000-0300-0000F6010000}"/>
                </a:ext>
              </a:extLst>
            </xdr:cNvPr>
            <xdr:cNvCxnSpPr>
              <a:stCxn id="501" idx="1"/>
            </xdr:cNvCxnSpPr>
          </xdr:nvCxnSpPr>
          <xdr:spPr>
            <a:xfrm>
              <a:off x="5473287" y="7324591"/>
              <a:ext cx="235743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03" name="Straight Arrow Connector 460">
              <a:extLst>
                <a:ext uri="{FF2B5EF4-FFF2-40B4-BE49-F238E27FC236}">
                  <a16:creationId xmlns:a16="http://schemas.microsoft.com/office/drawing/2014/main" id="{00000000-0008-0000-0300-0000F7010000}"/>
                </a:ext>
              </a:extLst>
            </xdr:cNvPr>
            <xdr:cNvCxnSpPr/>
          </xdr:nvCxnSpPr>
          <xdr:spPr>
            <a:xfrm>
              <a:off x="5422719" y="6948354"/>
              <a:ext cx="0" cy="132788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04" name="Straight Arrow Connector 461">
              <a:extLst>
                <a:ext uri="{FF2B5EF4-FFF2-40B4-BE49-F238E27FC236}">
                  <a16:creationId xmlns:a16="http://schemas.microsoft.com/office/drawing/2014/main" id="{00000000-0008-0000-0300-0000F8010000}"/>
                </a:ext>
              </a:extLst>
            </xdr:cNvPr>
            <xdr:cNvCxnSpPr/>
          </xdr:nvCxnSpPr>
          <xdr:spPr>
            <a:xfrm rot="16200000">
              <a:off x="5370801" y="7188861"/>
              <a:ext cx="112865" cy="1297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5" name="Group 462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GrpSpPr/>
        </xdr:nvGrpSpPr>
        <xdr:grpSpPr>
          <a:xfrm>
            <a:off x="3133709" y="6380456"/>
            <a:ext cx="192332" cy="397432"/>
            <a:chOff x="5191126" y="7460456"/>
            <a:chExt cx="297655" cy="632076"/>
          </a:xfrm>
        </xdr:grpSpPr>
        <xdr:sp macro="" textlink="">
          <xdr:nvSpPr>
            <xdr:cNvPr id="495" name="Rectangle: Top Corners Snipped 463">
              <a:extLst>
                <a:ext uri="{FF2B5EF4-FFF2-40B4-BE49-F238E27FC236}">
                  <a16:creationId xmlns:a16="http://schemas.microsoft.com/office/drawing/2014/main" id="{00000000-0008-0000-0300-0000EF010000}"/>
                </a:ext>
              </a:extLst>
            </xdr:cNvPr>
            <xdr:cNvSpPr/>
          </xdr:nvSpPr>
          <xdr:spPr>
            <a:xfrm>
              <a:off x="5241132" y="7586664"/>
              <a:ext cx="66674" cy="52758"/>
            </a:xfrm>
            <a:prstGeom prst="snip2SameRect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496" name="Freeform: Shape 464">
              <a:extLst>
                <a:ext uri="{FF2B5EF4-FFF2-40B4-BE49-F238E27FC236}">
                  <a16:creationId xmlns:a16="http://schemas.microsoft.com/office/drawing/2014/main" id="{00000000-0008-0000-0300-0000F0010000}"/>
                </a:ext>
              </a:extLst>
            </xdr:cNvPr>
            <xdr:cNvSpPr/>
          </xdr:nvSpPr>
          <xdr:spPr>
            <a:xfrm>
              <a:off x="5243513" y="7622380"/>
              <a:ext cx="245268" cy="470152"/>
            </a:xfrm>
            <a:custGeom>
              <a:avLst/>
              <a:gdLst>
                <a:gd name="connsiteX0" fmla="*/ 40481 w 195262"/>
                <a:gd name="connsiteY0" fmla="*/ 414338 h 438150"/>
                <a:gd name="connsiteX1" fmla="*/ 38100 w 195262"/>
                <a:gd name="connsiteY1" fmla="*/ 283369 h 438150"/>
                <a:gd name="connsiteX2" fmla="*/ 0 w 195262"/>
                <a:gd name="connsiteY2" fmla="*/ 283369 h 438150"/>
                <a:gd name="connsiteX3" fmla="*/ 0 w 195262"/>
                <a:gd name="connsiteY3" fmla="*/ 0 h 438150"/>
                <a:gd name="connsiteX4" fmla="*/ 47625 w 195262"/>
                <a:gd name="connsiteY4" fmla="*/ 0 h 438150"/>
                <a:gd name="connsiteX5" fmla="*/ 47625 w 195262"/>
                <a:gd name="connsiteY5" fmla="*/ 169069 h 438150"/>
                <a:gd name="connsiteX6" fmla="*/ 126206 w 195262"/>
                <a:gd name="connsiteY6" fmla="*/ 169069 h 438150"/>
                <a:gd name="connsiteX7" fmla="*/ 195262 w 195262"/>
                <a:gd name="connsiteY7" fmla="*/ 238125 h 438150"/>
                <a:gd name="connsiteX8" fmla="*/ 195262 w 195262"/>
                <a:gd name="connsiteY8" fmla="*/ 438150 h 438150"/>
                <a:gd name="connsiteX0" fmla="*/ 40481 w 195262"/>
                <a:gd name="connsiteY0" fmla="*/ 377965 h 438150"/>
                <a:gd name="connsiteX1" fmla="*/ 38100 w 195262"/>
                <a:gd name="connsiteY1" fmla="*/ 283369 h 438150"/>
                <a:gd name="connsiteX2" fmla="*/ 0 w 195262"/>
                <a:gd name="connsiteY2" fmla="*/ 283369 h 438150"/>
                <a:gd name="connsiteX3" fmla="*/ 0 w 195262"/>
                <a:gd name="connsiteY3" fmla="*/ 0 h 438150"/>
                <a:gd name="connsiteX4" fmla="*/ 47625 w 195262"/>
                <a:gd name="connsiteY4" fmla="*/ 0 h 438150"/>
                <a:gd name="connsiteX5" fmla="*/ 47625 w 195262"/>
                <a:gd name="connsiteY5" fmla="*/ 169069 h 438150"/>
                <a:gd name="connsiteX6" fmla="*/ 126206 w 195262"/>
                <a:gd name="connsiteY6" fmla="*/ 169069 h 438150"/>
                <a:gd name="connsiteX7" fmla="*/ 195262 w 195262"/>
                <a:gd name="connsiteY7" fmla="*/ 238125 h 438150"/>
                <a:gd name="connsiteX8" fmla="*/ 195262 w 195262"/>
                <a:gd name="connsiteY8" fmla="*/ 438150 h 438150"/>
                <a:gd name="connsiteX0" fmla="*/ 40481 w 195262"/>
                <a:gd name="connsiteY0" fmla="*/ 377965 h 396035"/>
                <a:gd name="connsiteX1" fmla="*/ 38100 w 195262"/>
                <a:gd name="connsiteY1" fmla="*/ 283369 h 396035"/>
                <a:gd name="connsiteX2" fmla="*/ 0 w 195262"/>
                <a:gd name="connsiteY2" fmla="*/ 283369 h 396035"/>
                <a:gd name="connsiteX3" fmla="*/ 0 w 195262"/>
                <a:gd name="connsiteY3" fmla="*/ 0 h 396035"/>
                <a:gd name="connsiteX4" fmla="*/ 47625 w 195262"/>
                <a:gd name="connsiteY4" fmla="*/ 0 h 396035"/>
                <a:gd name="connsiteX5" fmla="*/ 47625 w 195262"/>
                <a:gd name="connsiteY5" fmla="*/ 169069 h 396035"/>
                <a:gd name="connsiteX6" fmla="*/ 126206 w 195262"/>
                <a:gd name="connsiteY6" fmla="*/ 169069 h 396035"/>
                <a:gd name="connsiteX7" fmla="*/ 195262 w 195262"/>
                <a:gd name="connsiteY7" fmla="*/ 238125 h 396035"/>
                <a:gd name="connsiteX8" fmla="*/ 195262 w 195262"/>
                <a:gd name="connsiteY8" fmla="*/ 396035 h 396035"/>
                <a:gd name="connsiteX0" fmla="*/ 40481 w 197176"/>
                <a:gd name="connsiteY0" fmla="*/ 377965 h 377965"/>
                <a:gd name="connsiteX1" fmla="*/ 38100 w 197176"/>
                <a:gd name="connsiteY1" fmla="*/ 283369 h 377965"/>
                <a:gd name="connsiteX2" fmla="*/ 0 w 197176"/>
                <a:gd name="connsiteY2" fmla="*/ 283369 h 377965"/>
                <a:gd name="connsiteX3" fmla="*/ 0 w 197176"/>
                <a:gd name="connsiteY3" fmla="*/ 0 h 377965"/>
                <a:gd name="connsiteX4" fmla="*/ 47625 w 197176"/>
                <a:gd name="connsiteY4" fmla="*/ 0 h 377965"/>
                <a:gd name="connsiteX5" fmla="*/ 47625 w 197176"/>
                <a:gd name="connsiteY5" fmla="*/ 169069 h 377965"/>
                <a:gd name="connsiteX6" fmla="*/ 126206 w 197176"/>
                <a:gd name="connsiteY6" fmla="*/ 169069 h 377965"/>
                <a:gd name="connsiteX7" fmla="*/ 195262 w 197176"/>
                <a:gd name="connsiteY7" fmla="*/ 238125 h 377965"/>
                <a:gd name="connsiteX8" fmla="*/ 197176 w 197176"/>
                <a:gd name="connsiteY8" fmla="*/ 353919 h 37796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97176" h="377965">
                  <a:moveTo>
                    <a:pt x="40481" y="377965"/>
                  </a:moveTo>
                  <a:cubicBezTo>
                    <a:pt x="39687" y="334309"/>
                    <a:pt x="38894" y="327025"/>
                    <a:pt x="38100" y="283369"/>
                  </a:cubicBezTo>
                  <a:lnTo>
                    <a:pt x="0" y="283369"/>
                  </a:lnTo>
                  <a:lnTo>
                    <a:pt x="0" y="0"/>
                  </a:lnTo>
                  <a:lnTo>
                    <a:pt x="47625" y="0"/>
                  </a:lnTo>
                  <a:lnTo>
                    <a:pt x="47625" y="169069"/>
                  </a:lnTo>
                  <a:lnTo>
                    <a:pt x="126206" y="169069"/>
                  </a:lnTo>
                  <a:lnTo>
                    <a:pt x="195262" y="238125"/>
                  </a:lnTo>
                  <a:lnTo>
                    <a:pt x="197176" y="353919"/>
                  </a:lnTo>
                </a:path>
              </a:pathLst>
            </a:cu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497" name="Straight Connector 465">
              <a:extLst>
                <a:ext uri="{FF2B5EF4-FFF2-40B4-BE49-F238E27FC236}">
                  <a16:creationId xmlns:a16="http://schemas.microsoft.com/office/drawing/2014/main" id="{00000000-0008-0000-0300-0000F1010000}"/>
                </a:ext>
              </a:extLst>
            </xdr:cNvPr>
            <xdr:cNvCxnSpPr>
              <a:stCxn id="496" idx="1"/>
            </xdr:cNvCxnSpPr>
          </xdr:nvCxnSpPr>
          <xdr:spPr>
            <a:xfrm flipV="1">
              <a:off x="5290906" y="7972425"/>
              <a:ext cx="195490" cy="2439"/>
            </a:xfrm>
            <a:prstGeom prst="line">
              <a:avLst/>
            </a:prstGeom>
            <a:ln w="63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8" name="Straight Arrow Connector 466">
              <a:extLst>
                <a:ext uri="{FF2B5EF4-FFF2-40B4-BE49-F238E27FC236}">
                  <a16:creationId xmlns:a16="http://schemas.microsoft.com/office/drawing/2014/main" id="{00000000-0008-0000-0300-0000F2010000}"/>
                </a:ext>
              </a:extLst>
            </xdr:cNvPr>
            <xdr:cNvCxnSpPr/>
          </xdr:nvCxnSpPr>
          <xdr:spPr>
            <a:xfrm flipH="1" flipV="1">
              <a:off x="5191128" y="7634288"/>
              <a:ext cx="2381" cy="126207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9" name="Straight Arrow Connector 467">
              <a:extLst>
                <a:ext uri="{FF2B5EF4-FFF2-40B4-BE49-F238E27FC236}">
                  <a16:creationId xmlns:a16="http://schemas.microsoft.com/office/drawing/2014/main" id="{00000000-0008-0000-0300-0000F3010000}"/>
                </a:ext>
              </a:extLst>
            </xdr:cNvPr>
            <xdr:cNvCxnSpPr/>
          </xdr:nvCxnSpPr>
          <xdr:spPr>
            <a:xfrm>
              <a:off x="5191126" y="7460456"/>
              <a:ext cx="0" cy="116682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6" name="Group 479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pSpPr/>
        </xdr:nvGrpSpPr>
        <xdr:grpSpPr>
          <a:xfrm>
            <a:off x="3094657" y="6808719"/>
            <a:ext cx="233783" cy="326415"/>
            <a:chOff x="5386813" y="8704309"/>
            <a:chExt cx="361805" cy="515331"/>
          </a:xfrm>
        </xdr:grpSpPr>
        <xdr:sp macro="" textlink="">
          <xdr:nvSpPr>
            <xdr:cNvPr id="488" name="Rectangle: Top Corners Snipped 480">
              <a:extLst>
                <a:ext uri="{FF2B5EF4-FFF2-40B4-BE49-F238E27FC236}">
                  <a16:creationId xmlns:a16="http://schemas.microsoft.com/office/drawing/2014/main" id="{00000000-0008-0000-0300-0000E8010000}"/>
                </a:ext>
              </a:extLst>
            </xdr:cNvPr>
            <xdr:cNvSpPr/>
          </xdr:nvSpPr>
          <xdr:spPr>
            <a:xfrm>
              <a:off x="5439379" y="8829150"/>
              <a:ext cx="52202" cy="45719"/>
            </a:xfrm>
            <a:prstGeom prst="snip2SameRect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489" name="Freeform: Shape 481">
              <a:extLst>
                <a:ext uri="{FF2B5EF4-FFF2-40B4-BE49-F238E27FC236}">
                  <a16:creationId xmlns:a16="http://schemas.microsoft.com/office/drawing/2014/main" id="{00000000-0008-0000-0300-0000E9010000}"/>
                </a:ext>
              </a:extLst>
            </xdr:cNvPr>
            <xdr:cNvSpPr/>
          </xdr:nvSpPr>
          <xdr:spPr>
            <a:xfrm>
              <a:off x="5446060" y="8861052"/>
              <a:ext cx="302558" cy="358588"/>
            </a:xfrm>
            <a:custGeom>
              <a:avLst/>
              <a:gdLst>
                <a:gd name="connsiteX0" fmla="*/ 25213 w 229720"/>
                <a:gd name="connsiteY0" fmla="*/ 341779 h 341779"/>
                <a:gd name="connsiteX1" fmla="*/ 25213 w 229720"/>
                <a:gd name="connsiteY1" fmla="*/ 201706 h 341779"/>
                <a:gd name="connsiteX2" fmla="*/ 0 w 229720"/>
                <a:gd name="connsiteY2" fmla="*/ 201706 h 341779"/>
                <a:gd name="connsiteX3" fmla="*/ 0 w 229720"/>
                <a:gd name="connsiteY3" fmla="*/ 0 h 341779"/>
                <a:gd name="connsiteX4" fmla="*/ 28014 w 229720"/>
                <a:gd name="connsiteY4" fmla="*/ 0 h 341779"/>
                <a:gd name="connsiteX5" fmla="*/ 28014 w 229720"/>
                <a:gd name="connsiteY5" fmla="*/ 64434 h 341779"/>
                <a:gd name="connsiteX6" fmla="*/ 229720 w 229720"/>
                <a:gd name="connsiteY6" fmla="*/ 64434 h 341779"/>
                <a:gd name="connsiteX7" fmla="*/ 229720 w 229720"/>
                <a:gd name="connsiteY7" fmla="*/ 204507 h 341779"/>
                <a:gd name="connsiteX8" fmla="*/ 229720 w 229720"/>
                <a:gd name="connsiteY8" fmla="*/ 308162 h 34177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229720" h="341779">
                  <a:moveTo>
                    <a:pt x="25213" y="341779"/>
                  </a:moveTo>
                  <a:lnTo>
                    <a:pt x="25213" y="201706"/>
                  </a:lnTo>
                  <a:lnTo>
                    <a:pt x="0" y="201706"/>
                  </a:lnTo>
                  <a:lnTo>
                    <a:pt x="0" y="0"/>
                  </a:lnTo>
                  <a:lnTo>
                    <a:pt x="28014" y="0"/>
                  </a:lnTo>
                  <a:lnTo>
                    <a:pt x="28014" y="64434"/>
                  </a:lnTo>
                  <a:lnTo>
                    <a:pt x="229720" y="64434"/>
                  </a:lnTo>
                  <a:lnTo>
                    <a:pt x="229720" y="204507"/>
                  </a:lnTo>
                  <a:lnTo>
                    <a:pt x="229720" y="308162"/>
                  </a:lnTo>
                </a:path>
              </a:pathLst>
            </a:cu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490" name="Straight Connector 482">
              <a:extLst>
                <a:ext uri="{FF2B5EF4-FFF2-40B4-BE49-F238E27FC236}">
                  <a16:creationId xmlns:a16="http://schemas.microsoft.com/office/drawing/2014/main" id="{00000000-0008-0000-0300-0000EA010000}"/>
                </a:ext>
              </a:extLst>
            </xdr:cNvPr>
            <xdr:cNvCxnSpPr>
              <a:stCxn id="489" idx="1"/>
              <a:endCxn id="489" idx="7"/>
            </xdr:cNvCxnSpPr>
          </xdr:nvCxnSpPr>
          <xdr:spPr>
            <a:xfrm>
              <a:off x="5479267" y="9072678"/>
              <a:ext cx="269351" cy="2939"/>
            </a:xfrm>
            <a:prstGeom prst="line">
              <a:avLst/>
            </a:prstGeom>
            <a:ln w="63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1" name="Straight Arrow Connector 483">
              <a:extLst>
                <a:ext uri="{FF2B5EF4-FFF2-40B4-BE49-F238E27FC236}">
                  <a16:creationId xmlns:a16="http://schemas.microsoft.com/office/drawing/2014/main" id="{00000000-0008-0000-0300-0000EB010000}"/>
                </a:ext>
              </a:extLst>
            </xdr:cNvPr>
            <xdr:cNvCxnSpPr/>
          </xdr:nvCxnSpPr>
          <xdr:spPr>
            <a:xfrm flipH="1" flipV="1">
              <a:off x="5386813" y="8879402"/>
              <a:ext cx="2381" cy="126207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2" name="Straight Arrow Connector 484">
              <a:extLst>
                <a:ext uri="{FF2B5EF4-FFF2-40B4-BE49-F238E27FC236}">
                  <a16:creationId xmlns:a16="http://schemas.microsoft.com/office/drawing/2014/main" id="{00000000-0008-0000-0300-0000EC010000}"/>
                </a:ext>
              </a:extLst>
            </xdr:cNvPr>
            <xdr:cNvCxnSpPr/>
          </xdr:nvCxnSpPr>
          <xdr:spPr>
            <a:xfrm>
              <a:off x="5389190" y="8704309"/>
              <a:ext cx="0" cy="116682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7" name="Group 3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GrpSpPr/>
        </xdr:nvGrpSpPr>
        <xdr:grpSpPr>
          <a:xfrm>
            <a:off x="3085707" y="2912372"/>
            <a:ext cx="320349" cy="285158"/>
            <a:chOff x="8357427" y="5493842"/>
            <a:chExt cx="495776" cy="450197"/>
          </a:xfrm>
        </xdr:grpSpPr>
        <xdr:sp macro="" textlink="">
          <xdr:nvSpPr>
            <xdr:cNvPr id="481" name="Freeform: Shape 12">
              <a:extLst>
                <a:ext uri="{FF2B5EF4-FFF2-40B4-BE49-F238E27FC236}">
                  <a16:creationId xmlns:a16="http://schemas.microsoft.com/office/drawing/2014/main" id="{00000000-0008-0000-0300-0000E1010000}"/>
                </a:ext>
              </a:extLst>
            </xdr:cNvPr>
            <xdr:cNvSpPr/>
          </xdr:nvSpPr>
          <xdr:spPr>
            <a:xfrm>
              <a:off x="8357427" y="5681623"/>
              <a:ext cx="103375" cy="122844"/>
            </a:xfrm>
            <a:custGeom>
              <a:avLst/>
              <a:gdLst>
                <a:gd name="connsiteX0" fmla="*/ 117662 w 117662"/>
                <a:gd name="connsiteY0" fmla="*/ 120463 h 120463"/>
                <a:gd name="connsiteX1" fmla="*/ 67236 w 117662"/>
                <a:gd name="connsiteY1" fmla="*/ 120463 h 120463"/>
                <a:gd name="connsiteX2" fmla="*/ 0 w 117662"/>
                <a:gd name="connsiteY2" fmla="*/ 39220 h 120463"/>
                <a:gd name="connsiteX3" fmla="*/ 0 w 117662"/>
                <a:gd name="connsiteY3" fmla="*/ 0 h 120463"/>
                <a:gd name="connsiteX0" fmla="*/ 117662 w 117662"/>
                <a:gd name="connsiteY0" fmla="*/ 120463 h 120463"/>
                <a:gd name="connsiteX1" fmla="*/ 67236 w 117662"/>
                <a:gd name="connsiteY1" fmla="*/ 120463 h 120463"/>
                <a:gd name="connsiteX2" fmla="*/ 4762 w 117662"/>
                <a:gd name="connsiteY2" fmla="*/ 63033 h 120463"/>
                <a:gd name="connsiteX3" fmla="*/ 0 w 117662"/>
                <a:gd name="connsiteY3" fmla="*/ 0 h 120463"/>
                <a:gd name="connsiteX0" fmla="*/ 117662 w 117662"/>
                <a:gd name="connsiteY0" fmla="*/ 120463 h 120463"/>
                <a:gd name="connsiteX1" fmla="*/ 67236 w 117662"/>
                <a:gd name="connsiteY1" fmla="*/ 113319 h 120463"/>
                <a:gd name="connsiteX2" fmla="*/ 4762 w 117662"/>
                <a:gd name="connsiteY2" fmla="*/ 63033 h 120463"/>
                <a:gd name="connsiteX3" fmla="*/ 0 w 117662"/>
                <a:gd name="connsiteY3" fmla="*/ 0 h 120463"/>
                <a:gd name="connsiteX0" fmla="*/ 110519 w 110519"/>
                <a:gd name="connsiteY0" fmla="*/ 115701 h 115701"/>
                <a:gd name="connsiteX1" fmla="*/ 67236 w 110519"/>
                <a:gd name="connsiteY1" fmla="*/ 113319 h 115701"/>
                <a:gd name="connsiteX2" fmla="*/ 4762 w 110519"/>
                <a:gd name="connsiteY2" fmla="*/ 63033 h 115701"/>
                <a:gd name="connsiteX3" fmla="*/ 0 w 110519"/>
                <a:gd name="connsiteY3" fmla="*/ 0 h 115701"/>
                <a:gd name="connsiteX0" fmla="*/ 110519 w 110519"/>
                <a:gd name="connsiteY0" fmla="*/ 115701 h 115701"/>
                <a:gd name="connsiteX1" fmla="*/ 67236 w 110519"/>
                <a:gd name="connsiteY1" fmla="*/ 113319 h 115701"/>
                <a:gd name="connsiteX2" fmla="*/ 11906 w 110519"/>
                <a:gd name="connsiteY2" fmla="*/ 58270 h 115701"/>
                <a:gd name="connsiteX3" fmla="*/ 0 w 110519"/>
                <a:gd name="connsiteY3" fmla="*/ 0 h 115701"/>
                <a:gd name="connsiteX0" fmla="*/ 98613 w 98613"/>
                <a:gd name="connsiteY0" fmla="*/ 110938 h 110938"/>
                <a:gd name="connsiteX1" fmla="*/ 55330 w 98613"/>
                <a:gd name="connsiteY1" fmla="*/ 108556 h 110938"/>
                <a:gd name="connsiteX2" fmla="*/ 0 w 98613"/>
                <a:gd name="connsiteY2" fmla="*/ 53507 h 110938"/>
                <a:gd name="connsiteX3" fmla="*/ 2382 w 98613"/>
                <a:gd name="connsiteY3" fmla="*/ 0 h 110938"/>
                <a:gd name="connsiteX0" fmla="*/ 96231 w 96231"/>
                <a:gd name="connsiteY0" fmla="*/ 110938 h 110938"/>
                <a:gd name="connsiteX1" fmla="*/ 52948 w 96231"/>
                <a:gd name="connsiteY1" fmla="*/ 108556 h 110938"/>
                <a:gd name="connsiteX2" fmla="*/ 4762 w 96231"/>
                <a:gd name="connsiteY2" fmla="*/ 60651 h 110938"/>
                <a:gd name="connsiteX3" fmla="*/ 0 w 96231"/>
                <a:gd name="connsiteY3" fmla="*/ 0 h 110938"/>
                <a:gd name="connsiteX0" fmla="*/ 96231 w 96231"/>
                <a:gd name="connsiteY0" fmla="*/ 110938 h 113318"/>
                <a:gd name="connsiteX1" fmla="*/ 45804 w 96231"/>
                <a:gd name="connsiteY1" fmla="*/ 113318 h 113318"/>
                <a:gd name="connsiteX2" fmla="*/ 4762 w 96231"/>
                <a:gd name="connsiteY2" fmla="*/ 60651 h 113318"/>
                <a:gd name="connsiteX3" fmla="*/ 0 w 96231"/>
                <a:gd name="connsiteY3" fmla="*/ 0 h 113318"/>
                <a:gd name="connsiteX0" fmla="*/ 93850 w 93850"/>
                <a:gd name="connsiteY0" fmla="*/ 118082 h 118082"/>
                <a:gd name="connsiteX1" fmla="*/ 45804 w 93850"/>
                <a:gd name="connsiteY1" fmla="*/ 113318 h 118082"/>
                <a:gd name="connsiteX2" fmla="*/ 4762 w 93850"/>
                <a:gd name="connsiteY2" fmla="*/ 60651 h 118082"/>
                <a:gd name="connsiteX3" fmla="*/ 0 w 93850"/>
                <a:gd name="connsiteY3" fmla="*/ 0 h 118082"/>
                <a:gd name="connsiteX0" fmla="*/ 96232 w 96232"/>
                <a:gd name="connsiteY0" fmla="*/ 118082 h 118082"/>
                <a:gd name="connsiteX1" fmla="*/ 48186 w 96232"/>
                <a:gd name="connsiteY1" fmla="*/ 113318 h 118082"/>
                <a:gd name="connsiteX2" fmla="*/ 0 w 96232"/>
                <a:gd name="connsiteY2" fmla="*/ 65414 h 118082"/>
                <a:gd name="connsiteX3" fmla="*/ 2382 w 96232"/>
                <a:gd name="connsiteY3" fmla="*/ 0 h 118082"/>
                <a:gd name="connsiteX0" fmla="*/ 103375 w 103375"/>
                <a:gd name="connsiteY0" fmla="*/ 122844 h 122844"/>
                <a:gd name="connsiteX1" fmla="*/ 55329 w 103375"/>
                <a:gd name="connsiteY1" fmla="*/ 118080 h 122844"/>
                <a:gd name="connsiteX2" fmla="*/ 7143 w 103375"/>
                <a:gd name="connsiteY2" fmla="*/ 70176 h 122844"/>
                <a:gd name="connsiteX3" fmla="*/ 0 w 103375"/>
                <a:gd name="connsiteY3" fmla="*/ 0 h 12284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03375" h="122844">
                  <a:moveTo>
                    <a:pt x="103375" y="122844"/>
                  </a:moveTo>
                  <a:lnTo>
                    <a:pt x="55329" y="118080"/>
                  </a:lnTo>
                  <a:lnTo>
                    <a:pt x="7143" y="70176"/>
                  </a:lnTo>
                  <a:lnTo>
                    <a:pt x="0" y="0"/>
                  </a:lnTo>
                </a:path>
              </a:pathLst>
            </a:custGeom>
            <a:solidFill>
              <a:srgbClr val="FFC0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482" name="Freeform: Shape 124">
              <a:extLst>
                <a:ext uri="{FF2B5EF4-FFF2-40B4-BE49-F238E27FC236}">
                  <a16:creationId xmlns:a16="http://schemas.microsoft.com/office/drawing/2014/main" id="{00000000-0008-0000-0300-0000E2010000}"/>
                </a:ext>
              </a:extLst>
            </xdr:cNvPr>
            <xdr:cNvSpPr/>
          </xdr:nvSpPr>
          <xdr:spPr>
            <a:xfrm>
              <a:off x="8365047" y="5527383"/>
              <a:ext cx="488156" cy="275449"/>
            </a:xfrm>
            <a:custGeom>
              <a:avLst/>
              <a:gdLst>
                <a:gd name="connsiteX0" fmla="*/ 0 w 488156"/>
                <a:gd name="connsiteY0" fmla="*/ 9525 h 230982"/>
                <a:gd name="connsiteX1" fmla="*/ 0 w 488156"/>
                <a:gd name="connsiteY1" fmla="*/ 166688 h 230982"/>
                <a:gd name="connsiteX2" fmla="*/ 71437 w 488156"/>
                <a:gd name="connsiteY2" fmla="*/ 230982 h 230982"/>
                <a:gd name="connsiteX3" fmla="*/ 426244 w 488156"/>
                <a:gd name="connsiteY3" fmla="*/ 230982 h 230982"/>
                <a:gd name="connsiteX4" fmla="*/ 488156 w 488156"/>
                <a:gd name="connsiteY4" fmla="*/ 161925 h 230982"/>
                <a:gd name="connsiteX5" fmla="*/ 488156 w 488156"/>
                <a:gd name="connsiteY5" fmla="*/ 0 h 230982"/>
                <a:gd name="connsiteX0" fmla="*/ 0 w 488156"/>
                <a:gd name="connsiteY0" fmla="*/ 9525 h 233363"/>
                <a:gd name="connsiteX1" fmla="*/ 0 w 488156"/>
                <a:gd name="connsiteY1" fmla="*/ 166688 h 233363"/>
                <a:gd name="connsiteX2" fmla="*/ 64293 w 488156"/>
                <a:gd name="connsiteY2" fmla="*/ 233363 h 233363"/>
                <a:gd name="connsiteX3" fmla="*/ 426244 w 488156"/>
                <a:gd name="connsiteY3" fmla="*/ 230982 h 233363"/>
                <a:gd name="connsiteX4" fmla="*/ 488156 w 488156"/>
                <a:gd name="connsiteY4" fmla="*/ 161925 h 233363"/>
                <a:gd name="connsiteX5" fmla="*/ 488156 w 488156"/>
                <a:gd name="connsiteY5" fmla="*/ 0 h 233363"/>
                <a:gd name="connsiteX0" fmla="*/ 0 w 488156"/>
                <a:gd name="connsiteY0" fmla="*/ 9525 h 271463"/>
                <a:gd name="connsiteX1" fmla="*/ 0 w 488156"/>
                <a:gd name="connsiteY1" fmla="*/ 166688 h 271463"/>
                <a:gd name="connsiteX2" fmla="*/ 80962 w 488156"/>
                <a:gd name="connsiteY2" fmla="*/ 271463 h 271463"/>
                <a:gd name="connsiteX3" fmla="*/ 426244 w 488156"/>
                <a:gd name="connsiteY3" fmla="*/ 230982 h 271463"/>
                <a:gd name="connsiteX4" fmla="*/ 488156 w 488156"/>
                <a:gd name="connsiteY4" fmla="*/ 161925 h 271463"/>
                <a:gd name="connsiteX5" fmla="*/ 488156 w 488156"/>
                <a:gd name="connsiteY5" fmla="*/ 0 h 271463"/>
                <a:gd name="connsiteX0" fmla="*/ 0 w 488156"/>
                <a:gd name="connsiteY0" fmla="*/ 9525 h 273845"/>
                <a:gd name="connsiteX1" fmla="*/ 0 w 488156"/>
                <a:gd name="connsiteY1" fmla="*/ 166688 h 273845"/>
                <a:gd name="connsiteX2" fmla="*/ 80962 w 488156"/>
                <a:gd name="connsiteY2" fmla="*/ 271463 h 273845"/>
                <a:gd name="connsiteX3" fmla="*/ 400051 w 488156"/>
                <a:gd name="connsiteY3" fmla="*/ 273845 h 273845"/>
                <a:gd name="connsiteX4" fmla="*/ 488156 w 488156"/>
                <a:gd name="connsiteY4" fmla="*/ 161925 h 273845"/>
                <a:gd name="connsiteX5" fmla="*/ 488156 w 488156"/>
                <a:gd name="connsiteY5" fmla="*/ 0 h 273845"/>
                <a:gd name="connsiteX0" fmla="*/ 0 w 488156"/>
                <a:gd name="connsiteY0" fmla="*/ 9525 h 273845"/>
                <a:gd name="connsiteX1" fmla="*/ 0 w 488156"/>
                <a:gd name="connsiteY1" fmla="*/ 166688 h 273845"/>
                <a:gd name="connsiteX2" fmla="*/ 88106 w 488156"/>
                <a:gd name="connsiteY2" fmla="*/ 271463 h 273845"/>
                <a:gd name="connsiteX3" fmla="*/ 400051 w 488156"/>
                <a:gd name="connsiteY3" fmla="*/ 273845 h 273845"/>
                <a:gd name="connsiteX4" fmla="*/ 488156 w 488156"/>
                <a:gd name="connsiteY4" fmla="*/ 161925 h 273845"/>
                <a:gd name="connsiteX5" fmla="*/ 488156 w 488156"/>
                <a:gd name="connsiteY5" fmla="*/ 0 h 273845"/>
                <a:gd name="connsiteX0" fmla="*/ 0 w 488156"/>
                <a:gd name="connsiteY0" fmla="*/ 9525 h 273845"/>
                <a:gd name="connsiteX1" fmla="*/ 0 w 488156"/>
                <a:gd name="connsiteY1" fmla="*/ 166688 h 273845"/>
                <a:gd name="connsiteX2" fmla="*/ 95250 w 488156"/>
                <a:gd name="connsiteY2" fmla="*/ 271463 h 273845"/>
                <a:gd name="connsiteX3" fmla="*/ 400051 w 488156"/>
                <a:gd name="connsiteY3" fmla="*/ 273845 h 273845"/>
                <a:gd name="connsiteX4" fmla="*/ 488156 w 488156"/>
                <a:gd name="connsiteY4" fmla="*/ 161925 h 273845"/>
                <a:gd name="connsiteX5" fmla="*/ 488156 w 488156"/>
                <a:gd name="connsiteY5" fmla="*/ 0 h 27384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488156" h="273845">
                  <a:moveTo>
                    <a:pt x="0" y="9525"/>
                  </a:moveTo>
                  <a:lnTo>
                    <a:pt x="0" y="166688"/>
                  </a:lnTo>
                  <a:lnTo>
                    <a:pt x="95250" y="271463"/>
                  </a:lnTo>
                  <a:lnTo>
                    <a:pt x="400051" y="273845"/>
                  </a:lnTo>
                  <a:lnTo>
                    <a:pt x="488156" y="161925"/>
                  </a:lnTo>
                  <a:lnTo>
                    <a:pt x="488156" y="0"/>
                  </a:lnTo>
                </a:path>
              </a:pathLst>
            </a:cu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483" name="Freeform: Shape 125">
              <a:extLst>
                <a:ext uri="{FF2B5EF4-FFF2-40B4-BE49-F238E27FC236}">
                  <a16:creationId xmlns:a16="http://schemas.microsoft.com/office/drawing/2014/main" id="{00000000-0008-0000-0300-0000E3010000}"/>
                </a:ext>
              </a:extLst>
            </xdr:cNvPr>
            <xdr:cNvSpPr/>
          </xdr:nvSpPr>
          <xdr:spPr>
            <a:xfrm>
              <a:off x="8367427" y="5504198"/>
              <a:ext cx="485776" cy="72735"/>
            </a:xfrm>
            <a:custGeom>
              <a:avLst/>
              <a:gdLst>
                <a:gd name="connsiteX0" fmla="*/ 0 w 466725"/>
                <a:gd name="connsiteY0" fmla="*/ 28690 h 79558"/>
                <a:gd name="connsiteX1" fmla="*/ 120650 w 466725"/>
                <a:gd name="connsiteY1" fmla="*/ 115 h 79558"/>
                <a:gd name="connsiteX2" fmla="*/ 228600 w 466725"/>
                <a:gd name="connsiteY2" fmla="*/ 38215 h 79558"/>
                <a:gd name="connsiteX3" fmla="*/ 377825 w 466725"/>
                <a:gd name="connsiteY3" fmla="*/ 79490 h 79558"/>
                <a:gd name="connsiteX4" fmla="*/ 466725 w 466725"/>
                <a:gd name="connsiteY4" fmla="*/ 44565 h 79558"/>
                <a:gd name="connsiteX0" fmla="*/ 0 w 469107"/>
                <a:gd name="connsiteY0" fmla="*/ 42882 h 79462"/>
                <a:gd name="connsiteX1" fmla="*/ 123032 w 469107"/>
                <a:gd name="connsiteY1" fmla="*/ 19 h 79462"/>
                <a:gd name="connsiteX2" fmla="*/ 230982 w 469107"/>
                <a:gd name="connsiteY2" fmla="*/ 38119 h 79462"/>
                <a:gd name="connsiteX3" fmla="*/ 380207 w 469107"/>
                <a:gd name="connsiteY3" fmla="*/ 79394 h 79462"/>
                <a:gd name="connsiteX4" fmla="*/ 469107 w 469107"/>
                <a:gd name="connsiteY4" fmla="*/ 44469 h 79462"/>
                <a:gd name="connsiteX0" fmla="*/ 0 w 469107"/>
                <a:gd name="connsiteY0" fmla="*/ 42882 h 84206"/>
                <a:gd name="connsiteX1" fmla="*/ 123032 w 469107"/>
                <a:gd name="connsiteY1" fmla="*/ 19 h 84206"/>
                <a:gd name="connsiteX2" fmla="*/ 230982 w 469107"/>
                <a:gd name="connsiteY2" fmla="*/ 38119 h 84206"/>
                <a:gd name="connsiteX3" fmla="*/ 361157 w 469107"/>
                <a:gd name="connsiteY3" fmla="*/ 84157 h 84206"/>
                <a:gd name="connsiteX4" fmla="*/ 469107 w 469107"/>
                <a:gd name="connsiteY4" fmla="*/ 44469 h 84206"/>
                <a:gd name="connsiteX0" fmla="*/ 0 w 469107"/>
                <a:gd name="connsiteY0" fmla="*/ 54783 h 96107"/>
                <a:gd name="connsiteX1" fmla="*/ 103982 w 469107"/>
                <a:gd name="connsiteY1" fmla="*/ 13 h 96107"/>
                <a:gd name="connsiteX2" fmla="*/ 230982 w 469107"/>
                <a:gd name="connsiteY2" fmla="*/ 50020 h 96107"/>
                <a:gd name="connsiteX3" fmla="*/ 361157 w 469107"/>
                <a:gd name="connsiteY3" fmla="*/ 96058 h 96107"/>
                <a:gd name="connsiteX4" fmla="*/ 469107 w 469107"/>
                <a:gd name="connsiteY4" fmla="*/ 56370 h 96107"/>
                <a:gd name="connsiteX0" fmla="*/ 0 w 476251"/>
                <a:gd name="connsiteY0" fmla="*/ 54783 h 96107"/>
                <a:gd name="connsiteX1" fmla="*/ 111126 w 476251"/>
                <a:gd name="connsiteY1" fmla="*/ 13 h 96107"/>
                <a:gd name="connsiteX2" fmla="*/ 238126 w 476251"/>
                <a:gd name="connsiteY2" fmla="*/ 50020 h 96107"/>
                <a:gd name="connsiteX3" fmla="*/ 368301 w 476251"/>
                <a:gd name="connsiteY3" fmla="*/ 96058 h 96107"/>
                <a:gd name="connsiteX4" fmla="*/ 476251 w 476251"/>
                <a:gd name="connsiteY4" fmla="*/ 56370 h 96107"/>
                <a:gd name="connsiteX0" fmla="*/ 0 w 476251"/>
                <a:gd name="connsiteY0" fmla="*/ 30988 h 72312"/>
                <a:gd name="connsiteX1" fmla="*/ 130176 w 476251"/>
                <a:gd name="connsiteY1" fmla="*/ 31 h 72312"/>
                <a:gd name="connsiteX2" fmla="*/ 238126 w 476251"/>
                <a:gd name="connsiteY2" fmla="*/ 26225 h 72312"/>
                <a:gd name="connsiteX3" fmla="*/ 368301 w 476251"/>
                <a:gd name="connsiteY3" fmla="*/ 72263 h 72312"/>
                <a:gd name="connsiteX4" fmla="*/ 476251 w 476251"/>
                <a:gd name="connsiteY4" fmla="*/ 32575 h 7231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76251" h="72312">
                  <a:moveTo>
                    <a:pt x="0" y="30988"/>
                  </a:moveTo>
                  <a:cubicBezTo>
                    <a:pt x="41275" y="15906"/>
                    <a:pt x="90488" y="825"/>
                    <a:pt x="130176" y="31"/>
                  </a:cubicBezTo>
                  <a:cubicBezTo>
                    <a:pt x="169864" y="-763"/>
                    <a:pt x="198439" y="14186"/>
                    <a:pt x="238126" y="26225"/>
                  </a:cubicBezTo>
                  <a:cubicBezTo>
                    <a:pt x="277813" y="38264"/>
                    <a:pt x="328614" y="71205"/>
                    <a:pt x="368301" y="72263"/>
                  </a:cubicBezTo>
                  <a:cubicBezTo>
                    <a:pt x="407988" y="73321"/>
                    <a:pt x="468314" y="57446"/>
                    <a:pt x="476251" y="32575"/>
                  </a:cubicBezTo>
                </a:path>
              </a:pathLst>
            </a:cu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484" name="Straight Arrow Connector 126">
              <a:extLst>
                <a:ext uri="{FF2B5EF4-FFF2-40B4-BE49-F238E27FC236}">
                  <a16:creationId xmlns:a16="http://schemas.microsoft.com/office/drawing/2014/main" id="{00000000-0008-0000-0300-0000E4010000}"/>
                </a:ext>
              </a:extLst>
            </xdr:cNvPr>
            <xdr:cNvCxnSpPr/>
          </xdr:nvCxnSpPr>
          <xdr:spPr>
            <a:xfrm flipH="1">
              <a:off x="8407178" y="5556996"/>
              <a:ext cx="314" cy="144978"/>
            </a:xfrm>
            <a:prstGeom prst="straightConnector1">
              <a:avLst/>
            </a:prstGeom>
            <a:solidFill>
              <a:schemeClr val="accent5"/>
            </a:solidFill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5" name="Straight Arrow Connector 127">
              <a:extLst>
                <a:ext uri="{FF2B5EF4-FFF2-40B4-BE49-F238E27FC236}">
                  <a16:creationId xmlns:a16="http://schemas.microsoft.com/office/drawing/2014/main" id="{00000000-0008-0000-0300-0000E5010000}"/>
                </a:ext>
              </a:extLst>
            </xdr:cNvPr>
            <xdr:cNvCxnSpPr/>
          </xdr:nvCxnSpPr>
          <xdr:spPr>
            <a:xfrm flipV="1">
              <a:off x="8404580" y="5809907"/>
              <a:ext cx="0" cy="134132"/>
            </a:xfrm>
            <a:prstGeom prst="straightConnector1">
              <a:avLst/>
            </a:prstGeom>
            <a:solidFill>
              <a:schemeClr val="accent5"/>
            </a:solidFill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86" name="Freeform: Shape 128">
              <a:extLst>
                <a:ext uri="{FF2B5EF4-FFF2-40B4-BE49-F238E27FC236}">
                  <a16:creationId xmlns:a16="http://schemas.microsoft.com/office/drawing/2014/main" id="{00000000-0008-0000-0300-0000E6010000}"/>
                </a:ext>
              </a:extLst>
            </xdr:cNvPr>
            <xdr:cNvSpPr/>
          </xdr:nvSpPr>
          <xdr:spPr>
            <a:xfrm>
              <a:off x="8612695" y="5493842"/>
              <a:ext cx="240506" cy="40726"/>
            </a:xfrm>
            <a:custGeom>
              <a:avLst/>
              <a:gdLst>
                <a:gd name="connsiteX0" fmla="*/ 0 w 238125"/>
                <a:gd name="connsiteY0" fmla="*/ 45330 h 45330"/>
                <a:gd name="connsiteX1" fmla="*/ 150019 w 238125"/>
                <a:gd name="connsiteY1" fmla="*/ 86 h 45330"/>
                <a:gd name="connsiteX2" fmla="*/ 238125 w 238125"/>
                <a:gd name="connsiteY2" fmla="*/ 40567 h 45330"/>
                <a:gd name="connsiteX0" fmla="*/ 0 w 240506"/>
                <a:gd name="connsiteY0" fmla="*/ 38108 h 40489"/>
                <a:gd name="connsiteX1" fmla="*/ 152400 w 240506"/>
                <a:gd name="connsiteY1" fmla="*/ 8 h 40489"/>
                <a:gd name="connsiteX2" fmla="*/ 240506 w 240506"/>
                <a:gd name="connsiteY2" fmla="*/ 40489 h 404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240506" h="40489">
                  <a:moveTo>
                    <a:pt x="0" y="38108"/>
                  </a:moveTo>
                  <a:cubicBezTo>
                    <a:pt x="55166" y="15883"/>
                    <a:pt x="112316" y="-389"/>
                    <a:pt x="152400" y="8"/>
                  </a:cubicBezTo>
                  <a:cubicBezTo>
                    <a:pt x="192484" y="405"/>
                    <a:pt x="229790" y="3183"/>
                    <a:pt x="240506" y="40489"/>
                  </a:cubicBezTo>
                </a:path>
              </a:pathLst>
            </a:cu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487" name="Straight Connector 129">
              <a:extLst>
                <a:ext uri="{FF2B5EF4-FFF2-40B4-BE49-F238E27FC236}">
                  <a16:creationId xmlns:a16="http://schemas.microsoft.com/office/drawing/2014/main" id="{00000000-0008-0000-0300-0000E7010000}"/>
                </a:ext>
              </a:extLst>
            </xdr:cNvPr>
            <xdr:cNvCxnSpPr>
              <a:endCxn id="482" idx="4"/>
            </xdr:cNvCxnSpPr>
          </xdr:nvCxnSpPr>
          <xdr:spPr>
            <a:xfrm>
              <a:off x="8472203" y="5690256"/>
              <a:ext cx="381000" cy="0"/>
            </a:xfrm>
            <a:prstGeom prst="line">
              <a:avLst/>
            </a:prstGeom>
            <a:solidFill>
              <a:schemeClr val="accent5"/>
            </a:solidFill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8" name="Group 39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GrpSpPr/>
        </xdr:nvGrpSpPr>
        <xdr:grpSpPr>
          <a:xfrm>
            <a:off x="3081231" y="2200646"/>
            <a:ext cx="309270" cy="277642"/>
            <a:chOff x="8350500" y="4360936"/>
            <a:chExt cx="478630" cy="438330"/>
          </a:xfrm>
        </xdr:grpSpPr>
        <xdr:sp macro="" textlink="">
          <xdr:nvSpPr>
            <xdr:cNvPr id="467" name="Freeform: Shape 15">
              <a:extLst>
                <a:ext uri="{FF2B5EF4-FFF2-40B4-BE49-F238E27FC236}">
                  <a16:creationId xmlns:a16="http://schemas.microsoft.com/office/drawing/2014/main" id="{00000000-0008-0000-0300-0000D3010000}"/>
                </a:ext>
              </a:extLst>
            </xdr:cNvPr>
            <xdr:cNvSpPr/>
          </xdr:nvSpPr>
          <xdr:spPr>
            <a:xfrm>
              <a:off x="8357644" y="4551436"/>
              <a:ext cx="231962" cy="129988"/>
            </a:xfrm>
            <a:custGeom>
              <a:avLst/>
              <a:gdLst>
                <a:gd name="connsiteX0" fmla="*/ 117662 w 117662"/>
                <a:gd name="connsiteY0" fmla="*/ 120463 h 120463"/>
                <a:gd name="connsiteX1" fmla="*/ 67236 w 117662"/>
                <a:gd name="connsiteY1" fmla="*/ 120463 h 120463"/>
                <a:gd name="connsiteX2" fmla="*/ 0 w 117662"/>
                <a:gd name="connsiteY2" fmla="*/ 39220 h 120463"/>
                <a:gd name="connsiteX3" fmla="*/ 0 w 117662"/>
                <a:gd name="connsiteY3" fmla="*/ 0 h 120463"/>
                <a:gd name="connsiteX0" fmla="*/ 117662 w 117662"/>
                <a:gd name="connsiteY0" fmla="*/ 120463 h 120463"/>
                <a:gd name="connsiteX1" fmla="*/ 67236 w 117662"/>
                <a:gd name="connsiteY1" fmla="*/ 120463 h 120463"/>
                <a:gd name="connsiteX2" fmla="*/ 4762 w 117662"/>
                <a:gd name="connsiteY2" fmla="*/ 63033 h 120463"/>
                <a:gd name="connsiteX3" fmla="*/ 0 w 117662"/>
                <a:gd name="connsiteY3" fmla="*/ 0 h 120463"/>
                <a:gd name="connsiteX0" fmla="*/ 224818 w 224818"/>
                <a:gd name="connsiteY0" fmla="*/ 120463 h 120463"/>
                <a:gd name="connsiteX1" fmla="*/ 174392 w 224818"/>
                <a:gd name="connsiteY1" fmla="*/ 120463 h 120463"/>
                <a:gd name="connsiteX2" fmla="*/ 0 w 224818"/>
                <a:gd name="connsiteY2" fmla="*/ 41602 h 120463"/>
                <a:gd name="connsiteX3" fmla="*/ 107156 w 224818"/>
                <a:gd name="connsiteY3" fmla="*/ 0 h 120463"/>
                <a:gd name="connsiteX0" fmla="*/ 241487 w 241487"/>
                <a:gd name="connsiteY0" fmla="*/ 120463 h 120463"/>
                <a:gd name="connsiteX1" fmla="*/ 191061 w 241487"/>
                <a:gd name="connsiteY1" fmla="*/ 120463 h 120463"/>
                <a:gd name="connsiteX2" fmla="*/ 16669 w 241487"/>
                <a:gd name="connsiteY2" fmla="*/ 41602 h 120463"/>
                <a:gd name="connsiteX3" fmla="*/ 0 w 241487"/>
                <a:gd name="connsiteY3" fmla="*/ 0 h 120463"/>
                <a:gd name="connsiteX0" fmla="*/ 231962 w 231962"/>
                <a:gd name="connsiteY0" fmla="*/ 129988 h 129988"/>
                <a:gd name="connsiteX1" fmla="*/ 181536 w 231962"/>
                <a:gd name="connsiteY1" fmla="*/ 129988 h 129988"/>
                <a:gd name="connsiteX2" fmla="*/ 7144 w 231962"/>
                <a:gd name="connsiteY2" fmla="*/ 51127 h 129988"/>
                <a:gd name="connsiteX3" fmla="*/ 0 w 231962"/>
                <a:gd name="connsiteY3" fmla="*/ 0 h 129988"/>
                <a:gd name="connsiteX0" fmla="*/ 231962 w 231962"/>
                <a:gd name="connsiteY0" fmla="*/ 129988 h 129988"/>
                <a:gd name="connsiteX1" fmla="*/ 181536 w 231962"/>
                <a:gd name="connsiteY1" fmla="*/ 129988 h 129988"/>
                <a:gd name="connsiteX2" fmla="*/ 11907 w 231962"/>
                <a:gd name="connsiteY2" fmla="*/ 43984 h 129988"/>
                <a:gd name="connsiteX3" fmla="*/ 0 w 231962"/>
                <a:gd name="connsiteY3" fmla="*/ 0 h 12998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31962" h="129988">
                  <a:moveTo>
                    <a:pt x="231962" y="129988"/>
                  </a:moveTo>
                  <a:lnTo>
                    <a:pt x="181536" y="129988"/>
                  </a:lnTo>
                  <a:lnTo>
                    <a:pt x="11907" y="43984"/>
                  </a:lnTo>
                  <a:lnTo>
                    <a:pt x="0" y="0"/>
                  </a:lnTo>
                </a:path>
              </a:pathLst>
            </a:custGeom>
            <a:solidFill>
              <a:srgbClr val="FFC000"/>
            </a:solidFill>
            <a:ln>
              <a:solidFill>
                <a:srgbClr val="000019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468" name="Arrow: Pentagon 3">
              <a:extLst>
                <a:ext uri="{FF2B5EF4-FFF2-40B4-BE49-F238E27FC236}">
                  <a16:creationId xmlns:a16="http://schemas.microsoft.com/office/drawing/2014/main" id="{00000000-0008-0000-0300-0000D4010000}"/>
                </a:ext>
              </a:extLst>
            </xdr:cNvPr>
            <xdr:cNvSpPr/>
          </xdr:nvSpPr>
          <xdr:spPr>
            <a:xfrm rot="5400000">
              <a:off x="8452483" y="4298863"/>
              <a:ext cx="276703" cy="476143"/>
            </a:xfrm>
            <a:custGeom>
              <a:avLst/>
              <a:gdLst>
                <a:gd name="connsiteX0" fmla="*/ 0 w 310811"/>
                <a:gd name="connsiteY0" fmla="*/ 0 h 476143"/>
                <a:gd name="connsiteX1" fmla="*/ 155406 w 310811"/>
                <a:gd name="connsiteY1" fmla="*/ 0 h 476143"/>
                <a:gd name="connsiteX2" fmla="*/ 310811 w 310811"/>
                <a:gd name="connsiteY2" fmla="*/ 238072 h 476143"/>
                <a:gd name="connsiteX3" fmla="*/ 155406 w 310811"/>
                <a:gd name="connsiteY3" fmla="*/ 476143 h 476143"/>
                <a:gd name="connsiteX4" fmla="*/ 0 w 310811"/>
                <a:gd name="connsiteY4" fmla="*/ 476143 h 476143"/>
                <a:gd name="connsiteX5" fmla="*/ 0 w 310811"/>
                <a:gd name="connsiteY5" fmla="*/ 0 h 476143"/>
                <a:gd name="connsiteX0" fmla="*/ 0 w 310811"/>
                <a:gd name="connsiteY0" fmla="*/ 0 h 476143"/>
                <a:gd name="connsiteX1" fmla="*/ 155406 w 310811"/>
                <a:gd name="connsiteY1" fmla="*/ 0 h 476143"/>
                <a:gd name="connsiteX2" fmla="*/ 310811 w 310811"/>
                <a:gd name="connsiteY2" fmla="*/ 238072 h 476143"/>
                <a:gd name="connsiteX3" fmla="*/ 155406 w 310811"/>
                <a:gd name="connsiteY3" fmla="*/ 476143 h 476143"/>
                <a:gd name="connsiteX4" fmla="*/ 0 w 310811"/>
                <a:gd name="connsiteY4" fmla="*/ 476143 h 476143"/>
                <a:gd name="connsiteX5" fmla="*/ 91440 w 310811"/>
                <a:gd name="connsiteY5" fmla="*/ 91440 h 476143"/>
                <a:gd name="connsiteX0" fmla="*/ 0 w 310811"/>
                <a:gd name="connsiteY0" fmla="*/ 0 h 476143"/>
                <a:gd name="connsiteX1" fmla="*/ 155406 w 310811"/>
                <a:gd name="connsiteY1" fmla="*/ 0 h 476143"/>
                <a:gd name="connsiteX2" fmla="*/ 310811 w 310811"/>
                <a:gd name="connsiteY2" fmla="*/ 238072 h 476143"/>
                <a:gd name="connsiteX3" fmla="*/ 155406 w 310811"/>
                <a:gd name="connsiteY3" fmla="*/ 476143 h 476143"/>
                <a:gd name="connsiteX4" fmla="*/ 0 w 310811"/>
                <a:gd name="connsiteY4" fmla="*/ 476143 h 476143"/>
                <a:gd name="connsiteX0" fmla="*/ 0 w 275092"/>
                <a:gd name="connsiteY0" fmla="*/ 0 h 476143"/>
                <a:gd name="connsiteX1" fmla="*/ 155406 w 275092"/>
                <a:gd name="connsiteY1" fmla="*/ 0 h 476143"/>
                <a:gd name="connsiteX2" fmla="*/ 275092 w 275092"/>
                <a:gd name="connsiteY2" fmla="*/ 240453 h 476143"/>
                <a:gd name="connsiteX3" fmla="*/ 155406 w 275092"/>
                <a:gd name="connsiteY3" fmla="*/ 476143 h 476143"/>
                <a:gd name="connsiteX4" fmla="*/ 0 w 275092"/>
                <a:gd name="connsiteY4" fmla="*/ 476143 h 47614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75092" h="476143">
                  <a:moveTo>
                    <a:pt x="0" y="0"/>
                  </a:moveTo>
                  <a:lnTo>
                    <a:pt x="155406" y="0"/>
                  </a:lnTo>
                  <a:lnTo>
                    <a:pt x="275092" y="240453"/>
                  </a:lnTo>
                  <a:lnTo>
                    <a:pt x="155406" y="476143"/>
                  </a:lnTo>
                  <a:lnTo>
                    <a:pt x="0" y="476143"/>
                  </a:lnTo>
                </a:path>
              </a:pathLst>
            </a:cu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469" name="Straight Arrow Connector 133">
              <a:extLst>
                <a:ext uri="{FF2B5EF4-FFF2-40B4-BE49-F238E27FC236}">
                  <a16:creationId xmlns:a16="http://schemas.microsoft.com/office/drawing/2014/main" id="{00000000-0008-0000-0300-0000D5010000}"/>
                </a:ext>
              </a:extLst>
            </xdr:cNvPr>
            <xdr:cNvCxnSpPr/>
          </xdr:nvCxnSpPr>
          <xdr:spPr>
            <a:xfrm>
              <a:off x="8460041" y="4428014"/>
              <a:ext cx="2068" cy="159349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2" name="Straight Arrow Connector 135">
              <a:extLst>
                <a:ext uri="{FF2B5EF4-FFF2-40B4-BE49-F238E27FC236}">
                  <a16:creationId xmlns:a16="http://schemas.microsoft.com/office/drawing/2014/main" id="{00000000-0008-0000-0300-0000D8010000}"/>
                </a:ext>
              </a:extLst>
            </xdr:cNvPr>
            <xdr:cNvCxnSpPr/>
          </xdr:nvCxnSpPr>
          <xdr:spPr>
            <a:xfrm flipH="1" flipV="1">
              <a:off x="8461007" y="4665235"/>
              <a:ext cx="1414" cy="134031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4" name="Freeform: Shape 136">
              <a:extLst>
                <a:ext uri="{FF2B5EF4-FFF2-40B4-BE49-F238E27FC236}">
                  <a16:creationId xmlns:a16="http://schemas.microsoft.com/office/drawing/2014/main" id="{00000000-0008-0000-0300-0000DA010000}"/>
                </a:ext>
              </a:extLst>
            </xdr:cNvPr>
            <xdr:cNvSpPr/>
          </xdr:nvSpPr>
          <xdr:spPr>
            <a:xfrm>
              <a:off x="8350500" y="4371292"/>
              <a:ext cx="476251" cy="72735"/>
            </a:xfrm>
            <a:custGeom>
              <a:avLst/>
              <a:gdLst>
                <a:gd name="connsiteX0" fmla="*/ 0 w 466725"/>
                <a:gd name="connsiteY0" fmla="*/ 28690 h 79558"/>
                <a:gd name="connsiteX1" fmla="*/ 120650 w 466725"/>
                <a:gd name="connsiteY1" fmla="*/ 115 h 79558"/>
                <a:gd name="connsiteX2" fmla="*/ 228600 w 466725"/>
                <a:gd name="connsiteY2" fmla="*/ 38215 h 79558"/>
                <a:gd name="connsiteX3" fmla="*/ 377825 w 466725"/>
                <a:gd name="connsiteY3" fmla="*/ 79490 h 79558"/>
                <a:gd name="connsiteX4" fmla="*/ 466725 w 466725"/>
                <a:gd name="connsiteY4" fmla="*/ 44565 h 79558"/>
                <a:gd name="connsiteX0" fmla="*/ 0 w 469107"/>
                <a:gd name="connsiteY0" fmla="*/ 42882 h 79462"/>
                <a:gd name="connsiteX1" fmla="*/ 123032 w 469107"/>
                <a:gd name="connsiteY1" fmla="*/ 19 h 79462"/>
                <a:gd name="connsiteX2" fmla="*/ 230982 w 469107"/>
                <a:gd name="connsiteY2" fmla="*/ 38119 h 79462"/>
                <a:gd name="connsiteX3" fmla="*/ 380207 w 469107"/>
                <a:gd name="connsiteY3" fmla="*/ 79394 h 79462"/>
                <a:gd name="connsiteX4" fmla="*/ 469107 w 469107"/>
                <a:gd name="connsiteY4" fmla="*/ 44469 h 79462"/>
                <a:gd name="connsiteX0" fmla="*/ 0 w 469107"/>
                <a:gd name="connsiteY0" fmla="*/ 42882 h 84206"/>
                <a:gd name="connsiteX1" fmla="*/ 123032 w 469107"/>
                <a:gd name="connsiteY1" fmla="*/ 19 h 84206"/>
                <a:gd name="connsiteX2" fmla="*/ 230982 w 469107"/>
                <a:gd name="connsiteY2" fmla="*/ 38119 h 84206"/>
                <a:gd name="connsiteX3" fmla="*/ 361157 w 469107"/>
                <a:gd name="connsiteY3" fmla="*/ 84157 h 84206"/>
                <a:gd name="connsiteX4" fmla="*/ 469107 w 469107"/>
                <a:gd name="connsiteY4" fmla="*/ 44469 h 84206"/>
                <a:gd name="connsiteX0" fmla="*/ 0 w 469107"/>
                <a:gd name="connsiteY0" fmla="*/ 54783 h 96107"/>
                <a:gd name="connsiteX1" fmla="*/ 103982 w 469107"/>
                <a:gd name="connsiteY1" fmla="*/ 13 h 96107"/>
                <a:gd name="connsiteX2" fmla="*/ 230982 w 469107"/>
                <a:gd name="connsiteY2" fmla="*/ 50020 h 96107"/>
                <a:gd name="connsiteX3" fmla="*/ 361157 w 469107"/>
                <a:gd name="connsiteY3" fmla="*/ 96058 h 96107"/>
                <a:gd name="connsiteX4" fmla="*/ 469107 w 469107"/>
                <a:gd name="connsiteY4" fmla="*/ 56370 h 96107"/>
                <a:gd name="connsiteX0" fmla="*/ 0 w 476251"/>
                <a:gd name="connsiteY0" fmla="*/ 54783 h 96107"/>
                <a:gd name="connsiteX1" fmla="*/ 111126 w 476251"/>
                <a:gd name="connsiteY1" fmla="*/ 13 h 96107"/>
                <a:gd name="connsiteX2" fmla="*/ 238126 w 476251"/>
                <a:gd name="connsiteY2" fmla="*/ 50020 h 96107"/>
                <a:gd name="connsiteX3" fmla="*/ 368301 w 476251"/>
                <a:gd name="connsiteY3" fmla="*/ 96058 h 96107"/>
                <a:gd name="connsiteX4" fmla="*/ 476251 w 476251"/>
                <a:gd name="connsiteY4" fmla="*/ 56370 h 96107"/>
                <a:gd name="connsiteX0" fmla="*/ 0 w 476251"/>
                <a:gd name="connsiteY0" fmla="*/ 30988 h 72312"/>
                <a:gd name="connsiteX1" fmla="*/ 130176 w 476251"/>
                <a:gd name="connsiteY1" fmla="*/ 31 h 72312"/>
                <a:gd name="connsiteX2" fmla="*/ 238126 w 476251"/>
                <a:gd name="connsiteY2" fmla="*/ 26225 h 72312"/>
                <a:gd name="connsiteX3" fmla="*/ 368301 w 476251"/>
                <a:gd name="connsiteY3" fmla="*/ 72263 h 72312"/>
                <a:gd name="connsiteX4" fmla="*/ 476251 w 476251"/>
                <a:gd name="connsiteY4" fmla="*/ 32575 h 7231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76251" h="72312">
                  <a:moveTo>
                    <a:pt x="0" y="30988"/>
                  </a:moveTo>
                  <a:cubicBezTo>
                    <a:pt x="41275" y="15906"/>
                    <a:pt x="90488" y="825"/>
                    <a:pt x="130176" y="31"/>
                  </a:cubicBezTo>
                  <a:cubicBezTo>
                    <a:pt x="169864" y="-763"/>
                    <a:pt x="198439" y="14186"/>
                    <a:pt x="238126" y="26225"/>
                  </a:cubicBezTo>
                  <a:cubicBezTo>
                    <a:pt x="277813" y="38264"/>
                    <a:pt x="328614" y="71205"/>
                    <a:pt x="368301" y="72263"/>
                  </a:cubicBezTo>
                  <a:cubicBezTo>
                    <a:pt x="407988" y="73321"/>
                    <a:pt x="468314" y="57446"/>
                    <a:pt x="476251" y="32575"/>
                  </a:cubicBezTo>
                </a:path>
              </a:pathLst>
            </a:custGeom>
            <a:noFill/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476" name="Freeform: Shape 137">
              <a:extLst>
                <a:ext uri="{FF2B5EF4-FFF2-40B4-BE49-F238E27FC236}">
                  <a16:creationId xmlns:a16="http://schemas.microsoft.com/office/drawing/2014/main" id="{00000000-0008-0000-0300-0000DC010000}"/>
                </a:ext>
              </a:extLst>
            </xdr:cNvPr>
            <xdr:cNvSpPr/>
          </xdr:nvSpPr>
          <xdr:spPr>
            <a:xfrm>
              <a:off x="8588624" y="4360936"/>
              <a:ext cx="240506" cy="40726"/>
            </a:xfrm>
            <a:custGeom>
              <a:avLst/>
              <a:gdLst>
                <a:gd name="connsiteX0" fmla="*/ 0 w 238125"/>
                <a:gd name="connsiteY0" fmla="*/ 45330 h 45330"/>
                <a:gd name="connsiteX1" fmla="*/ 150019 w 238125"/>
                <a:gd name="connsiteY1" fmla="*/ 86 h 45330"/>
                <a:gd name="connsiteX2" fmla="*/ 238125 w 238125"/>
                <a:gd name="connsiteY2" fmla="*/ 40567 h 45330"/>
                <a:gd name="connsiteX0" fmla="*/ 0 w 240506"/>
                <a:gd name="connsiteY0" fmla="*/ 38108 h 40489"/>
                <a:gd name="connsiteX1" fmla="*/ 152400 w 240506"/>
                <a:gd name="connsiteY1" fmla="*/ 8 h 40489"/>
                <a:gd name="connsiteX2" fmla="*/ 240506 w 240506"/>
                <a:gd name="connsiteY2" fmla="*/ 40489 h 404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240506" h="40489">
                  <a:moveTo>
                    <a:pt x="0" y="38108"/>
                  </a:moveTo>
                  <a:cubicBezTo>
                    <a:pt x="55166" y="15883"/>
                    <a:pt x="112316" y="-389"/>
                    <a:pt x="152400" y="8"/>
                  </a:cubicBezTo>
                  <a:cubicBezTo>
                    <a:pt x="192484" y="405"/>
                    <a:pt x="229790" y="3183"/>
                    <a:pt x="240506" y="40489"/>
                  </a:cubicBezTo>
                </a:path>
              </a:pathLst>
            </a:custGeom>
            <a:noFill/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479" name="Straight Connector 138">
              <a:extLst>
                <a:ext uri="{FF2B5EF4-FFF2-40B4-BE49-F238E27FC236}">
                  <a16:creationId xmlns:a16="http://schemas.microsoft.com/office/drawing/2014/main" id="{00000000-0008-0000-0300-0000DF010000}"/>
                </a:ext>
              </a:extLst>
            </xdr:cNvPr>
            <xdr:cNvCxnSpPr>
              <a:endCxn id="468" idx="1"/>
            </xdr:cNvCxnSpPr>
          </xdr:nvCxnSpPr>
          <xdr:spPr>
            <a:xfrm>
              <a:off x="8519838" y="4554899"/>
              <a:ext cx="309068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0" name="Straight Connector 139">
              <a:extLst>
                <a:ext uri="{FF2B5EF4-FFF2-40B4-BE49-F238E27FC236}">
                  <a16:creationId xmlns:a16="http://schemas.microsoft.com/office/drawing/2014/main" id="{00000000-0008-0000-0300-0000E0010000}"/>
                </a:ext>
              </a:extLst>
            </xdr:cNvPr>
            <xdr:cNvCxnSpPr>
              <a:stCxn id="468" idx="3"/>
            </xdr:cNvCxnSpPr>
          </xdr:nvCxnSpPr>
          <xdr:spPr>
            <a:xfrm>
              <a:off x="8352763" y="4554899"/>
              <a:ext cx="61709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9" name="Group 3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GrpSpPr/>
        </xdr:nvGrpSpPr>
        <xdr:grpSpPr>
          <a:xfrm>
            <a:off x="3077997" y="2523925"/>
            <a:ext cx="309270" cy="307984"/>
            <a:chOff x="8345494" y="4875944"/>
            <a:chExt cx="478630" cy="486234"/>
          </a:xfrm>
        </xdr:grpSpPr>
        <xdr:sp macro="" textlink="">
          <xdr:nvSpPr>
            <xdr:cNvPr id="460" name="Freeform: Shape 13">
              <a:extLst>
                <a:ext uri="{FF2B5EF4-FFF2-40B4-BE49-F238E27FC236}">
                  <a16:creationId xmlns:a16="http://schemas.microsoft.com/office/drawing/2014/main" id="{00000000-0008-0000-0300-0000CC010000}"/>
                </a:ext>
              </a:extLst>
            </xdr:cNvPr>
            <xdr:cNvSpPr/>
          </xdr:nvSpPr>
          <xdr:spPr>
            <a:xfrm>
              <a:off x="8395500" y="5109307"/>
              <a:ext cx="117662" cy="120463"/>
            </a:xfrm>
            <a:custGeom>
              <a:avLst/>
              <a:gdLst>
                <a:gd name="connsiteX0" fmla="*/ 117662 w 117662"/>
                <a:gd name="connsiteY0" fmla="*/ 120463 h 120463"/>
                <a:gd name="connsiteX1" fmla="*/ 67236 w 117662"/>
                <a:gd name="connsiteY1" fmla="*/ 120463 h 120463"/>
                <a:gd name="connsiteX2" fmla="*/ 0 w 117662"/>
                <a:gd name="connsiteY2" fmla="*/ 39220 h 120463"/>
                <a:gd name="connsiteX3" fmla="*/ 0 w 117662"/>
                <a:gd name="connsiteY3" fmla="*/ 0 h 120463"/>
                <a:gd name="connsiteX0" fmla="*/ 117662 w 117662"/>
                <a:gd name="connsiteY0" fmla="*/ 120463 h 120463"/>
                <a:gd name="connsiteX1" fmla="*/ 67236 w 117662"/>
                <a:gd name="connsiteY1" fmla="*/ 120463 h 120463"/>
                <a:gd name="connsiteX2" fmla="*/ 4762 w 117662"/>
                <a:gd name="connsiteY2" fmla="*/ 63033 h 120463"/>
                <a:gd name="connsiteX3" fmla="*/ 0 w 117662"/>
                <a:gd name="connsiteY3" fmla="*/ 0 h 12046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17662" h="120463">
                  <a:moveTo>
                    <a:pt x="117662" y="120463"/>
                  </a:moveTo>
                  <a:lnTo>
                    <a:pt x="67236" y="120463"/>
                  </a:lnTo>
                  <a:lnTo>
                    <a:pt x="4762" y="63033"/>
                  </a:lnTo>
                  <a:lnTo>
                    <a:pt x="0" y="0"/>
                  </a:lnTo>
                </a:path>
              </a:pathLst>
            </a:custGeom>
            <a:solidFill>
              <a:srgbClr val="FFC000"/>
            </a:solidFill>
            <a:ln>
              <a:solidFill>
                <a:srgbClr val="000019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461" name="Arrow: Pentagon 3">
              <a:extLst>
                <a:ext uri="{FF2B5EF4-FFF2-40B4-BE49-F238E27FC236}">
                  <a16:creationId xmlns:a16="http://schemas.microsoft.com/office/drawing/2014/main" id="{00000000-0008-0000-0300-0000CD010000}"/>
                </a:ext>
              </a:extLst>
            </xdr:cNvPr>
            <xdr:cNvSpPr/>
          </xdr:nvSpPr>
          <xdr:spPr>
            <a:xfrm rot="5400000">
              <a:off x="8387595" y="4873752"/>
              <a:ext cx="396465" cy="476143"/>
            </a:xfrm>
            <a:custGeom>
              <a:avLst/>
              <a:gdLst>
                <a:gd name="connsiteX0" fmla="*/ 0 w 310811"/>
                <a:gd name="connsiteY0" fmla="*/ 0 h 476143"/>
                <a:gd name="connsiteX1" fmla="*/ 155406 w 310811"/>
                <a:gd name="connsiteY1" fmla="*/ 0 h 476143"/>
                <a:gd name="connsiteX2" fmla="*/ 310811 w 310811"/>
                <a:gd name="connsiteY2" fmla="*/ 238072 h 476143"/>
                <a:gd name="connsiteX3" fmla="*/ 155406 w 310811"/>
                <a:gd name="connsiteY3" fmla="*/ 476143 h 476143"/>
                <a:gd name="connsiteX4" fmla="*/ 0 w 310811"/>
                <a:gd name="connsiteY4" fmla="*/ 476143 h 476143"/>
                <a:gd name="connsiteX5" fmla="*/ 0 w 310811"/>
                <a:gd name="connsiteY5" fmla="*/ 0 h 476143"/>
                <a:gd name="connsiteX0" fmla="*/ 0 w 310811"/>
                <a:gd name="connsiteY0" fmla="*/ 0 h 476143"/>
                <a:gd name="connsiteX1" fmla="*/ 155406 w 310811"/>
                <a:gd name="connsiteY1" fmla="*/ 0 h 476143"/>
                <a:gd name="connsiteX2" fmla="*/ 310811 w 310811"/>
                <a:gd name="connsiteY2" fmla="*/ 238072 h 476143"/>
                <a:gd name="connsiteX3" fmla="*/ 155406 w 310811"/>
                <a:gd name="connsiteY3" fmla="*/ 476143 h 476143"/>
                <a:gd name="connsiteX4" fmla="*/ 0 w 310811"/>
                <a:gd name="connsiteY4" fmla="*/ 476143 h 476143"/>
                <a:gd name="connsiteX5" fmla="*/ 91440 w 310811"/>
                <a:gd name="connsiteY5" fmla="*/ 91440 h 476143"/>
                <a:gd name="connsiteX0" fmla="*/ 0 w 310811"/>
                <a:gd name="connsiteY0" fmla="*/ 0 h 476143"/>
                <a:gd name="connsiteX1" fmla="*/ 155406 w 310811"/>
                <a:gd name="connsiteY1" fmla="*/ 0 h 476143"/>
                <a:gd name="connsiteX2" fmla="*/ 310811 w 310811"/>
                <a:gd name="connsiteY2" fmla="*/ 238072 h 476143"/>
                <a:gd name="connsiteX3" fmla="*/ 155406 w 310811"/>
                <a:gd name="connsiteY3" fmla="*/ 476143 h 476143"/>
                <a:gd name="connsiteX4" fmla="*/ 0 w 310811"/>
                <a:gd name="connsiteY4" fmla="*/ 476143 h 476143"/>
                <a:gd name="connsiteX0" fmla="*/ 0 w 275092"/>
                <a:gd name="connsiteY0" fmla="*/ 0 h 476143"/>
                <a:gd name="connsiteX1" fmla="*/ 155406 w 275092"/>
                <a:gd name="connsiteY1" fmla="*/ 0 h 476143"/>
                <a:gd name="connsiteX2" fmla="*/ 275092 w 275092"/>
                <a:gd name="connsiteY2" fmla="*/ 240453 h 476143"/>
                <a:gd name="connsiteX3" fmla="*/ 155406 w 275092"/>
                <a:gd name="connsiteY3" fmla="*/ 476143 h 476143"/>
                <a:gd name="connsiteX4" fmla="*/ 0 w 275092"/>
                <a:gd name="connsiteY4" fmla="*/ 476143 h 476143"/>
                <a:gd name="connsiteX0" fmla="*/ 0 w 413207"/>
                <a:gd name="connsiteY0" fmla="*/ 0 h 476143"/>
                <a:gd name="connsiteX1" fmla="*/ 155406 w 413207"/>
                <a:gd name="connsiteY1" fmla="*/ 0 h 476143"/>
                <a:gd name="connsiteX2" fmla="*/ 413207 w 413207"/>
                <a:gd name="connsiteY2" fmla="*/ 242834 h 476143"/>
                <a:gd name="connsiteX3" fmla="*/ 155406 w 413207"/>
                <a:gd name="connsiteY3" fmla="*/ 476143 h 476143"/>
                <a:gd name="connsiteX4" fmla="*/ 0 w 413207"/>
                <a:gd name="connsiteY4" fmla="*/ 476143 h 476143"/>
                <a:gd name="connsiteX0" fmla="*/ 0 w 367963"/>
                <a:gd name="connsiteY0" fmla="*/ 0 h 476143"/>
                <a:gd name="connsiteX1" fmla="*/ 155406 w 367963"/>
                <a:gd name="connsiteY1" fmla="*/ 0 h 476143"/>
                <a:gd name="connsiteX2" fmla="*/ 367963 w 367963"/>
                <a:gd name="connsiteY2" fmla="*/ 242834 h 476143"/>
                <a:gd name="connsiteX3" fmla="*/ 155406 w 367963"/>
                <a:gd name="connsiteY3" fmla="*/ 476143 h 476143"/>
                <a:gd name="connsiteX4" fmla="*/ 0 w 367963"/>
                <a:gd name="connsiteY4" fmla="*/ 476143 h 476143"/>
                <a:gd name="connsiteX0" fmla="*/ 0 w 394157"/>
                <a:gd name="connsiteY0" fmla="*/ 0 h 476143"/>
                <a:gd name="connsiteX1" fmla="*/ 155406 w 394157"/>
                <a:gd name="connsiteY1" fmla="*/ 0 h 476143"/>
                <a:gd name="connsiteX2" fmla="*/ 394157 w 394157"/>
                <a:gd name="connsiteY2" fmla="*/ 235690 h 476143"/>
                <a:gd name="connsiteX3" fmla="*/ 155406 w 394157"/>
                <a:gd name="connsiteY3" fmla="*/ 476143 h 476143"/>
                <a:gd name="connsiteX4" fmla="*/ 0 w 394157"/>
                <a:gd name="connsiteY4" fmla="*/ 476143 h 47614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94157" h="476143">
                  <a:moveTo>
                    <a:pt x="0" y="0"/>
                  </a:moveTo>
                  <a:lnTo>
                    <a:pt x="155406" y="0"/>
                  </a:lnTo>
                  <a:lnTo>
                    <a:pt x="394157" y="235690"/>
                  </a:lnTo>
                  <a:lnTo>
                    <a:pt x="155406" y="476143"/>
                  </a:lnTo>
                  <a:lnTo>
                    <a:pt x="0" y="476143"/>
                  </a:lnTo>
                </a:path>
              </a:pathLst>
            </a:cu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462" name="Straight Arrow Connector 151">
              <a:extLst>
                <a:ext uri="{FF2B5EF4-FFF2-40B4-BE49-F238E27FC236}">
                  <a16:creationId xmlns:a16="http://schemas.microsoft.com/office/drawing/2014/main" id="{00000000-0008-0000-0300-0000CE010000}"/>
                </a:ext>
              </a:extLst>
            </xdr:cNvPr>
            <xdr:cNvCxnSpPr/>
          </xdr:nvCxnSpPr>
          <xdr:spPr>
            <a:xfrm>
              <a:off x="8438366" y="4971765"/>
              <a:ext cx="2068" cy="159349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3" name="Straight Arrow Connector 152">
              <a:extLst>
                <a:ext uri="{FF2B5EF4-FFF2-40B4-BE49-F238E27FC236}">
                  <a16:creationId xmlns:a16="http://schemas.microsoft.com/office/drawing/2014/main" id="{00000000-0008-0000-0300-0000CF010000}"/>
                </a:ext>
              </a:extLst>
            </xdr:cNvPr>
            <xdr:cNvCxnSpPr/>
          </xdr:nvCxnSpPr>
          <xdr:spPr>
            <a:xfrm flipH="1" flipV="1">
              <a:off x="8439333" y="5228147"/>
              <a:ext cx="1414" cy="134031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64" name="Freeform: Shape 154">
              <a:extLst>
                <a:ext uri="{FF2B5EF4-FFF2-40B4-BE49-F238E27FC236}">
                  <a16:creationId xmlns:a16="http://schemas.microsoft.com/office/drawing/2014/main" id="{00000000-0008-0000-0300-0000D0010000}"/>
                </a:ext>
              </a:extLst>
            </xdr:cNvPr>
            <xdr:cNvSpPr/>
          </xdr:nvSpPr>
          <xdr:spPr>
            <a:xfrm>
              <a:off x="8345494" y="4886300"/>
              <a:ext cx="476251" cy="72735"/>
            </a:xfrm>
            <a:custGeom>
              <a:avLst/>
              <a:gdLst>
                <a:gd name="connsiteX0" fmla="*/ 0 w 466725"/>
                <a:gd name="connsiteY0" fmla="*/ 28690 h 79558"/>
                <a:gd name="connsiteX1" fmla="*/ 120650 w 466725"/>
                <a:gd name="connsiteY1" fmla="*/ 115 h 79558"/>
                <a:gd name="connsiteX2" fmla="*/ 228600 w 466725"/>
                <a:gd name="connsiteY2" fmla="*/ 38215 h 79558"/>
                <a:gd name="connsiteX3" fmla="*/ 377825 w 466725"/>
                <a:gd name="connsiteY3" fmla="*/ 79490 h 79558"/>
                <a:gd name="connsiteX4" fmla="*/ 466725 w 466725"/>
                <a:gd name="connsiteY4" fmla="*/ 44565 h 79558"/>
                <a:gd name="connsiteX0" fmla="*/ 0 w 469107"/>
                <a:gd name="connsiteY0" fmla="*/ 42882 h 79462"/>
                <a:gd name="connsiteX1" fmla="*/ 123032 w 469107"/>
                <a:gd name="connsiteY1" fmla="*/ 19 h 79462"/>
                <a:gd name="connsiteX2" fmla="*/ 230982 w 469107"/>
                <a:gd name="connsiteY2" fmla="*/ 38119 h 79462"/>
                <a:gd name="connsiteX3" fmla="*/ 380207 w 469107"/>
                <a:gd name="connsiteY3" fmla="*/ 79394 h 79462"/>
                <a:gd name="connsiteX4" fmla="*/ 469107 w 469107"/>
                <a:gd name="connsiteY4" fmla="*/ 44469 h 79462"/>
                <a:gd name="connsiteX0" fmla="*/ 0 w 469107"/>
                <a:gd name="connsiteY0" fmla="*/ 42882 h 84206"/>
                <a:gd name="connsiteX1" fmla="*/ 123032 w 469107"/>
                <a:gd name="connsiteY1" fmla="*/ 19 h 84206"/>
                <a:gd name="connsiteX2" fmla="*/ 230982 w 469107"/>
                <a:gd name="connsiteY2" fmla="*/ 38119 h 84206"/>
                <a:gd name="connsiteX3" fmla="*/ 361157 w 469107"/>
                <a:gd name="connsiteY3" fmla="*/ 84157 h 84206"/>
                <a:gd name="connsiteX4" fmla="*/ 469107 w 469107"/>
                <a:gd name="connsiteY4" fmla="*/ 44469 h 84206"/>
                <a:gd name="connsiteX0" fmla="*/ 0 w 469107"/>
                <a:gd name="connsiteY0" fmla="*/ 54783 h 96107"/>
                <a:gd name="connsiteX1" fmla="*/ 103982 w 469107"/>
                <a:gd name="connsiteY1" fmla="*/ 13 h 96107"/>
                <a:gd name="connsiteX2" fmla="*/ 230982 w 469107"/>
                <a:gd name="connsiteY2" fmla="*/ 50020 h 96107"/>
                <a:gd name="connsiteX3" fmla="*/ 361157 w 469107"/>
                <a:gd name="connsiteY3" fmla="*/ 96058 h 96107"/>
                <a:gd name="connsiteX4" fmla="*/ 469107 w 469107"/>
                <a:gd name="connsiteY4" fmla="*/ 56370 h 96107"/>
                <a:gd name="connsiteX0" fmla="*/ 0 w 476251"/>
                <a:gd name="connsiteY0" fmla="*/ 54783 h 96107"/>
                <a:gd name="connsiteX1" fmla="*/ 111126 w 476251"/>
                <a:gd name="connsiteY1" fmla="*/ 13 h 96107"/>
                <a:gd name="connsiteX2" fmla="*/ 238126 w 476251"/>
                <a:gd name="connsiteY2" fmla="*/ 50020 h 96107"/>
                <a:gd name="connsiteX3" fmla="*/ 368301 w 476251"/>
                <a:gd name="connsiteY3" fmla="*/ 96058 h 96107"/>
                <a:gd name="connsiteX4" fmla="*/ 476251 w 476251"/>
                <a:gd name="connsiteY4" fmla="*/ 56370 h 96107"/>
                <a:gd name="connsiteX0" fmla="*/ 0 w 476251"/>
                <a:gd name="connsiteY0" fmla="*/ 30988 h 72312"/>
                <a:gd name="connsiteX1" fmla="*/ 130176 w 476251"/>
                <a:gd name="connsiteY1" fmla="*/ 31 h 72312"/>
                <a:gd name="connsiteX2" fmla="*/ 238126 w 476251"/>
                <a:gd name="connsiteY2" fmla="*/ 26225 h 72312"/>
                <a:gd name="connsiteX3" fmla="*/ 368301 w 476251"/>
                <a:gd name="connsiteY3" fmla="*/ 72263 h 72312"/>
                <a:gd name="connsiteX4" fmla="*/ 476251 w 476251"/>
                <a:gd name="connsiteY4" fmla="*/ 32575 h 7231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76251" h="72312">
                  <a:moveTo>
                    <a:pt x="0" y="30988"/>
                  </a:moveTo>
                  <a:cubicBezTo>
                    <a:pt x="41275" y="15906"/>
                    <a:pt x="90488" y="825"/>
                    <a:pt x="130176" y="31"/>
                  </a:cubicBezTo>
                  <a:cubicBezTo>
                    <a:pt x="169864" y="-763"/>
                    <a:pt x="198439" y="14186"/>
                    <a:pt x="238126" y="26225"/>
                  </a:cubicBezTo>
                  <a:cubicBezTo>
                    <a:pt x="277813" y="38264"/>
                    <a:pt x="328614" y="71205"/>
                    <a:pt x="368301" y="72263"/>
                  </a:cubicBezTo>
                  <a:cubicBezTo>
                    <a:pt x="407988" y="73321"/>
                    <a:pt x="468314" y="57446"/>
                    <a:pt x="476251" y="32575"/>
                  </a:cubicBezTo>
                </a:path>
              </a:pathLst>
            </a:custGeom>
            <a:noFill/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465" name="Freeform: Shape 155">
              <a:extLst>
                <a:ext uri="{FF2B5EF4-FFF2-40B4-BE49-F238E27FC236}">
                  <a16:creationId xmlns:a16="http://schemas.microsoft.com/office/drawing/2014/main" id="{00000000-0008-0000-0300-0000D1010000}"/>
                </a:ext>
              </a:extLst>
            </xdr:cNvPr>
            <xdr:cNvSpPr/>
          </xdr:nvSpPr>
          <xdr:spPr>
            <a:xfrm>
              <a:off x="8583618" y="4875944"/>
              <a:ext cx="240506" cy="40726"/>
            </a:xfrm>
            <a:custGeom>
              <a:avLst/>
              <a:gdLst>
                <a:gd name="connsiteX0" fmla="*/ 0 w 238125"/>
                <a:gd name="connsiteY0" fmla="*/ 45330 h 45330"/>
                <a:gd name="connsiteX1" fmla="*/ 150019 w 238125"/>
                <a:gd name="connsiteY1" fmla="*/ 86 h 45330"/>
                <a:gd name="connsiteX2" fmla="*/ 238125 w 238125"/>
                <a:gd name="connsiteY2" fmla="*/ 40567 h 45330"/>
                <a:gd name="connsiteX0" fmla="*/ 0 w 240506"/>
                <a:gd name="connsiteY0" fmla="*/ 38108 h 40489"/>
                <a:gd name="connsiteX1" fmla="*/ 152400 w 240506"/>
                <a:gd name="connsiteY1" fmla="*/ 8 h 40489"/>
                <a:gd name="connsiteX2" fmla="*/ 240506 w 240506"/>
                <a:gd name="connsiteY2" fmla="*/ 40489 h 404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240506" h="40489">
                  <a:moveTo>
                    <a:pt x="0" y="38108"/>
                  </a:moveTo>
                  <a:cubicBezTo>
                    <a:pt x="55166" y="15883"/>
                    <a:pt x="112316" y="-389"/>
                    <a:pt x="152400" y="8"/>
                  </a:cubicBezTo>
                  <a:cubicBezTo>
                    <a:pt x="192484" y="405"/>
                    <a:pt x="229790" y="3183"/>
                    <a:pt x="240506" y="40489"/>
                  </a:cubicBezTo>
                </a:path>
              </a:pathLst>
            </a:custGeom>
            <a:noFill/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466" name="Straight Connector 157">
              <a:extLst>
                <a:ext uri="{FF2B5EF4-FFF2-40B4-BE49-F238E27FC236}">
                  <a16:creationId xmlns:a16="http://schemas.microsoft.com/office/drawing/2014/main" id="{00000000-0008-0000-0300-0000D2010000}"/>
                </a:ext>
              </a:extLst>
            </xdr:cNvPr>
            <xdr:cNvCxnSpPr>
              <a:stCxn id="461" idx="1"/>
            </xdr:cNvCxnSpPr>
          </xdr:nvCxnSpPr>
          <xdr:spPr>
            <a:xfrm flipH="1">
              <a:off x="8492263" y="5069907"/>
              <a:ext cx="331636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0" name="Group 35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GrpSpPr/>
        </xdr:nvGrpSpPr>
        <xdr:grpSpPr>
          <a:xfrm>
            <a:off x="3092395" y="3241386"/>
            <a:ext cx="309270" cy="341882"/>
            <a:chOff x="8367778" y="6017906"/>
            <a:chExt cx="478630" cy="544378"/>
          </a:xfrm>
        </xdr:grpSpPr>
        <xdr:sp macro="" textlink="">
          <xdr:nvSpPr>
            <xdr:cNvPr id="452" name="Freeform: Shape 11">
              <a:extLst>
                <a:ext uri="{FF2B5EF4-FFF2-40B4-BE49-F238E27FC236}">
                  <a16:creationId xmlns:a16="http://schemas.microsoft.com/office/drawing/2014/main" id="{00000000-0008-0000-0300-0000C4010000}"/>
                </a:ext>
              </a:extLst>
            </xdr:cNvPr>
            <xdr:cNvSpPr/>
          </xdr:nvSpPr>
          <xdr:spPr>
            <a:xfrm>
              <a:off x="8490778" y="6324559"/>
              <a:ext cx="117662" cy="120463"/>
            </a:xfrm>
            <a:custGeom>
              <a:avLst/>
              <a:gdLst>
                <a:gd name="connsiteX0" fmla="*/ 117662 w 117662"/>
                <a:gd name="connsiteY0" fmla="*/ 120463 h 120463"/>
                <a:gd name="connsiteX1" fmla="*/ 67236 w 117662"/>
                <a:gd name="connsiteY1" fmla="*/ 120463 h 120463"/>
                <a:gd name="connsiteX2" fmla="*/ 0 w 117662"/>
                <a:gd name="connsiteY2" fmla="*/ 39220 h 120463"/>
                <a:gd name="connsiteX3" fmla="*/ 0 w 117662"/>
                <a:gd name="connsiteY3" fmla="*/ 0 h 120463"/>
                <a:gd name="connsiteX0" fmla="*/ 117662 w 117662"/>
                <a:gd name="connsiteY0" fmla="*/ 120463 h 120463"/>
                <a:gd name="connsiteX1" fmla="*/ 67236 w 117662"/>
                <a:gd name="connsiteY1" fmla="*/ 120463 h 120463"/>
                <a:gd name="connsiteX2" fmla="*/ 4762 w 117662"/>
                <a:gd name="connsiteY2" fmla="*/ 63033 h 120463"/>
                <a:gd name="connsiteX3" fmla="*/ 0 w 117662"/>
                <a:gd name="connsiteY3" fmla="*/ 0 h 12046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17662" h="120463">
                  <a:moveTo>
                    <a:pt x="117662" y="120463"/>
                  </a:moveTo>
                  <a:lnTo>
                    <a:pt x="67236" y="120463"/>
                  </a:lnTo>
                  <a:lnTo>
                    <a:pt x="4762" y="63033"/>
                  </a:lnTo>
                  <a:lnTo>
                    <a:pt x="0" y="0"/>
                  </a:lnTo>
                </a:path>
              </a:pathLst>
            </a:custGeom>
            <a:solidFill>
              <a:srgbClr val="FFC000"/>
            </a:solidFill>
            <a:ln>
              <a:solidFill>
                <a:srgbClr val="000019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453" name="Arrow: Pentagon 3">
              <a:extLst>
                <a:ext uri="{FF2B5EF4-FFF2-40B4-BE49-F238E27FC236}">
                  <a16:creationId xmlns:a16="http://schemas.microsoft.com/office/drawing/2014/main" id="{00000000-0008-0000-0300-0000C5010000}"/>
                </a:ext>
              </a:extLst>
            </xdr:cNvPr>
            <xdr:cNvSpPr/>
          </xdr:nvSpPr>
          <xdr:spPr>
            <a:xfrm rot="5400000">
              <a:off x="8411225" y="6014113"/>
              <a:ext cx="393773" cy="476143"/>
            </a:xfrm>
            <a:custGeom>
              <a:avLst/>
              <a:gdLst>
                <a:gd name="connsiteX0" fmla="*/ 0 w 310811"/>
                <a:gd name="connsiteY0" fmla="*/ 0 h 476143"/>
                <a:gd name="connsiteX1" fmla="*/ 155406 w 310811"/>
                <a:gd name="connsiteY1" fmla="*/ 0 h 476143"/>
                <a:gd name="connsiteX2" fmla="*/ 310811 w 310811"/>
                <a:gd name="connsiteY2" fmla="*/ 238072 h 476143"/>
                <a:gd name="connsiteX3" fmla="*/ 155406 w 310811"/>
                <a:gd name="connsiteY3" fmla="*/ 476143 h 476143"/>
                <a:gd name="connsiteX4" fmla="*/ 0 w 310811"/>
                <a:gd name="connsiteY4" fmla="*/ 476143 h 476143"/>
                <a:gd name="connsiteX5" fmla="*/ 0 w 310811"/>
                <a:gd name="connsiteY5" fmla="*/ 0 h 476143"/>
                <a:gd name="connsiteX0" fmla="*/ 0 w 310811"/>
                <a:gd name="connsiteY0" fmla="*/ 0 h 476143"/>
                <a:gd name="connsiteX1" fmla="*/ 155406 w 310811"/>
                <a:gd name="connsiteY1" fmla="*/ 0 h 476143"/>
                <a:gd name="connsiteX2" fmla="*/ 310811 w 310811"/>
                <a:gd name="connsiteY2" fmla="*/ 238072 h 476143"/>
                <a:gd name="connsiteX3" fmla="*/ 155406 w 310811"/>
                <a:gd name="connsiteY3" fmla="*/ 476143 h 476143"/>
                <a:gd name="connsiteX4" fmla="*/ 0 w 310811"/>
                <a:gd name="connsiteY4" fmla="*/ 476143 h 476143"/>
                <a:gd name="connsiteX5" fmla="*/ 91440 w 310811"/>
                <a:gd name="connsiteY5" fmla="*/ 91440 h 476143"/>
                <a:gd name="connsiteX0" fmla="*/ 0 w 310811"/>
                <a:gd name="connsiteY0" fmla="*/ 0 h 476143"/>
                <a:gd name="connsiteX1" fmla="*/ 155406 w 310811"/>
                <a:gd name="connsiteY1" fmla="*/ 0 h 476143"/>
                <a:gd name="connsiteX2" fmla="*/ 310811 w 310811"/>
                <a:gd name="connsiteY2" fmla="*/ 238072 h 476143"/>
                <a:gd name="connsiteX3" fmla="*/ 155406 w 310811"/>
                <a:gd name="connsiteY3" fmla="*/ 476143 h 476143"/>
                <a:gd name="connsiteX4" fmla="*/ 0 w 310811"/>
                <a:gd name="connsiteY4" fmla="*/ 476143 h 476143"/>
                <a:gd name="connsiteX0" fmla="*/ 0 w 275092"/>
                <a:gd name="connsiteY0" fmla="*/ 0 h 476143"/>
                <a:gd name="connsiteX1" fmla="*/ 155406 w 275092"/>
                <a:gd name="connsiteY1" fmla="*/ 0 h 476143"/>
                <a:gd name="connsiteX2" fmla="*/ 275092 w 275092"/>
                <a:gd name="connsiteY2" fmla="*/ 240453 h 476143"/>
                <a:gd name="connsiteX3" fmla="*/ 155406 w 275092"/>
                <a:gd name="connsiteY3" fmla="*/ 476143 h 476143"/>
                <a:gd name="connsiteX4" fmla="*/ 0 w 275092"/>
                <a:gd name="connsiteY4" fmla="*/ 476143 h 476143"/>
                <a:gd name="connsiteX0" fmla="*/ 0 w 413207"/>
                <a:gd name="connsiteY0" fmla="*/ 0 h 476143"/>
                <a:gd name="connsiteX1" fmla="*/ 155406 w 413207"/>
                <a:gd name="connsiteY1" fmla="*/ 0 h 476143"/>
                <a:gd name="connsiteX2" fmla="*/ 413207 w 413207"/>
                <a:gd name="connsiteY2" fmla="*/ 242834 h 476143"/>
                <a:gd name="connsiteX3" fmla="*/ 155406 w 413207"/>
                <a:gd name="connsiteY3" fmla="*/ 476143 h 476143"/>
                <a:gd name="connsiteX4" fmla="*/ 0 w 413207"/>
                <a:gd name="connsiteY4" fmla="*/ 476143 h 476143"/>
                <a:gd name="connsiteX0" fmla="*/ 0 w 367963"/>
                <a:gd name="connsiteY0" fmla="*/ 0 h 476143"/>
                <a:gd name="connsiteX1" fmla="*/ 155406 w 367963"/>
                <a:gd name="connsiteY1" fmla="*/ 0 h 476143"/>
                <a:gd name="connsiteX2" fmla="*/ 367963 w 367963"/>
                <a:gd name="connsiteY2" fmla="*/ 242834 h 476143"/>
                <a:gd name="connsiteX3" fmla="*/ 155406 w 367963"/>
                <a:gd name="connsiteY3" fmla="*/ 476143 h 476143"/>
                <a:gd name="connsiteX4" fmla="*/ 0 w 367963"/>
                <a:gd name="connsiteY4" fmla="*/ 476143 h 476143"/>
                <a:gd name="connsiteX0" fmla="*/ 0 w 394157"/>
                <a:gd name="connsiteY0" fmla="*/ 0 h 476143"/>
                <a:gd name="connsiteX1" fmla="*/ 155406 w 394157"/>
                <a:gd name="connsiteY1" fmla="*/ 0 h 476143"/>
                <a:gd name="connsiteX2" fmla="*/ 394157 w 394157"/>
                <a:gd name="connsiteY2" fmla="*/ 235690 h 476143"/>
                <a:gd name="connsiteX3" fmla="*/ 155406 w 394157"/>
                <a:gd name="connsiteY3" fmla="*/ 476143 h 476143"/>
                <a:gd name="connsiteX4" fmla="*/ 0 w 394157"/>
                <a:gd name="connsiteY4" fmla="*/ 476143 h 47614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94157" h="476143">
                  <a:moveTo>
                    <a:pt x="0" y="0"/>
                  </a:moveTo>
                  <a:lnTo>
                    <a:pt x="155406" y="0"/>
                  </a:lnTo>
                  <a:lnTo>
                    <a:pt x="394157" y="235690"/>
                  </a:lnTo>
                  <a:lnTo>
                    <a:pt x="155406" y="476143"/>
                  </a:lnTo>
                  <a:lnTo>
                    <a:pt x="0" y="476143"/>
                  </a:lnTo>
                </a:path>
              </a:pathLst>
            </a:cu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454" name="Straight Arrow Connector 160">
              <a:extLst>
                <a:ext uri="{FF2B5EF4-FFF2-40B4-BE49-F238E27FC236}">
                  <a16:creationId xmlns:a16="http://schemas.microsoft.com/office/drawing/2014/main" id="{00000000-0008-0000-0300-0000C6010000}"/>
                </a:ext>
              </a:extLst>
            </xdr:cNvPr>
            <xdr:cNvCxnSpPr/>
          </xdr:nvCxnSpPr>
          <xdr:spPr>
            <a:xfrm>
              <a:off x="8519388" y="6184173"/>
              <a:ext cx="2068" cy="158268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5" name="Straight Arrow Connector 161">
              <a:extLst>
                <a:ext uri="{FF2B5EF4-FFF2-40B4-BE49-F238E27FC236}">
                  <a16:creationId xmlns:a16="http://schemas.microsoft.com/office/drawing/2014/main" id="{00000000-0008-0000-0300-0000C7010000}"/>
                </a:ext>
              </a:extLst>
            </xdr:cNvPr>
            <xdr:cNvCxnSpPr/>
          </xdr:nvCxnSpPr>
          <xdr:spPr>
            <a:xfrm flipH="1" flipV="1">
              <a:off x="8517974" y="6429163"/>
              <a:ext cx="1415" cy="133121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6" name="Freeform: Shape 162">
              <a:extLst>
                <a:ext uri="{FF2B5EF4-FFF2-40B4-BE49-F238E27FC236}">
                  <a16:creationId xmlns:a16="http://schemas.microsoft.com/office/drawing/2014/main" id="{00000000-0008-0000-0300-0000C8010000}"/>
                </a:ext>
              </a:extLst>
            </xdr:cNvPr>
            <xdr:cNvSpPr/>
          </xdr:nvSpPr>
          <xdr:spPr>
            <a:xfrm>
              <a:off x="8367778" y="6028192"/>
              <a:ext cx="476251" cy="72242"/>
            </a:xfrm>
            <a:custGeom>
              <a:avLst/>
              <a:gdLst>
                <a:gd name="connsiteX0" fmla="*/ 0 w 466725"/>
                <a:gd name="connsiteY0" fmla="*/ 28690 h 79558"/>
                <a:gd name="connsiteX1" fmla="*/ 120650 w 466725"/>
                <a:gd name="connsiteY1" fmla="*/ 115 h 79558"/>
                <a:gd name="connsiteX2" fmla="*/ 228600 w 466725"/>
                <a:gd name="connsiteY2" fmla="*/ 38215 h 79558"/>
                <a:gd name="connsiteX3" fmla="*/ 377825 w 466725"/>
                <a:gd name="connsiteY3" fmla="*/ 79490 h 79558"/>
                <a:gd name="connsiteX4" fmla="*/ 466725 w 466725"/>
                <a:gd name="connsiteY4" fmla="*/ 44565 h 79558"/>
                <a:gd name="connsiteX0" fmla="*/ 0 w 469107"/>
                <a:gd name="connsiteY0" fmla="*/ 42882 h 79462"/>
                <a:gd name="connsiteX1" fmla="*/ 123032 w 469107"/>
                <a:gd name="connsiteY1" fmla="*/ 19 h 79462"/>
                <a:gd name="connsiteX2" fmla="*/ 230982 w 469107"/>
                <a:gd name="connsiteY2" fmla="*/ 38119 h 79462"/>
                <a:gd name="connsiteX3" fmla="*/ 380207 w 469107"/>
                <a:gd name="connsiteY3" fmla="*/ 79394 h 79462"/>
                <a:gd name="connsiteX4" fmla="*/ 469107 w 469107"/>
                <a:gd name="connsiteY4" fmla="*/ 44469 h 79462"/>
                <a:gd name="connsiteX0" fmla="*/ 0 w 469107"/>
                <a:gd name="connsiteY0" fmla="*/ 42882 h 84206"/>
                <a:gd name="connsiteX1" fmla="*/ 123032 w 469107"/>
                <a:gd name="connsiteY1" fmla="*/ 19 h 84206"/>
                <a:gd name="connsiteX2" fmla="*/ 230982 w 469107"/>
                <a:gd name="connsiteY2" fmla="*/ 38119 h 84206"/>
                <a:gd name="connsiteX3" fmla="*/ 361157 w 469107"/>
                <a:gd name="connsiteY3" fmla="*/ 84157 h 84206"/>
                <a:gd name="connsiteX4" fmla="*/ 469107 w 469107"/>
                <a:gd name="connsiteY4" fmla="*/ 44469 h 84206"/>
                <a:gd name="connsiteX0" fmla="*/ 0 w 469107"/>
                <a:gd name="connsiteY0" fmla="*/ 54783 h 96107"/>
                <a:gd name="connsiteX1" fmla="*/ 103982 w 469107"/>
                <a:gd name="connsiteY1" fmla="*/ 13 h 96107"/>
                <a:gd name="connsiteX2" fmla="*/ 230982 w 469107"/>
                <a:gd name="connsiteY2" fmla="*/ 50020 h 96107"/>
                <a:gd name="connsiteX3" fmla="*/ 361157 w 469107"/>
                <a:gd name="connsiteY3" fmla="*/ 96058 h 96107"/>
                <a:gd name="connsiteX4" fmla="*/ 469107 w 469107"/>
                <a:gd name="connsiteY4" fmla="*/ 56370 h 96107"/>
                <a:gd name="connsiteX0" fmla="*/ 0 w 476251"/>
                <a:gd name="connsiteY0" fmla="*/ 54783 h 96107"/>
                <a:gd name="connsiteX1" fmla="*/ 111126 w 476251"/>
                <a:gd name="connsiteY1" fmla="*/ 13 h 96107"/>
                <a:gd name="connsiteX2" fmla="*/ 238126 w 476251"/>
                <a:gd name="connsiteY2" fmla="*/ 50020 h 96107"/>
                <a:gd name="connsiteX3" fmla="*/ 368301 w 476251"/>
                <a:gd name="connsiteY3" fmla="*/ 96058 h 96107"/>
                <a:gd name="connsiteX4" fmla="*/ 476251 w 476251"/>
                <a:gd name="connsiteY4" fmla="*/ 56370 h 96107"/>
                <a:gd name="connsiteX0" fmla="*/ 0 w 476251"/>
                <a:gd name="connsiteY0" fmla="*/ 30988 h 72312"/>
                <a:gd name="connsiteX1" fmla="*/ 130176 w 476251"/>
                <a:gd name="connsiteY1" fmla="*/ 31 h 72312"/>
                <a:gd name="connsiteX2" fmla="*/ 238126 w 476251"/>
                <a:gd name="connsiteY2" fmla="*/ 26225 h 72312"/>
                <a:gd name="connsiteX3" fmla="*/ 368301 w 476251"/>
                <a:gd name="connsiteY3" fmla="*/ 72263 h 72312"/>
                <a:gd name="connsiteX4" fmla="*/ 476251 w 476251"/>
                <a:gd name="connsiteY4" fmla="*/ 32575 h 7231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76251" h="72312">
                  <a:moveTo>
                    <a:pt x="0" y="30988"/>
                  </a:moveTo>
                  <a:cubicBezTo>
                    <a:pt x="41275" y="15906"/>
                    <a:pt x="90488" y="825"/>
                    <a:pt x="130176" y="31"/>
                  </a:cubicBezTo>
                  <a:cubicBezTo>
                    <a:pt x="169864" y="-763"/>
                    <a:pt x="198439" y="14186"/>
                    <a:pt x="238126" y="26225"/>
                  </a:cubicBezTo>
                  <a:cubicBezTo>
                    <a:pt x="277813" y="38264"/>
                    <a:pt x="328614" y="71205"/>
                    <a:pt x="368301" y="72263"/>
                  </a:cubicBezTo>
                  <a:cubicBezTo>
                    <a:pt x="407988" y="73321"/>
                    <a:pt x="468314" y="57446"/>
                    <a:pt x="476251" y="32575"/>
                  </a:cubicBezTo>
                </a:path>
              </a:pathLst>
            </a:custGeom>
            <a:noFill/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457" name="Freeform: Shape 163">
              <a:extLst>
                <a:ext uri="{FF2B5EF4-FFF2-40B4-BE49-F238E27FC236}">
                  <a16:creationId xmlns:a16="http://schemas.microsoft.com/office/drawing/2014/main" id="{00000000-0008-0000-0300-0000C9010000}"/>
                </a:ext>
              </a:extLst>
            </xdr:cNvPr>
            <xdr:cNvSpPr/>
          </xdr:nvSpPr>
          <xdr:spPr>
            <a:xfrm>
              <a:off x="8605902" y="6017906"/>
              <a:ext cx="240506" cy="40450"/>
            </a:xfrm>
            <a:custGeom>
              <a:avLst/>
              <a:gdLst>
                <a:gd name="connsiteX0" fmla="*/ 0 w 238125"/>
                <a:gd name="connsiteY0" fmla="*/ 45330 h 45330"/>
                <a:gd name="connsiteX1" fmla="*/ 150019 w 238125"/>
                <a:gd name="connsiteY1" fmla="*/ 86 h 45330"/>
                <a:gd name="connsiteX2" fmla="*/ 238125 w 238125"/>
                <a:gd name="connsiteY2" fmla="*/ 40567 h 45330"/>
                <a:gd name="connsiteX0" fmla="*/ 0 w 240506"/>
                <a:gd name="connsiteY0" fmla="*/ 38108 h 40489"/>
                <a:gd name="connsiteX1" fmla="*/ 152400 w 240506"/>
                <a:gd name="connsiteY1" fmla="*/ 8 h 40489"/>
                <a:gd name="connsiteX2" fmla="*/ 240506 w 240506"/>
                <a:gd name="connsiteY2" fmla="*/ 40489 h 404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240506" h="40489">
                  <a:moveTo>
                    <a:pt x="0" y="38108"/>
                  </a:moveTo>
                  <a:cubicBezTo>
                    <a:pt x="55166" y="15883"/>
                    <a:pt x="112316" y="-389"/>
                    <a:pt x="152400" y="8"/>
                  </a:cubicBezTo>
                  <a:cubicBezTo>
                    <a:pt x="192484" y="405"/>
                    <a:pt x="229790" y="3183"/>
                    <a:pt x="240506" y="40489"/>
                  </a:cubicBezTo>
                </a:path>
              </a:pathLst>
            </a:custGeom>
            <a:noFill/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458" name="Straight Connector 165">
              <a:extLst>
                <a:ext uri="{FF2B5EF4-FFF2-40B4-BE49-F238E27FC236}">
                  <a16:creationId xmlns:a16="http://schemas.microsoft.com/office/drawing/2014/main" id="{00000000-0008-0000-0300-0000CA010000}"/>
                </a:ext>
              </a:extLst>
            </xdr:cNvPr>
            <xdr:cNvCxnSpPr>
              <a:stCxn id="453" idx="1"/>
            </xdr:cNvCxnSpPr>
          </xdr:nvCxnSpPr>
          <xdr:spPr>
            <a:xfrm flipH="1">
              <a:off x="8577531" y="6210553"/>
              <a:ext cx="268653" cy="1986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9" name="Straight Connector 168">
              <a:extLst>
                <a:ext uri="{FF2B5EF4-FFF2-40B4-BE49-F238E27FC236}">
                  <a16:creationId xmlns:a16="http://schemas.microsoft.com/office/drawing/2014/main" id="{00000000-0008-0000-0300-0000CB010000}"/>
                </a:ext>
              </a:extLst>
            </xdr:cNvPr>
            <xdr:cNvCxnSpPr>
              <a:endCxn id="453" idx="3"/>
            </xdr:cNvCxnSpPr>
          </xdr:nvCxnSpPr>
          <xdr:spPr>
            <a:xfrm flipH="1" flipV="1">
              <a:off x="8370040" y="6214934"/>
              <a:ext cx="135057" cy="47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1" name="Group 169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GrpSpPr/>
        </xdr:nvGrpSpPr>
        <xdr:grpSpPr>
          <a:xfrm>
            <a:off x="3106573" y="3600325"/>
            <a:ext cx="228561" cy="275099"/>
            <a:chOff x="4992131" y="5189274"/>
            <a:chExt cx="908607" cy="1109131"/>
          </a:xfrm>
        </xdr:grpSpPr>
        <xdr:sp macro="" textlink="">
          <xdr:nvSpPr>
            <xdr:cNvPr id="60" name="Freeform: Shape 170">
              <a:extLst>
                <a:ext uri="{FF2B5EF4-FFF2-40B4-BE49-F238E27FC236}">
                  <a16:creationId xmlns:a16="http://schemas.microsoft.com/office/drawing/2014/main" id="{00000000-0008-0000-0300-00003C000000}"/>
                </a:ext>
              </a:extLst>
            </xdr:cNvPr>
            <xdr:cNvSpPr/>
          </xdr:nvSpPr>
          <xdr:spPr>
            <a:xfrm>
              <a:off x="5526389" y="5189274"/>
              <a:ext cx="268022" cy="67767"/>
            </a:xfrm>
            <a:custGeom>
              <a:avLst/>
              <a:gdLst>
                <a:gd name="connsiteX0" fmla="*/ 0 w 238125"/>
                <a:gd name="connsiteY0" fmla="*/ 45330 h 45330"/>
                <a:gd name="connsiteX1" fmla="*/ 150019 w 238125"/>
                <a:gd name="connsiteY1" fmla="*/ 86 h 45330"/>
                <a:gd name="connsiteX2" fmla="*/ 238125 w 238125"/>
                <a:gd name="connsiteY2" fmla="*/ 40567 h 45330"/>
                <a:gd name="connsiteX0" fmla="*/ 0 w 240506"/>
                <a:gd name="connsiteY0" fmla="*/ 38108 h 40489"/>
                <a:gd name="connsiteX1" fmla="*/ 152400 w 240506"/>
                <a:gd name="connsiteY1" fmla="*/ 8 h 40489"/>
                <a:gd name="connsiteX2" fmla="*/ 240506 w 240506"/>
                <a:gd name="connsiteY2" fmla="*/ 40489 h 404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240506" h="40489">
                  <a:moveTo>
                    <a:pt x="0" y="38108"/>
                  </a:moveTo>
                  <a:cubicBezTo>
                    <a:pt x="55166" y="15883"/>
                    <a:pt x="112316" y="-389"/>
                    <a:pt x="152400" y="8"/>
                  </a:cubicBezTo>
                  <a:cubicBezTo>
                    <a:pt x="192484" y="405"/>
                    <a:pt x="229790" y="3183"/>
                    <a:pt x="240506" y="40489"/>
                  </a:cubicBezTo>
                </a:path>
              </a:pathLst>
            </a:custGeom>
            <a:noFill/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61" name="Straight Arrow Connector 172">
              <a:extLst>
                <a:ext uri="{FF2B5EF4-FFF2-40B4-BE49-F238E27FC236}">
                  <a16:creationId xmlns:a16="http://schemas.microsoft.com/office/drawing/2014/main" id="{00000000-0008-0000-0300-00003D000000}"/>
                </a:ext>
              </a:extLst>
            </xdr:cNvPr>
            <xdr:cNvCxnSpPr/>
          </xdr:nvCxnSpPr>
          <xdr:spPr>
            <a:xfrm>
              <a:off x="4995665" y="5189590"/>
              <a:ext cx="5955" cy="426023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2" name="Straight Arrow Connector 174">
              <a:extLst>
                <a:ext uri="{FF2B5EF4-FFF2-40B4-BE49-F238E27FC236}">
                  <a16:creationId xmlns:a16="http://schemas.microsoft.com/office/drawing/2014/main" id="{00000000-0008-0000-0300-00003E000000}"/>
                </a:ext>
              </a:extLst>
            </xdr:cNvPr>
            <xdr:cNvCxnSpPr/>
          </xdr:nvCxnSpPr>
          <xdr:spPr>
            <a:xfrm flipH="1" flipV="1">
              <a:off x="4992131" y="5772609"/>
              <a:ext cx="4071" cy="358338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63" name="Freeform: Shape 178">
              <a:extLst>
                <a:ext uri="{FF2B5EF4-FFF2-40B4-BE49-F238E27FC236}">
                  <a16:creationId xmlns:a16="http://schemas.microsoft.com/office/drawing/2014/main" id="{00000000-0008-0000-0300-00003F000000}"/>
                </a:ext>
              </a:extLst>
            </xdr:cNvPr>
            <xdr:cNvSpPr/>
          </xdr:nvSpPr>
          <xdr:spPr>
            <a:xfrm>
              <a:off x="5136357" y="5253036"/>
              <a:ext cx="764381" cy="1045369"/>
            </a:xfrm>
            <a:custGeom>
              <a:avLst/>
              <a:gdLst>
                <a:gd name="connsiteX0" fmla="*/ 657225 w 764381"/>
                <a:gd name="connsiteY0" fmla="*/ 0 h 1045369"/>
                <a:gd name="connsiteX1" fmla="*/ 657225 w 764381"/>
                <a:gd name="connsiteY1" fmla="*/ 309563 h 1045369"/>
                <a:gd name="connsiteX2" fmla="*/ 759619 w 764381"/>
                <a:gd name="connsiteY2" fmla="*/ 376238 h 1045369"/>
                <a:gd name="connsiteX3" fmla="*/ 654844 w 764381"/>
                <a:gd name="connsiteY3" fmla="*/ 445294 h 1045369"/>
                <a:gd name="connsiteX4" fmla="*/ 762000 w 764381"/>
                <a:gd name="connsiteY4" fmla="*/ 511969 h 1045369"/>
                <a:gd name="connsiteX5" fmla="*/ 652462 w 764381"/>
                <a:gd name="connsiteY5" fmla="*/ 583407 h 1045369"/>
                <a:gd name="connsiteX6" fmla="*/ 764381 w 764381"/>
                <a:gd name="connsiteY6" fmla="*/ 640557 h 1045369"/>
                <a:gd name="connsiteX7" fmla="*/ 759619 w 764381"/>
                <a:gd name="connsiteY7" fmla="*/ 657225 h 1045369"/>
                <a:gd name="connsiteX8" fmla="*/ 650081 w 764381"/>
                <a:gd name="connsiteY8" fmla="*/ 714375 h 1045369"/>
                <a:gd name="connsiteX9" fmla="*/ 735806 w 764381"/>
                <a:gd name="connsiteY9" fmla="*/ 773907 h 1045369"/>
                <a:gd name="connsiteX10" fmla="*/ 726281 w 764381"/>
                <a:gd name="connsiteY10" fmla="*/ 814388 h 1045369"/>
                <a:gd name="connsiteX11" fmla="*/ 654844 w 764381"/>
                <a:gd name="connsiteY11" fmla="*/ 854869 h 1045369"/>
                <a:gd name="connsiteX12" fmla="*/ 695325 w 764381"/>
                <a:gd name="connsiteY12" fmla="*/ 878682 h 1045369"/>
                <a:gd name="connsiteX13" fmla="*/ 673894 w 764381"/>
                <a:gd name="connsiteY13" fmla="*/ 976313 h 1045369"/>
                <a:gd name="connsiteX14" fmla="*/ 642937 w 764381"/>
                <a:gd name="connsiteY14" fmla="*/ 981075 h 1045369"/>
                <a:gd name="connsiteX15" fmla="*/ 623887 w 764381"/>
                <a:gd name="connsiteY15" fmla="*/ 1042988 h 1045369"/>
                <a:gd name="connsiteX16" fmla="*/ 130969 w 764381"/>
                <a:gd name="connsiteY16" fmla="*/ 1045369 h 1045369"/>
                <a:gd name="connsiteX17" fmla="*/ 102394 w 764381"/>
                <a:gd name="connsiteY17" fmla="*/ 933450 h 1045369"/>
                <a:gd name="connsiteX18" fmla="*/ 133350 w 764381"/>
                <a:gd name="connsiteY18" fmla="*/ 916782 h 1045369"/>
                <a:gd name="connsiteX19" fmla="*/ 85725 w 764381"/>
                <a:gd name="connsiteY19" fmla="*/ 900113 h 1045369"/>
                <a:gd name="connsiteX20" fmla="*/ 66675 w 764381"/>
                <a:gd name="connsiteY20" fmla="*/ 828675 h 1045369"/>
                <a:gd name="connsiteX21" fmla="*/ 130969 w 764381"/>
                <a:gd name="connsiteY21" fmla="*/ 788194 h 1045369"/>
                <a:gd name="connsiteX22" fmla="*/ 45244 w 764381"/>
                <a:gd name="connsiteY22" fmla="*/ 740569 h 1045369"/>
                <a:gd name="connsiteX23" fmla="*/ 38100 w 764381"/>
                <a:gd name="connsiteY23" fmla="*/ 709613 h 1045369"/>
                <a:gd name="connsiteX24" fmla="*/ 130969 w 764381"/>
                <a:gd name="connsiteY24" fmla="*/ 647700 h 1045369"/>
                <a:gd name="connsiteX25" fmla="*/ 4762 w 764381"/>
                <a:gd name="connsiteY25" fmla="*/ 581025 h 1045369"/>
                <a:gd name="connsiteX26" fmla="*/ 121444 w 764381"/>
                <a:gd name="connsiteY26" fmla="*/ 509588 h 1045369"/>
                <a:gd name="connsiteX27" fmla="*/ 0 w 764381"/>
                <a:gd name="connsiteY27" fmla="*/ 440532 h 1045369"/>
                <a:gd name="connsiteX28" fmla="*/ 126206 w 764381"/>
                <a:gd name="connsiteY28" fmla="*/ 357188 h 1045369"/>
                <a:gd name="connsiteX29" fmla="*/ 130969 w 764381"/>
                <a:gd name="connsiteY29" fmla="*/ 0 h 10453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</a:cxnLst>
              <a:rect l="l" t="t" r="r" b="b"/>
              <a:pathLst>
                <a:path w="764381" h="1045369">
                  <a:moveTo>
                    <a:pt x="657225" y="0"/>
                  </a:moveTo>
                  <a:lnTo>
                    <a:pt x="657225" y="309563"/>
                  </a:lnTo>
                  <a:lnTo>
                    <a:pt x="759619" y="376238"/>
                  </a:lnTo>
                  <a:lnTo>
                    <a:pt x="654844" y="445294"/>
                  </a:lnTo>
                  <a:lnTo>
                    <a:pt x="762000" y="511969"/>
                  </a:lnTo>
                  <a:lnTo>
                    <a:pt x="652462" y="583407"/>
                  </a:lnTo>
                  <a:lnTo>
                    <a:pt x="764381" y="640557"/>
                  </a:lnTo>
                  <a:lnTo>
                    <a:pt x="759619" y="657225"/>
                  </a:lnTo>
                  <a:lnTo>
                    <a:pt x="650081" y="714375"/>
                  </a:lnTo>
                  <a:lnTo>
                    <a:pt x="735806" y="773907"/>
                  </a:lnTo>
                  <a:lnTo>
                    <a:pt x="726281" y="814388"/>
                  </a:lnTo>
                  <a:lnTo>
                    <a:pt x="654844" y="854869"/>
                  </a:lnTo>
                  <a:lnTo>
                    <a:pt x="695325" y="878682"/>
                  </a:lnTo>
                  <a:lnTo>
                    <a:pt x="673894" y="976313"/>
                  </a:lnTo>
                  <a:lnTo>
                    <a:pt x="642937" y="981075"/>
                  </a:lnTo>
                  <a:lnTo>
                    <a:pt x="623887" y="1042988"/>
                  </a:lnTo>
                  <a:lnTo>
                    <a:pt x="130969" y="1045369"/>
                  </a:lnTo>
                  <a:lnTo>
                    <a:pt x="102394" y="933450"/>
                  </a:lnTo>
                  <a:lnTo>
                    <a:pt x="133350" y="916782"/>
                  </a:lnTo>
                  <a:lnTo>
                    <a:pt x="85725" y="900113"/>
                  </a:lnTo>
                  <a:lnTo>
                    <a:pt x="66675" y="828675"/>
                  </a:lnTo>
                  <a:lnTo>
                    <a:pt x="130969" y="788194"/>
                  </a:lnTo>
                  <a:lnTo>
                    <a:pt x="45244" y="740569"/>
                  </a:lnTo>
                  <a:lnTo>
                    <a:pt x="38100" y="709613"/>
                  </a:lnTo>
                  <a:lnTo>
                    <a:pt x="130969" y="647700"/>
                  </a:lnTo>
                  <a:lnTo>
                    <a:pt x="4762" y="581025"/>
                  </a:lnTo>
                  <a:lnTo>
                    <a:pt x="121444" y="509588"/>
                  </a:lnTo>
                  <a:lnTo>
                    <a:pt x="0" y="440532"/>
                  </a:lnTo>
                  <a:lnTo>
                    <a:pt x="126206" y="357188"/>
                  </a:lnTo>
                  <a:cubicBezTo>
                    <a:pt x="127794" y="238125"/>
                    <a:pt x="129381" y="119063"/>
                    <a:pt x="130969" y="0"/>
                  </a:cubicBezTo>
                </a:path>
              </a:pathLst>
            </a:cu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449" name="Freeform: Shape 179">
              <a:extLst>
                <a:ext uri="{FF2B5EF4-FFF2-40B4-BE49-F238E27FC236}">
                  <a16:creationId xmlns:a16="http://schemas.microsoft.com/office/drawing/2014/main" id="{00000000-0008-0000-0300-0000C1010000}"/>
                </a:ext>
              </a:extLst>
            </xdr:cNvPr>
            <xdr:cNvSpPr/>
          </xdr:nvSpPr>
          <xdr:spPr>
            <a:xfrm>
              <a:off x="5262323" y="5200137"/>
              <a:ext cx="527902" cy="122946"/>
            </a:xfrm>
            <a:custGeom>
              <a:avLst/>
              <a:gdLst>
                <a:gd name="connsiteX0" fmla="*/ 0 w 466725"/>
                <a:gd name="connsiteY0" fmla="*/ 28690 h 79558"/>
                <a:gd name="connsiteX1" fmla="*/ 120650 w 466725"/>
                <a:gd name="connsiteY1" fmla="*/ 115 h 79558"/>
                <a:gd name="connsiteX2" fmla="*/ 228600 w 466725"/>
                <a:gd name="connsiteY2" fmla="*/ 38215 h 79558"/>
                <a:gd name="connsiteX3" fmla="*/ 377825 w 466725"/>
                <a:gd name="connsiteY3" fmla="*/ 79490 h 79558"/>
                <a:gd name="connsiteX4" fmla="*/ 466725 w 466725"/>
                <a:gd name="connsiteY4" fmla="*/ 44565 h 79558"/>
                <a:gd name="connsiteX0" fmla="*/ 0 w 469107"/>
                <a:gd name="connsiteY0" fmla="*/ 42882 h 79462"/>
                <a:gd name="connsiteX1" fmla="*/ 123032 w 469107"/>
                <a:gd name="connsiteY1" fmla="*/ 19 h 79462"/>
                <a:gd name="connsiteX2" fmla="*/ 230982 w 469107"/>
                <a:gd name="connsiteY2" fmla="*/ 38119 h 79462"/>
                <a:gd name="connsiteX3" fmla="*/ 380207 w 469107"/>
                <a:gd name="connsiteY3" fmla="*/ 79394 h 79462"/>
                <a:gd name="connsiteX4" fmla="*/ 469107 w 469107"/>
                <a:gd name="connsiteY4" fmla="*/ 44469 h 79462"/>
                <a:gd name="connsiteX0" fmla="*/ 0 w 469107"/>
                <a:gd name="connsiteY0" fmla="*/ 42882 h 84206"/>
                <a:gd name="connsiteX1" fmla="*/ 123032 w 469107"/>
                <a:gd name="connsiteY1" fmla="*/ 19 h 84206"/>
                <a:gd name="connsiteX2" fmla="*/ 230982 w 469107"/>
                <a:gd name="connsiteY2" fmla="*/ 38119 h 84206"/>
                <a:gd name="connsiteX3" fmla="*/ 361157 w 469107"/>
                <a:gd name="connsiteY3" fmla="*/ 84157 h 84206"/>
                <a:gd name="connsiteX4" fmla="*/ 469107 w 469107"/>
                <a:gd name="connsiteY4" fmla="*/ 44469 h 84206"/>
                <a:gd name="connsiteX0" fmla="*/ 0 w 469107"/>
                <a:gd name="connsiteY0" fmla="*/ 54783 h 96107"/>
                <a:gd name="connsiteX1" fmla="*/ 103982 w 469107"/>
                <a:gd name="connsiteY1" fmla="*/ 13 h 96107"/>
                <a:gd name="connsiteX2" fmla="*/ 230982 w 469107"/>
                <a:gd name="connsiteY2" fmla="*/ 50020 h 96107"/>
                <a:gd name="connsiteX3" fmla="*/ 361157 w 469107"/>
                <a:gd name="connsiteY3" fmla="*/ 96058 h 96107"/>
                <a:gd name="connsiteX4" fmla="*/ 469107 w 469107"/>
                <a:gd name="connsiteY4" fmla="*/ 56370 h 96107"/>
                <a:gd name="connsiteX0" fmla="*/ 0 w 476251"/>
                <a:gd name="connsiteY0" fmla="*/ 54783 h 96107"/>
                <a:gd name="connsiteX1" fmla="*/ 111126 w 476251"/>
                <a:gd name="connsiteY1" fmla="*/ 13 h 96107"/>
                <a:gd name="connsiteX2" fmla="*/ 238126 w 476251"/>
                <a:gd name="connsiteY2" fmla="*/ 50020 h 96107"/>
                <a:gd name="connsiteX3" fmla="*/ 368301 w 476251"/>
                <a:gd name="connsiteY3" fmla="*/ 96058 h 96107"/>
                <a:gd name="connsiteX4" fmla="*/ 476251 w 476251"/>
                <a:gd name="connsiteY4" fmla="*/ 56370 h 96107"/>
                <a:gd name="connsiteX0" fmla="*/ 0 w 476251"/>
                <a:gd name="connsiteY0" fmla="*/ 30988 h 72312"/>
                <a:gd name="connsiteX1" fmla="*/ 130176 w 476251"/>
                <a:gd name="connsiteY1" fmla="*/ 31 h 72312"/>
                <a:gd name="connsiteX2" fmla="*/ 238126 w 476251"/>
                <a:gd name="connsiteY2" fmla="*/ 26225 h 72312"/>
                <a:gd name="connsiteX3" fmla="*/ 368301 w 476251"/>
                <a:gd name="connsiteY3" fmla="*/ 72263 h 72312"/>
                <a:gd name="connsiteX4" fmla="*/ 476251 w 476251"/>
                <a:gd name="connsiteY4" fmla="*/ 32575 h 7231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76251" h="72312">
                  <a:moveTo>
                    <a:pt x="0" y="30988"/>
                  </a:moveTo>
                  <a:cubicBezTo>
                    <a:pt x="41275" y="15906"/>
                    <a:pt x="90488" y="825"/>
                    <a:pt x="130176" y="31"/>
                  </a:cubicBezTo>
                  <a:cubicBezTo>
                    <a:pt x="169864" y="-763"/>
                    <a:pt x="198439" y="14186"/>
                    <a:pt x="238126" y="26225"/>
                  </a:cubicBezTo>
                  <a:cubicBezTo>
                    <a:pt x="277813" y="38264"/>
                    <a:pt x="328614" y="71205"/>
                    <a:pt x="368301" y="72263"/>
                  </a:cubicBezTo>
                  <a:cubicBezTo>
                    <a:pt x="407988" y="73321"/>
                    <a:pt x="468314" y="57446"/>
                    <a:pt x="476251" y="32575"/>
                  </a:cubicBezTo>
                </a:path>
              </a:pathLst>
            </a:custGeom>
            <a:noFill/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450" name="Freeform: Shape 176">
              <a:extLst>
                <a:ext uri="{FF2B5EF4-FFF2-40B4-BE49-F238E27FC236}">
                  <a16:creationId xmlns:a16="http://schemas.microsoft.com/office/drawing/2014/main" id="{00000000-0008-0000-0300-0000C2010000}"/>
                </a:ext>
              </a:extLst>
            </xdr:cNvPr>
            <xdr:cNvSpPr/>
          </xdr:nvSpPr>
          <xdr:spPr>
            <a:xfrm>
              <a:off x="5136356" y="5612606"/>
              <a:ext cx="126207" cy="152400"/>
            </a:xfrm>
            <a:custGeom>
              <a:avLst/>
              <a:gdLst>
                <a:gd name="connsiteX0" fmla="*/ 126207 w 126207"/>
                <a:gd name="connsiteY0" fmla="*/ 0 h 152400"/>
                <a:gd name="connsiteX1" fmla="*/ 0 w 126207"/>
                <a:gd name="connsiteY1" fmla="*/ 78582 h 152400"/>
                <a:gd name="connsiteX2" fmla="*/ 121444 w 126207"/>
                <a:gd name="connsiteY2" fmla="*/ 152400 h 1524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26207" h="152400">
                  <a:moveTo>
                    <a:pt x="126207" y="0"/>
                  </a:moveTo>
                  <a:lnTo>
                    <a:pt x="0" y="78582"/>
                  </a:lnTo>
                  <a:lnTo>
                    <a:pt x="121444" y="152400"/>
                  </a:lnTo>
                </a:path>
              </a:pathLst>
            </a:custGeom>
            <a:solidFill>
              <a:srgbClr val="FFC000"/>
            </a:solidFill>
            <a:ln w="1270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</xdr:grpSp>
      <xdr:grpSp>
        <xdr:nvGrpSpPr>
          <xdr:cNvPr id="22" name="Group 40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GrpSpPr/>
        </xdr:nvGrpSpPr>
        <xdr:grpSpPr>
          <a:xfrm>
            <a:off x="3017993" y="1781476"/>
            <a:ext cx="439811" cy="290028"/>
            <a:chOff x="8252632" y="3694538"/>
            <a:chExt cx="680657" cy="457885"/>
          </a:xfrm>
        </xdr:grpSpPr>
        <xdr:sp macro="" textlink="">
          <xdr:nvSpPr>
            <xdr:cNvPr id="53" name="Freeform: Shape 16">
              <a:extLst>
                <a:ext uri="{FF2B5EF4-FFF2-40B4-BE49-F238E27FC236}">
                  <a16:creationId xmlns:a16="http://schemas.microsoft.com/office/drawing/2014/main" id="{00000000-0008-0000-0300-000035000000}"/>
                </a:ext>
              </a:extLst>
            </xdr:cNvPr>
            <xdr:cNvSpPr/>
          </xdr:nvSpPr>
          <xdr:spPr>
            <a:xfrm flipH="1">
              <a:off x="8586245" y="3934692"/>
              <a:ext cx="148618" cy="149038"/>
            </a:xfrm>
            <a:custGeom>
              <a:avLst/>
              <a:gdLst>
                <a:gd name="connsiteX0" fmla="*/ 117662 w 117662"/>
                <a:gd name="connsiteY0" fmla="*/ 120463 h 120463"/>
                <a:gd name="connsiteX1" fmla="*/ 67236 w 117662"/>
                <a:gd name="connsiteY1" fmla="*/ 120463 h 120463"/>
                <a:gd name="connsiteX2" fmla="*/ 0 w 117662"/>
                <a:gd name="connsiteY2" fmla="*/ 39220 h 120463"/>
                <a:gd name="connsiteX3" fmla="*/ 0 w 117662"/>
                <a:gd name="connsiteY3" fmla="*/ 0 h 120463"/>
                <a:gd name="connsiteX0" fmla="*/ 117662 w 117662"/>
                <a:gd name="connsiteY0" fmla="*/ 120463 h 120463"/>
                <a:gd name="connsiteX1" fmla="*/ 67236 w 117662"/>
                <a:gd name="connsiteY1" fmla="*/ 120463 h 120463"/>
                <a:gd name="connsiteX2" fmla="*/ 4762 w 117662"/>
                <a:gd name="connsiteY2" fmla="*/ 63033 h 120463"/>
                <a:gd name="connsiteX3" fmla="*/ 0 w 117662"/>
                <a:gd name="connsiteY3" fmla="*/ 0 h 120463"/>
                <a:gd name="connsiteX0" fmla="*/ 224818 w 224818"/>
                <a:gd name="connsiteY0" fmla="*/ 120463 h 120463"/>
                <a:gd name="connsiteX1" fmla="*/ 174392 w 224818"/>
                <a:gd name="connsiteY1" fmla="*/ 120463 h 120463"/>
                <a:gd name="connsiteX2" fmla="*/ 0 w 224818"/>
                <a:gd name="connsiteY2" fmla="*/ 41602 h 120463"/>
                <a:gd name="connsiteX3" fmla="*/ 107156 w 224818"/>
                <a:gd name="connsiteY3" fmla="*/ 0 h 120463"/>
                <a:gd name="connsiteX0" fmla="*/ 241487 w 241487"/>
                <a:gd name="connsiteY0" fmla="*/ 120463 h 120463"/>
                <a:gd name="connsiteX1" fmla="*/ 191061 w 241487"/>
                <a:gd name="connsiteY1" fmla="*/ 120463 h 120463"/>
                <a:gd name="connsiteX2" fmla="*/ 16669 w 241487"/>
                <a:gd name="connsiteY2" fmla="*/ 41602 h 120463"/>
                <a:gd name="connsiteX3" fmla="*/ 0 w 241487"/>
                <a:gd name="connsiteY3" fmla="*/ 0 h 120463"/>
                <a:gd name="connsiteX0" fmla="*/ 231962 w 231962"/>
                <a:gd name="connsiteY0" fmla="*/ 129988 h 129988"/>
                <a:gd name="connsiteX1" fmla="*/ 181536 w 231962"/>
                <a:gd name="connsiteY1" fmla="*/ 129988 h 129988"/>
                <a:gd name="connsiteX2" fmla="*/ 7144 w 231962"/>
                <a:gd name="connsiteY2" fmla="*/ 51127 h 129988"/>
                <a:gd name="connsiteX3" fmla="*/ 0 w 231962"/>
                <a:gd name="connsiteY3" fmla="*/ 0 h 129988"/>
                <a:gd name="connsiteX0" fmla="*/ 231962 w 231962"/>
                <a:gd name="connsiteY0" fmla="*/ 129988 h 129988"/>
                <a:gd name="connsiteX1" fmla="*/ 181536 w 231962"/>
                <a:gd name="connsiteY1" fmla="*/ 129988 h 129988"/>
                <a:gd name="connsiteX2" fmla="*/ 11907 w 231962"/>
                <a:gd name="connsiteY2" fmla="*/ 43984 h 129988"/>
                <a:gd name="connsiteX3" fmla="*/ 0 w 231962"/>
                <a:gd name="connsiteY3" fmla="*/ 0 h 129988"/>
                <a:gd name="connsiteX0" fmla="*/ 220055 w 220055"/>
                <a:gd name="connsiteY0" fmla="*/ 127607 h 127607"/>
                <a:gd name="connsiteX1" fmla="*/ 169629 w 220055"/>
                <a:gd name="connsiteY1" fmla="*/ 127607 h 127607"/>
                <a:gd name="connsiteX2" fmla="*/ 0 w 220055"/>
                <a:gd name="connsiteY2" fmla="*/ 41603 h 127607"/>
                <a:gd name="connsiteX3" fmla="*/ 69056 w 220055"/>
                <a:gd name="connsiteY3" fmla="*/ 0 h 127607"/>
                <a:gd name="connsiteX0" fmla="*/ 150999 w 150999"/>
                <a:gd name="connsiteY0" fmla="*/ 127607 h 127607"/>
                <a:gd name="connsiteX1" fmla="*/ 100573 w 150999"/>
                <a:gd name="connsiteY1" fmla="*/ 127607 h 127607"/>
                <a:gd name="connsiteX2" fmla="*/ 14288 w 150999"/>
                <a:gd name="connsiteY2" fmla="*/ 46366 h 127607"/>
                <a:gd name="connsiteX3" fmla="*/ 0 w 150999"/>
                <a:gd name="connsiteY3" fmla="*/ 0 h 127607"/>
                <a:gd name="connsiteX0" fmla="*/ 136711 w 136711"/>
                <a:gd name="connsiteY0" fmla="*/ 132369 h 132369"/>
                <a:gd name="connsiteX1" fmla="*/ 86285 w 136711"/>
                <a:gd name="connsiteY1" fmla="*/ 132369 h 132369"/>
                <a:gd name="connsiteX2" fmla="*/ 0 w 136711"/>
                <a:gd name="connsiteY2" fmla="*/ 51128 h 132369"/>
                <a:gd name="connsiteX3" fmla="*/ 14287 w 136711"/>
                <a:gd name="connsiteY3" fmla="*/ 0 h 132369"/>
                <a:gd name="connsiteX0" fmla="*/ 148618 w 148618"/>
                <a:gd name="connsiteY0" fmla="*/ 149038 h 149038"/>
                <a:gd name="connsiteX1" fmla="*/ 98192 w 148618"/>
                <a:gd name="connsiteY1" fmla="*/ 149038 h 149038"/>
                <a:gd name="connsiteX2" fmla="*/ 11907 w 148618"/>
                <a:gd name="connsiteY2" fmla="*/ 67797 h 149038"/>
                <a:gd name="connsiteX3" fmla="*/ 0 w 148618"/>
                <a:gd name="connsiteY3" fmla="*/ 0 h 14903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148618" h="149038">
                  <a:moveTo>
                    <a:pt x="148618" y="149038"/>
                  </a:moveTo>
                  <a:lnTo>
                    <a:pt x="98192" y="149038"/>
                  </a:lnTo>
                  <a:lnTo>
                    <a:pt x="11907" y="67797"/>
                  </a:lnTo>
                  <a:lnTo>
                    <a:pt x="0" y="0"/>
                  </a:lnTo>
                </a:path>
              </a:pathLst>
            </a:custGeom>
            <a:solidFill>
              <a:srgbClr val="FFC000"/>
            </a:solidFill>
            <a:ln>
              <a:solidFill>
                <a:srgbClr val="000019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54" name="Arrow: Pentagon 3">
              <a:extLst>
                <a:ext uri="{FF2B5EF4-FFF2-40B4-BE49-F238E27FC236}">
                  <a16:creationId xmlns:a16="http://schemas.microsoft.com/office/drawing/2014/main" id="{00000000-0008-0000-0300-000036000000}"/>
                </a:ext>
              </a:extLst>
            </xdr:cNvPr>
            <xdr:cNvSpPr/>
          </xdr:nvSpPr>
          <xdr:spPr>
            <a:xfrm rot="5400000">
              <a:off x="8307536" y="3681828"/>
              <a:ext cx="418176" cy="523014"/>
            </a:xfrm>
            <a:custGeom>
              <a:avLst/>
              <a:gdLst>
                <a:gd name="connsiteX0" fmla="*/ 0 w 310811"/>
                <a:gd name="connsiteY0" fmla="*/ 0 h 476143"/>
                <a:gd name="connsiteX1" fmla="*/ 155406 w 310811"/>
                <a:gd name="connsiteY1" fmla="*/ 0 h 476143"/>
                <a:gd name="connsiteX2" fmla="*/ 310811 w 310811"/>
                <a:gd name="connsiteY2" fmla="*/ 238072 h 476143"/>
                <a:gd name="connsiteX3" fmla="*/ 155406 w 310811"/>
                <a:gd name="connsiteY3" fmla="*/ 476143 h 476143"/>
                <a:gd name="connsiteX4" fmla="*/ 0 w 310811"/>
                <a:gd name="connsiteY4" fmla="*/ 476143 h 476143"/>
                <a:gd name="connsiteX5" fmla="*/ 0 w 310811"/>
                <a:gd name="connsiteY5" fmla="*/ 0 h 476143"/>
                <a:gd name="connsiteX0" fmla="*/ 0 w 310811"/>
                <a:gd name="connsiteY0" fmla="*/ 0 h 476143"/>
                <a:gd name="connsiteX1" fmla="*/ 155406 w 310811"/>
                <a:gd name="connsiteY1" fmla="*/ 0 h 476143"/>
                <a:gd name="connsiteX2" fmla="*/ 310811 w 310811"/>
                <a:gd name="connsiteY2" fmla="*/ 238072 h 476143"/>
                <a:gd name="connsiteX3" fmla="*/ 155406 w 310811"/>
                <a:gd name="connsiteY3" fmla="*/ 476143 h 476143"/>
                <a:gd name="connsiteX4" fmla="*/ 0 w 310811"/>
                <a:gd name="connsiteY4" fmla="*/ 476143 h 476143"/>
                <a:gd name="connsiteX5" fmla="*/ 91440 w 310811"/>
                <a:gd name="connsiteY5" fmla="*/ 91440 h 476143"/>
                <a:gd name="connsiteX0" fmla="*/ 0 w 310811"/>
                <a:gd name="connsiteY0" fmla="*/ 0 h 476143"/>
                <a:gd name="connsiteX1" fmla="*/ 155406 w 310811"/>
                <a:gd name="connsiteY1" fmla="*/ 0 h 476143"/>
                <a:gd name="connsiteX2" fmla="*/ 310811 w 310811"/>
                <a:gd name="connsiteY2" fmla="*/ 238072 h 476143"/>
                <a:gd name="connsiteX3" fmla="*/ 155406 w 310811"/>
                <a:gd name="connsiteY3" fmla="*/ 476143 h 476143"/>
                <a:gd name="connsiteX4" fmla="*/ 0 w 310811"/>
                <a:gd name="connsiteY4" fmla="*/ 476143 h 476143"/>
                <a:gd name="connsiteX0" fmla="*/ 0 w 275092"/>
                <a:gd name="connsiteY0" fmla="*/ 0 h 476143"/>
                <a:gd name="connsiteX1" fmla="*/ 155406 w 275092"/>
                <a:gd name="connsiteY1" fmla="*/ 0 h 476143"/>
                <a:gd name="connsiteX2" fmla="*/ 275092 w 275092"/>
                <a:gd name="connsiteY2" fmla="*/ 240453 h 476143"/>
                <a:gd name="connsiteX3" fmla="*/ 155406 w 275092"/>
                <a:gd name="connsiteY3" fmla="*/ 476143 h 476143"/>
                <a:gd name="connsiteX4" fmla="*/ 0 w 275092"/>
                <a:gd name="connsiteY4" fmla="*/ 476143 h 476143"/>
                <a:gd name="connsiteX0" fmla="*/ 0 w 413207"/>
                <a:gd name="connsiteY0" fmla="*/ 0 h 476143"/>
                <a:gd name="connsiteX1" fmla="*/ 155406 w 413207"/>
                <a:gd name="connsiteY1" fmla="*/ 0 h 476143"/>
                <a:gd name="connsiteX2" fmla="*/ 413207 w 413207"/>
                <a:gd name="connsiteY2" fmla="*/ 242834 h 476143"/>
                <a:gd name="connsiteX3" fmla="*/ 155406 w 413207"/>
                <a:gd name="connsiteY3" fmla="*/ 476143 h 476143"/>
                <a:gd name="connsiteX4" fmla="*/ 0 w 413207"/>
                <a:gd name="connsiteY4" fmla="*/ 476143 h 476143"/>
                <a:gd name="connsiteX0" fmla="*/ 0 w 367963"/>
                <a:gd name="connsiteY0" fmla="*/ 0 h 476143"/>
                <a:gd name="connsiteX1" fmla="*/ 155406 w 367963"/>
                <a:gd name="connsiteY1" fmla="*/ 0 h 476143"/>
                <a:gd name="connsiteX2" fmla="*/ 367963 w 367963"/>
                <a:gd name="connsiteY2" fmla="*/ 242834 h 476143"/>
                <a:gd name="connsiteX3" fmla="*/ 155406 w 367963"/>
                <a:gd name="connsiteY3" fmla="*/ 476143 h 476143"/>
                <a:gd name="connsiteX4" fmla="*/ 0 w 367963"/>
                <a:gd name="connsiteY4" fmla="*/ 476143 h 476143"/>
                <a:gd name="connsiteX0" fmla="*/ 0 w 394157"/>
                <a:gd name="connsiteY0" fmla="*/ 0 h 476143"/>
                <a:gd name="connsiteX1" fmla="*/ 155406 w 394157"/>
                <a:gd name="connsiteY1" fmla="*/ 0 h 476143"/>
                <a:gd name="connsiteX2" fmla="*/ 394157 w 394157"/>
                <a:gd name="connsiteY2" fmla="*/ 235690 h 476143"/>
                <a:gd name="connsiteX3" fmla="*/ 155406 w 394157"/>
                <a:gd name="connsiteY3" fmla="*/ 476143 h 476143"/>
                <a:gd name="connsiteX4" fmla="*/ 0 w 394157"/>
                <a:gd name="connsiteY4" fmla="*/ 476143 h 47614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94157" h="476143">
                  <a:moveTo>
                    <a:pt x="0" y="0"/>
                  </a:moveTo>
                  <a:lnTo>
                    <a:pt x="155406" y="0"/>
                  </a:lnTo>
                  <a:lnTo>
                    <a:pt x="394157" y="235690"/>
                  </a:lnTo>
                  <a:lnTo>
                    <a:pt x="155406" y="476143"/>
                  </a:lnTo>
                  <a:lnTo>
                    <a:pt x="0" y="476143"/>
                  </a:lnTo>
                </a:path>
              </a:pathLst>
            </a:cu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55" name="Straight Arrow Connector 285"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CxnSpPr/>
          </xdr:nvCxnSpPr>
          <xdr:spPr>
            <a:xfrm flipH="1">
              <a:off x="8737282" y="4019310"/>
              <a:ext cx="196007" cy="0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" name="Straight Arrow Connector 286">
              <a:extLst>
                <a:ext uri="{FF2B5EF4-FFF2-40B4-BE49-F238E27FC236}">
                  <a16:creationId xmlns:a16="http://schemas.microsoft.com/office/drawing/2014/main" id="{00000000-0008-0000-0300-000038000000}"/>
                </a:ext>
              </a:extLst>
            </xdr:cNvPr>
            <xdr:cNvCxnSpPr/>
          </xdr:nvCxnSpPr>
          <xdr:spPr>
            <a:xfrm>
              <a:off x="8407989" y="4016351"/>
              <a:ext cx="180852" cy="0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57" name="Freeform: Shape 287">
              <a:extLst>
                <a:ext uri="{FF2B5EF4-FFF2-40B4-BE49-F238E27FC236}">
                  <a16:creationId xmlns:a16="http://schemas.microsoft.com/office/drawing/2014/main" id="{00000000-0008-0000-0300-000039000000}"/>
                </a:ext>
              </a:extLst>
            </xdr:cNvPr>
            <xdr:cNvSpPr/>
          </xdr:nvSpPr>
          <xdr:spPr>
            <a:xfrm>
              <a:off x="8252632" y="3705461"/>
              <a:ext cx="523133" cy="76719"/>
            </a:xfrm>
            <a:custGeom>
              <a:avLst/>
              <a:gdLst>
                <a:gd name="connsiteX0" fmla="*/ 0 w 466725"/>
                <a:gd name="connsiteY0" fmla="*/ 28690 h 79558"/>
                <a:gd name="connsiteX1" fmla="*/ 120650 w 466725"/>
                <a:gd name="connsiteY1" fmla="*/ 115 h 79558"/>
                <a:gd name="connsiteX2" fmla="*/ 228600 w 466725"/>
                <a:gd name="connsiteY2" fmla="*/ 38215 h 79558"/>
                <a:gd name="connsiteX3" fmla="*/ 377825 w 466725"/>
                <a:gd name="connsiteY3" fmla="*/ 79490 h 79558"/>
                <a:gd name="connsiteX4" fmla="*/ 466725 w 466725"/>
                <a:gd name="connsiteY4" fmla="*/ 44565 h 79558"/>
                <a:gd name="connsiteX0" fmla="*/ 0 w 469107"/>
                <a:gd name="connsiteY0" fmla="*/ 42882 h 79462"/>
                <a:gd name="connsiteX1" fmla="*/ 123032 w 469107"/>
                <a:gd name="connsiteY1" fmla="*/ 19 h 79462"/>
                <a:gd name="connsiteX2" fmla="*/ 230982 w 469107"/>
                <a:gd name="connsiteY2" fmla="*/ 38119 h 79462"/>
                <a:gd name="connsiteX3" fmla="*/ 380207 w 469107"/>
                <a:gd name="connsiteY3" fmla="*/ 79394 h 79462"/>
                <a:gd name="connsiteX4" fmla="*/ 469107 w 469107"/>
                <a:gd name="connsiteY4" fmla="*/ 44469 h 79462"/>
                <a:gd name="connsiteX0" fmla="*/ 0 w 469107"/>
                <a:gd name="connsiteY0" fmla="*/ 42882 h 84206"/>
                <a:gd name="connsiteX1" fmla="*/ 123032 w 469107"/>
                <a:gd name="connsiteY1" fmla="*/ 19 h 84206"/>
                <a:gd name="connsiteX2" fmla="*/ 230982 w 469107"/>
                <a:gd name="connsiteY2" fmla="*/ 38119 h 84206"/>
                <a:gd name="connsiteX3" fmla="*/ 361157 w 469107"/>
                <a:gd name="connsiteY3" fmla="*/ 84157 h 84206"/>
                <a:gd name="connsiteX4" fmla="*/ 469107 w 469107"/>
                <a:gd name="connsiteY4" fmla="*/ 44469 h 84206"/>
                <a:gd name="connsiteX0" fmla="*/ 0 w 469107"/>
                <a:gd name="connsiteY0" fmla="*/ 54783 h 96107"/>
                <a:gd name="connsiteX1" fmla="*/ 103982 w 469107"/>
                <a:gd name="connsiteY1" fmla="*/ 13 h 96107"/>
                <a:gd name="connsiteX2" fmla="*/ 230982 w 469107"/>
                <a:gd name="connsiteY2" fmla="*/ 50020 h 96107"/>
                <a:gd name="connsiteX3" fmla="*/ 361157 w 469107"/>
                <a:gd name="connsiteY3" fmla="*/ 96058 h 96107"/>
                <a:gd name="connsiteX4" fmla="*/ 469107 w 469107"/>
                <a:gd name="connsiteY4" fmla="*/ 56370 h 96107"/>
                <a:gd name="connsiteX0" fmla="*/ 0 w 476251"/>
                <a:gd name="connsiteY0" fmla="*/ 54783 h 96107"/>
                <a:gd name="connsiteX1" fmla="*/ 111126 w 476251"/>
                <a:gd name="connsiteY1" fmla="*/ 13 h 96107"/>
                <a:gd name="connsiteX2" fmla="*/ 238126 w 476251"/>
                <a:gd name="connsiteY2" fmla="*/ 50020 h 96107"/>
                <a:gd name="connsiteX3" fmla="*/ 368301 w 476251"/>
                <a:gd name="connsiteY3" fmla="*/ 96058 h 96107"/>
                <a:gd name="connsiteX4" fmla="*/ 476251 w 476251"/>
                <a:gd name="connsiteY4" fmla="*/ 56370 h 96107"/>
                <a:gd name="connsiteX0" fmla="*/ 0 w 476251"/>
                <a:gd name="connsiteY0" fmla="*/ 30988 h 72312"/>
                <a:gd name="connsiteX1" fmla="*/ 130176 w 476251"/>
                <a:gd name="connsiteY1" fmla="*/ 31 h 72312"/>
                <a:gd name="connsiteX2" fmla="*/ 238126 w 476251"/>
                <a:gd name="connsiteY2" fmla="*/ 26225 h 72312"/>
                <a:gd name="connsiteX3" fmla="*/ 368301 w 476251"/>
                <a:gd name="connsiteY3" fmla="*/ 72263 h 72312"/>
                <a:gd name="connsiteX4" fmla="*/ 476251 w 476251"/>
                <a:gd name="connsiteY4" fmla="*/ 32575 h 7231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76251" h="72312">
                  <a:moveTo>
                    <a:pt x="0" y="30988"/>
                  </a:moveTo>
                  <a:cubicBezTo>
                    <a:pt x="41275" y="15906"/>
                    <a:pt x="90488" y="825"/>
                    <a:pt x="130176" y="31"/>
                  </a:cubicBezTo>
                  <a:cubicBezTo>
                    <a:pt x="169864" y="-763"/>
                    <a:pt x="198439" y="14186"/>
                    <a:pt x="238126" y="26225"/>
                  </a:cubicBezTo>
                  <a:cubicBezTo>
                    <a:pt x="277813" y="38264"/>
                    <a:pt x="328614" y="71205"/>
                    <a:pt x="368301" y="72263"/>
                  </a:cubicBezTo>
                  <a:cubicBezTo>
                    <a:pt x="407988" y="73321"/>
                    <a:pt x="468314" y="57446"/>
                    <a:pt x="476251" y="32575"/>
                  </a:cubicBezTo>
                </a:path>
              </a:pathLst>
            </a:custGeom>
            <a:noFill/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58" name="Freeform: Shape 288">
              <a:extLst>
                <a:ext uri="{FF2B5EF4-FFF2-40B4-BE49-F238E27FC236}">
                  <a16:creationId xmlns:a16="http://schemas.microsoft.com/office/drawing/2014/main" id="{00000000-0008-0000-0300-00003A000000}"/>
                </a:ext>
              </a:extLst>
            </xdr:cNvPr>
            <xdr:cNvSpPr/>
          </xdr:nvSpPr>
          <xdr:spPr>
            <a:xfrm>
              <a:off x="8514197" y="3694538"/>
              <a:ext cx="264181" cy="42956"/>
            </a:xfrm>
            <a:custGeom>
              <a:avLst/>
              <a:gdLst>
                <a:gd name="connsiteX0" fmla="*/ 0 w 238125"/>
                <a:gd name="connsiteY0" fmla="*/ 45330 h 45330"/>
                <a:gd name="connsiteX1" fmla="*/ 150019 w 238125"/>
                <a:gd name="connsiteY1" fmla="*/ 86 h 45330"/>
                <a:gd name="connsiteX2" fmla="*/ 238125 w 238125"/>
                <a:gd name="connsiteY2" fmla="*/ 40567 h 45330"/>
                <a:gd name="connsiteX0" fmla="*/ 0 w 240506"/>
                <a:gd name="connsiteY0" fmla="*/ 38108 h 40489"/>
                <a:gd name="connsiteX1" fmla="*/ 152400 w 240506"/>
                <a:gd name="connsiteY1" fmla="*/ 8 h 40489"/>
                <a:gd name="connsiteX2" fmla="*/ 240506 w 240506"/>
                <a:gd name="connsiteY2" fmla="*/ 40489 h 404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240506" h="40489">
                  <a:moveTo>
                    <a:pt x="0" y="38108"/>
                  </a:moveTo>
                  <a:cubicBezTo>
                    <a:pt x="55166" y="15883"/>
                    <a:pt x="112316" y="-389"/>
                    <a:pt x="152400" y="8"/>
                  </a:cubicBezTo>
                  <a:cubicBezTo>
                    <a:pt x="192484" y="405"/>
                    <a:pt x="229790" y="3183"/>
                    <a:pt x="240506" y="40489"/>
                  </a:cubicBezTo>
                </a:path>
              </a:pathLst>
            </a:custGeom>
            <a:noFill/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cxnSp macro="">
          <xdr:nvCxnSpPr>
            <xdr:cNvPr id="59" name="Straight Connector 290">
              <a:extLst>
                <a:ext uri="{FF2B5EF4-FFF2-40B4-BE49-F238E27FC236}">
                  <a16:creationId xmlns:a16="http://schemas.microsoft.com/office/drawing/2014/main" id="{00000000-0008-0000-0300-00003B000000}"/>
                </a:ext>
              </a:extLst>
            </xdr:cNvPr>
            <xdr:cNvCxnSpPr>
              <a:stCxn id="54" idx="1"/>
              <a:endCxn id="54" idx="3"/>
            </xdr:cNvCxnSpPr>
          </xdr:nvCxnSpPr>
          <xdr:spPr>
            <a:xfrm flipH="1">
              <a:off x="8255118" y="3899123"/>
              <a:ext cx="523014" cy="0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3" name="Group 4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GrpSpPr/>
        </xdr:nvGrpSpPr>
        <xdr:grpSpPr>
          <a:xfrm>
            <a:off x="2933700" y="1446546"/>
            <a:ext cx="566265" cy="258583"/>
            <a:chOff x="8194077" y="3161138"/>
            <a:chExt cx="876358" cy="408242"/>
          </a:xfrm>
        </xdr:grpSpPr>
        <xdr:sp macro="" textlink="">
          <xdr:nvSpPr>
            <xdr:cNvPr id="44" name="Freeform: Shape 30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SpPr/>
          </xdr:nvSpPr>
          <xdr:spPr>
            <a:xfrm flipH="1">
              <a:off x="8827730" y="3427486"/>
              <a:ext cx="47624" cy="141894"/>
            </a:xfrm>
            <a:custGeom>
              <a:avLst/>
              <a:gdLst>
                <a:gd name="connsiteX0" fmla="*/ 117662 w 117662"/>
                <a:gd name="connsiteY0" fmla="*/ 120463 h 120463"/>
                <a:gd name="connsiteX1" fmla="*/ 67236 w 117662"/>
                <a:gd name="connsiteY1" fmla="*/ 120463 h 120463"/>
                <a:gd name="connsiteX2" fmla="*/ 0 w 117662"/>
                <a:gd name="connsiteY2" fmla="*/ 39220 h 120463"/>
                <a:gd name="connsiteX3" fmla="*/ 0 w 117662"/>
                <a:gd name="connsiteY3" fmla="*/ 0 h 120463"/>
                <a:gd name="connsiteX0" fmla="*/ 117662 w 117662"/>
                <a:gd name="connsiteY0" fmla="*/ 120463 h 120463"/>
                <a:gd name="connsiteX1" fmla="*/ 67236 w 117662"/>
                <a:gd name="connsiteY1" fmla="*/ 120463 h 120463"/>
                <a:gd name="connsiteX2" fmla="*/ 4762 w 117662"/>
                <a:gd name="connsiteY2" fmla="*/ 63033 h 120463"/>
                <a:gd name="connsiteX3" fmla="*/ 0 w 117662"/>
                <a:gd name="connsiteY3" fmla="*/ 0 h 120463"/>
                <a:gd name="connsiteX0" fmla="*/ 224818 w 224818"/>
                <a:gd name="connsiteY0" fmla="*/ 120463 h 120463"/>
                <a:gd name="connsiteX1" fmla="*/ 174392 w 224818"/>
                <a:gd name="connsiteY1" fmla="*/ 120463 h 120463"/>
                <a:gd name="connsiteX2" fmla="*/ 0 w 224818"/>
                <a:gd name="connsiteY2" fmla="*/ 41602 h 120463"/>
                <a:gd name="connsiteX3" fmla="*/ 107156 w 224818"/>
                <a:gd name="connsiteY3" fmla="*/ 0 h 120463"/>
                <a:gd name="connsiteX0" fmla="*/ 241487 w 241487"/>
                <a:gd name="connsiteY0" fmla="*/ 120463 h 120463"/>
                <a:gd name="connsiteX1" fmla="*/ 191061 w 241487"/>
                <a:gd name="connsiteY1" fmla="*/ 120463 h 120463"/>
                <a:gd name="connsiteX2" fmla="*/ 16669 w 241487"/>
                <a:gd name="connsiteY2" fmla="*/ 41602 h 120463"/>
                <a:gd name="connsiteX3" fmla="*/ 0 w 241487"/>
                <a:gd name="connsiteY3" fmla="*/ 0 h 120463"/>
                <a:gd name="connsiteX0" fmla="*/ 231962 w 231962"/>
                <a:gd name="connsiteY0" fmla="*/ 129988 h 129988"/>
                <a:gd name="connsiteX1" fmla="*/ 181536 w 231962"/>
                <a:gd name="connsiteY1" fmla="*/ 129988 h 129988"/>
                <a:gd name="connsiteX2" fmla="*/ 7144 w 231962"/>
                <a:gd name="connsiteY2" fmla="*/ 51127 h 129988"/>
                <a:gd name="connsiteX3" fmla="*/ 0 w 231962"/>
                <a:gd name="connsiteY3" fmla="*/ 0 h 129988"/>
                <a:gd name="connsiteX0" fmla="*/ 231962 w 231962"/>
                <a:gd name="connsiteY0" fmla="*/ 129988 h 129988"/>
                <a:gd name="connsiteX1" fmla="*/ 181536 w 231962"/>
                <a:gd name="connsiteY1" fmla="*/ 129988 h 129988"/>
                <a:gd name="connsiteX2" fmla="*/ 11907 w 231962"/>
                <a:gd name="connsiteY2" fmla="*/ 43984 h 129988"/>
                <a:gd name="connsiteX3" fmla="*/ 0 w 231962"/>
                <a:gd name="connsiteY3" fmla="*/ 0 h 129988"/>
                <a:gd name="connsiteX0" fmla="*/ 220055 w 220055"/>
                <a:gd name="connsiteY0" fmla="*/ 127607 h 127607"/>
                <a:gd name="connsiteX1" fmla="*/ 169629 w 220055"/>
                <a:gd name="connsiteY1" fmla="*/ 127607 h 127607"/>
                <a:gd name="connsiteX2" fmla="*/ 0 w 220055"/>
                <a:gd name="connsiteY2" fmla="*/ 41603 h 127607"/>
                <a:gd name="connsiteX3" fmla="*/ 69056 w 220055"/>
                <a:gd name="connsiteY3" fmla="*/ 0 h 127607"/>
                <a:gd name="connsiteX0" fmla="*/ 150999 w 150999"/>
                <a:gd name="connsiteY0" fmla="*/ 127607 h 127607"/>
                <a:gd name="connsiteX1" fmla="*/ 100573 w 150999"/>
                <a:gd name="connsiteY1" fmla="*/ 127607 h 127607"/>
                <a:gd name="connsiteX2" fmla="*/ 14288 w 150999"/>
                <a:gd name="connsiteY2" fmla="*/ 46366 h 127607"/>
                <a:gd name="connsiteX3" fmla="*/ 0 w 150999"/>
                <a:gd name="connsiteY3" fmla="*/ 0 h 127607"/>
                <a:gd name="connsiteX0" fmla="*/ 136711 w 136711"/>
                <a:gd name="connsiteY0" fmla="*/ 132369 h 132369"/>
                <a:gd name="connsiteX1" fmla="*/ 86285 w 136711"/>
                <a:gd name="connsiteY1" fmla="*/ 132369 h 132369"/>
                <a:gd name="connsiteX2" fmla="*/ 0 w 136711"/>
                <a:gd name="connsiteY2" fmla="*/ 51128 h 132369"/>
                <a:gd name="connsiteX3" fmla="*/ 14287 w 136711"/>
                <a:gd name="connsiteY3" fmla="*/ 0 h 132369"/>
                <a:gd name="connsiteX0" fmla="*/ 148618 w 148618"/>
                <a:gd name="connsiteY0" fmla="*/ 149038 h 149038"/>
                <a:gd name="connsiteX1" fmla="*/ 98192 w 148618"/>
                <a:gd name="connsiteY1" fmla="*/ 149038 h 149038"/>
                <a:gd name="connsiteX2" fmla="*/ 11907 w 148618"/>
                <a:gd name="connsiteY2" fmla="*/ 67797 h 149038"/>
                <a:gd name="connsiteX3" fmla="*/ 0 w 148618"/>
                <a:gd name="connsiteY3" fmla="*/ 0 h 149038"/>
                <a:gd name="connsiteX0" fmla="*/ 136711 w 140493"/>
                <a:gd name="connsiteY0" fmla="*/ 141894 h 141894"/>
                <a:gd name="connsiteX1" fmla="*/ 86285 w 140493"/>
                <a:gd name="connsiteY1" fmla="*/ 141894 h 141894"/>
                <a:gd name="connsiteX2" fmla="*/ 0 w 140493"/>
                <a:gd name="connsiteY2" fmla="*/ 60653 h 141894"/>
                <a:gd name="connsiteX3" fmla="*/ 140493 w 140493"/>
                <a:gd name="connsiteY3" fmla="*/ 0 h 141894"/>
                <a:gd name="connsiteX0" fmla="*/ 50986 w 54768"/>
                <a:gd name="connsiteY0" fmla="*/ 141894 h 141894"/>
                <a:gd name="connsiteX1" fmla="*/ 560 w 54768"/>
                <a:gd name="connsiteY1" fmla="*/ 141894 h 141894"/>
                <a:gd name="connsiteX2" fmla="*/ 0 w 54768"/>
                <a:gd name="connsiteY2" fmla="*/ 10647 h 141894"/>
                <a:gd name="connsiteX3" fmla="*/ 54768 w 54768"/>
                <a:gd name="connsiteY3" fmla="*/ 0 h 141894"/>
                <a:gd name="connsiteX0" fmla="*/ 53367 w 57149"/>
                <a:gd name="connsiteY0" fmla="*/ 141894 h 141894"/>
                <a:gd name="connsiteX1" fmla="*/ 2941 w 57149"/>
                <a:gd name="connsiteY1" fmla="*/ 141894 h 141894"/>
                <a:gd name="connsiteX2" fmla="*/ 0 w 57149"/>
                <a:gd name="connsiteY2" fmla="*/ 3503 h 141894"/>
                <a:gd name="connsiteX3" fmla="*/ 57149 w 57149"/>
                <a:gd name="connsiteY3" fmla="*/ 0 h 141894"/>
                <a:gd name="connsiteX0" fmla="*/ 53367 w 57149"/>
                <a:gd name="connsiteY0" fmla="*/ 141894 h 149038"/>
                <a:gd name="connsiteX1" fmla="*/ 10085 w 57149"/>
                <a:gd name="connsiteY1" fmla="*/ 149038 h 149038"/>
                <a:gd name="connsiteX2" fmla="*/ 0 w 57149"/>
                <a:gd name="connsiteY2" fmla="*/ 3503 h 149038"/>
                <a:gd name="connsiteX3" fmla="*/ 57149 w 57149"/>
                <a:gd name="connsiteY3" fmla="*/ 0 h 149038"/>
                <a:gd name="connsiteX0" fmla="*/ 43294 w 47076"/>
                <a:gd name="connsiteY0" fmla="*/ 147916 h 155060"/>
                <a:gd name="connsiteX1" fmla="*/ 12 w 47076"/>
                <a:gd name="connsiteY1" fmla="*/ 155060 h 155060"/>
                <a:gd name="connsiteX2" fmla="*/ 1833 w 47076"/>
                <a:gd name="connsiteY2" fmla="*/ 0 h 155060"/>
                <a:gd name="connsiteX3" fmla="*/ 47076 w 47076"/>
                <a:gd name="connsiteY3" fmla="*/ 6022 h 155060"/>
                <a:gd name="connsiteX0" fmla="*/ 43294 w 47076"/>
                <a:gd name="connsiteY0" fmla="*/ 147916 h 147916"/>
                <a:gd name="connsiteX1" fmla="*/ 12 w 47076"/>
                <a:gd name="connsiteY1" fmla="*/ 145535 h 147916"/>
                <a:gd name="connsiteX2" fmla="*/ 1833 w 47076"/>
                <a:gd name="connsiteY2" fmla="*/ 0 h 147916"/>
                <a:gd name="connsiteX3" fmla="*/ 47076 w 47076"/>
                <a:gd name="connsiteY3" fmla="*/ 6022 h 147916"/>
                <a:gd name="connsiteX0" fmla="*/ 43842 w 47624"/>
                <a:gd name="connsiteY0" fmla="*/ 141894 h 141894"/>
                <a:gd name="connsiteX1" fmla="*/ 560 w 47624"/>
                <a:gd name="connsiteY1" fmla="*/ 139513 h 141894"/>
                <a:gd name="connsiteX2" fmla="*/ 0 w 47624"/>
                <a:gd name="connsiteY2" fmla="*/ 1122 h 141894"/>
                <a:gd name="connsiteX3" fmla="*/ 47624 w 47624"/>
                <a:gd name="connsiteY3" fmla="*/ 0 h 14189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47624" h="141894">
                  <a:moveTo>
                    <a:pt x="43842" y="141894"/>
                  </a:moveTo>
                  <a:lnTo>
                    <a:pt x="560" y="139513"/>
                  </a:lnTo>
                  <a:cubicBezTo>
                    <a:pt x="373" y="95764"/>
                    <a:pt x="187" y="44871"/>
                    <a:pt x="0" y="1122"/>
                  </a:cubicBezTo>
                  <a:lnTo>
                    <a:pt x="47624" y="0"/>
                  </a:lnTo>
                </a:path>
              </a:pathLst>
            </a:custGeom>
            <a:solidFill>
              <a:srgbClr val="FFC000"/>
            </a:solidFill>
            <a:ln>
              <a:solidFill>
                <a:srgbClr val="000019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sp macro="" textlink="">
          <xdr:nvSpPr>
            <xdr:cNvPr id="45" name="Freeform: Shape 18">
              <a:extLst>
                <a:ext uri="{FF2B5EF4-FFF2-40B4-BE49-F238E27FC236}">
                  <a16:creationId xmlns:a16="http://schemas.microsoft.com/office/drawing/2014/main" id="{00000000-0008-0000-0300-00002D000000}"/>
                </a:ext>
              </a:extLst>
            </xdr:cNvPr>
            <xdr:cNvSpPr/>
          </xdr:nvSpPr>
          <xdr:spPr>
            <a:xfrm>
              <a:off x="8194077" y="3182729"/>
              <a:ext cx="635314" cy="386303"/>
            </a:xfrm>
            <a:custGeom>
              <a:avLst/>
              <a:gdLst>
                <a:gd name="connsiteX0" fmla="*/ 0 w 488156"/>
                <a:gd name="connsiteY0" fmla="*/ 9525 h 230982"/>
                <a:gd name="connsiteX1" fmla="*/ 0 w 488156"/>
                <a:gd name="connsiteY1" fmla="*/ 166688 h 230982"/>
                <a:gd name="connsiteX2" fmla="*/ 71437 w 488156"/>
                <a:gd name="connsiteY2" fmla="*/ 230982 h 230982"/>
                <a:gd name="connsiteX3" fmla="*/ 426244 w 488156"/>
                <a:gd name="connsiteY3" fmla="*/ 230982 h 230982"/>
                <a:gd name="connsiteX4" fmla="*/ 488156 w 488156"/>
                <a:gd name="connsiteY4" fmla="*/ 161925 h 230982"/>
                <a:gd name="connsiteX5" fmla="*/ 488156 w 488156"/>
                <a:gd name="connsiteY5" fmla="*/ 0 h 230982"/>
                <a:gd name="connsiteX0" fmla="*/ 0 w 488156"/>
                <a:gd name="connsiteY0" fmla="*/ 9525 h 233363"/>
                <a:gd name="connsiteX1" fmla="*/ 0 w 488156"/>
                <a:gd name="connsiteY1" fmla="*/ 166688 h 233363"/>
                <a:gd name="connsiteX2" fmla="*/ 64293 w 488156"/>
                <a:gd name="connsiteY2" fmla="*/ 233363 h 233363"/>
                <a:gd name="connsiteX3" fmla="*/ 426244 w 488156"/>
                <a:gd name="connsiteY3" fmla="*/ 230982 h 233363"/>
                <a:gd name="connsiteX4" fmla="*/ 488156 w 488156"/>
                <a:gd name="connsiteY4" fmla="*/ 161925 h 233363"/>
                <a:gd name="connsiteX5" fmla="*/ 488156 w 488156"/>
                <a:gd name="connsiteY5" fmla="*/ 0 h 233363"/>
                <a:gd name="connsiteX0" fmla="*/ 0 w 488156"/>
                <a:gd name="connsiteY0" fmla="*/ 9525 h 271463"/>
                <a:gd name="connsiteX1" fmla="*/ 0 w 488156"/>
                <a:gd name="connsiteY1" fmla="*/ 166688 h 271463"/>
                <a:gd name="connsiteX2" fmla="*/ 80962 w 488156"/>
                <a:gd name="connsiteY2" fmla="*/ 271463 h 271463"/>
                <a:gd name="connsiteX3" fmla="*/ 426244 w 488156"/>
                <a:gd name="connsiteY3" fmla="*/ 230982 h 271463"/>
                <a:gd name="connsiteX4" fmla="*/ 488156 w 488156"/>
                <a:gd name="connsiteY4" fmla="*/ 161925 h 271463"/>
                <a:gd name="connsiteX5" fmla="*/ 488156 w 488156"/>
                <a:gd name="connsiteY5" fmla="*/ 0 h 271463"/>
                <a:gd name="connsiteX0" fmla="*/ 0 w 488156"/>
                <a:gd name="connsiteY0" fmla="*/ 9525 h 273845"/>
                <a:gd name="connsiteX1" fmla="*/ 0 w 488156"/>
                <a:gd name="connsiteY1" fmla="*/ 166688 h 273845"/>
                <a:gd name="connsiteX2" fmla="*/ 80962 w 488156"/>
                <a:gd name="connsiteY2" fmla="*/ 271463 h 273845"/>
                <a:gd name="connsiteX3" fmla="*/ 400051 w 488156"/>
                <a:gd name="connsiteY3" fmla="*/ 273845 h 273845"/>
                <a:gd name="connsiteX4" fmla="*/ 488156 w 488156"/>
                <a:gd name="connsiteY4" fmla="*/ 161925 h 273845"/>
                <a:gd name="connsiteX5" fmla="*/ 488156 w 488156"/>
                <a:gd name="connsiteY5" fmla="*/ 0 h 273845"/>
                <a:gd name="connsiteX0" fmla="*/ 0 w 488156"/>
                <a:gd name="connsiteY0" fmla="*/ 9525 h 273845"/>
                <a:gd name="connsiteX1" fmla="*/ 0 w 488156"/>
                <a:gd name="connsiteY1" fmla="*/ 166688 h 273845"/>
                <a:gd name="connsiteX2" fmla="*/ 88106 w 488156"/>
                <a:gd name="connsiteY2" fmla="*/ 271463 h 273845"/>
                <a:gd name="connsiteX3" fmla="*/ 400051 w 488156"/>
                <a:gd name="connsiteY3" fmla="*/ 273845 h 273845"/>
                <a:gd name="connsiteX4" fmla="*/ 488156 w 488156"/>
                <a:gd name="connsiteY4" fmla="*/ 161925 h 273845"/>
                <a:gd name="connsiteX5" fmla="*/ 488156 w 488156"/>
                <a:gd name="connsiteY5" fmla="*/ 0 h 273845"/>
                <a:gd name="connsiteX0" fmla="*/ 0 w 488156"/>
                <a:gd name="connsiteY0" fmla="*/ 9525 h 273845"/>
                <a:gd name="connsiteX1" fmla="*/ 0 w 488156"/>
                <a:gd name="connsiteY1" fmla="*/ 166688 h 273845"/>
                <a:gd name="connsiteX2" fmla="*/ 95250 w 488156"/>
                <a:gd name="connsiteY2" fmla="*/ 271463 h 273845"/>
                <a:gd name="connsiteX3" fmla="*/ 400051 w 488156"/>
                <a:gd name="connsiteY3" fmla="*/ 273845 h 273845"/>
                <a:gd name="connsiteX4" fmla="*/ 488156 w 488156"/>
                <a:gd name="connsiteY4" fmla="*/ 161925 h 273845"/>
                <a:gd name="connsiteX5" fmla="*/ 488156 w 488156"/>
                <a:gd name="connsiteY5" fmla="*/ 0 h 273845"/>
                <a:gd name="connsiteX0" fmla="*/ 0 w 495300"/>
                <a:gd name="connsiteY0" fmla="*/ 20294 h 284614"/>
                <a:gd name="connsiteX1" fmla="*/ 0 w 495300"/>
                <a:gd name="connsiteY1" fmla="*/ 177457 h 284614"/>
                <a:gd name="connsiteX2" fmla="*/ 95250 w 495300"/>
                <a:gd name="connsiteY2" fmla="*/ 282232 h 284614"/>
                <a:gd name="connsiteX3" fmla="*/ 400051 w 495300"/>
                <a:gd name="connsiteY3" fmla="*/ 284614 h 284614"/>
                <a:gd name="connsiteX4" fmla="*/ 488156 w 495300"/>
                <a:gd name="connsiteY4" fmla="*/ 172694 h 284614"/>
                <a:gd name="connsiteX5" fmla="*/ 488156 w 495300"/>
                <a:gd name="connsiteY5" fmla="*/ 10769 h 284614"/>
                <a:gd name="connsiteX6" fmla="*/ 495300 w 495300"/>
                <a:gd name="connsiteY6" fmla="*/ 15301 h 284614"/>
                <a:gd name="connsiteX0" fmla="*/ 0 w 683418"/>
                <a:gd name="connsiteY0" fmla="*/ 85496 h 349816"/>
                <a:gd name="connsiteX1" fmla="*/ 0 w 683418"/>
                <a:gd name="connsiteY1" fmla="*/ 242659 h 349816"/>
                <a:gd name="connsiteX2" fmla="*/ 95250 w 683418"/>
                <a:gd name="connsiteY2" fmla="*/ 347434 h 349816"/>
                <a:gd name="connsiteX3" fmla="*/ 400051 w 683418"/>
                <a:gd name="connsiteY3" fmla="*/ 349816 h 349816"/>
                <a:gd name="connsiteX4" fmla="*/ 488156 w 683418"/>
                <a:gd name="connsiteY4" fmla="*/ 237896 h 349816"/>
                <a:gd name="connsiteX5" fmla="*/ 488156 w 683418"/>
                <a:gd name="connsiteY5" fmla="*/ 75971 h 349816"/>
                <a:gd name="connsiteX6" fmla="*/ 683418 w 683418"/>
                <a:gd name="connsiteY6" fmla="*/ 13 h 349816"/>
                <a:gd name="connsiteX0" fmla="*/ 0 w 683418"/>
                <a:gd name="connsiteY0" fmla="*/ 85483 h 349803"/>
                <a:gd name="connsiteX1" fmla="*/ 0 w 683418"/>
                <a:gd name="connsiteY1" fmla="*/ 242646 h 349803"/>
                <a:gd name="connsiteX2" fmla="*/ 95250 w 683418"/>
                <a:gd name="connsiteY2" fmla="*/ 347421 h 349803"/>
                <a:gd name="connsiteX3" fmla="*/ 400051 w 683418"/>
                <a:gd name="connsiteY3" fmla="*/ 349803 h 349803"/>
                <a:gd name="connsiteX4" fmla="*/ 488156 w 683418"/>
                <a:gd name="connsiteY4" fmla="*/ 237883 h 349803"/>
                <a:gd name="connsiteX5" fmla="*/ 488156 w 683418"/>
                <a:gd name="connsiteY5" fmla="*/ 75958 h 349803"/>
                <a:gd name="connsiteX6" fmla="*/ 683418 w 683418"/>
                <a:gd name="connsiteY6" fmla="*/ 0 h 349803"/>
                <a:gd name="connsiteX0" fmla="*/ 0 w 488156"/>
                <a:gd name="connsiteY0" fmla="*/ 1465667 h 1729987"/>
                <a:gd name="connsiteX1" fmla="*/ 0 w 488156"/>
                <a:gd name="connsiteY1" fmla="*/ 1622830 h 1729987"/>
                <a:gd name="connsiteX2" fmla="*/ 95250 w 488156"/>
                <a:gd name="connsiteY2" fmla="*/ 1727605 h 1729987"/>
                <a:gd name="connsiteX3" fmla="*/ 400051 w 488156"/>
                <a:gd name="connsiteY3" fmla="*/ 1729987 h 1729987"/>
                <a:gd name="connsiteX4" fmla="*/ 488156 w 488156"/>
                <a:gd name="connsiteY4" fmla="*/ 1618067 h 1729987"/>
                <a:gd name="connsiteX5" fmla="*/ 488156 w 488156"/>
                <a:gd name="connsiteY5" fmla="*/ 1456142 h 1729987"/>
                <a:gd name="connsiteX6" fmla="*/ 457199 w 488156"/>
                <a:gd name="connsiteY6" fmla="*/ 0 h 1729987"/>
                <a:gd name="connsiteX0" fmla="*/ 0 w 488156"/>
                <a:gd name="connsiteY0" fmla="*/ 9525 h 273845"/>
                <a:gd name="connsiteX1" fmla="*/ 0 w 488156"/>
                <a:gd name="connsiteY1" fmla="*/ 166688 h 273845"/>
                <a:gd name="connsiteX2" fmla="*/ 95250 w 488156"/>
                <a:gd name="connsiteY2" fmla="*/ 271463 h 273845"/>
                <a:gd name="connsiteX3" fmla="*/ 400051 w 488156"/>
                <a:gd name="connsiteY3" fmla="*/ 273845 h 273845"/>
                <a:gd name="connsiteX4" fmla="*/ 488156 w 488156"/>
                <a:gd name="connsiteY4" fmla="*/ 161925 h 273845"/>
                <a:gd name="connsiteX5" fmla="*/ 488156 w 488156"/>
                <a:gd name="connsiteY5" fmla="*/ 0 h 273845"/>
                <a:gd name="connsiteX6" fmla="*/ 400049 w 488156"/>
                <a:gd name="connsiteY6" fmla="*/ 2165 h 273845"/>
                <a:gd name="connsiteX0" fmla="*/ 0 w 488156"/>
                <a:gd name="connsiteY0" fmla="*/ 7360 h 271680"/>
                <a:gd name="connsiteX1" fmla="*/ 0 w 488156"/>
                <a:gd name="connsiteY1" fmla="*/ 164523 h 271680"/>
                <a:gd name="connsiteX2" fmla="*/ 95250 w 488156"/>
                <a:gd name="connsiteY2" fmla="*/ 269298 h 271680"/>
                <a:gd name="connsiteX3" fmla="*/ 400051 w 488156"/>
                <a:gd name="connsiteY3" fmla="*/ 271680 h 271680"/>
                <a:gd name="connsiteX4" fmla="*/ 488156 w 488156"/>
                <a:gd name="connsiteY4" fmla="*/ 159760 h 271680"/>
                <a:gd name="connsiteX5" fmla="*/ 488156 w 488156"/>
                <a:gd name="connsiteY5" fmla="*/ 52285 h 271680"/>
                <a:gd name="connsiteX6" fmla="*/ 400049 w 488156"/>
                <a:gd name="connsiteY6" fmla="*/ 0 h 271680"/>
                <a:gd name="connsiteX0" fmla="*/ 0 w 488156"/>
                <a:gd name="connsiteY0" fmla="*/ 0 h 264320"/>
                <a:gd name="connsiteX1" fmla="*/ 0 w 488156"/>
                <a:gd name="connsiteY1" fmla="*/ 157163 h 264320"/>
                <a:gd name="connsiteX2" fmla="*/ 95250 w 488156"/>
                <a:gd name="connsiteY2" fmla="*/ 261938 h 264320"/>
                <a:gd name="connsiteX3" fmla="*/ 400051 w 488156"/>
                <a:gd name="connsiteY3" fmla="*/ 264320 h 264320"/>
                <a:gd name="connsiteX4" fmla="*/ 488156 w 488156"/>
                <a:gd name="connsiteY4" fmla="*/ 152400 h 264320"/>
                <a:gd name="connsiteX5" fmla="*/ 488156 w 488156"/>
                <a:gd name="connsiteY5" fmla="*/ 44925 h 264320"/>
                <a:gd name="connsiteX6" fmla="*/ 407193 w 488156"/>
                <a:gd name="connsiteY6" fmla="*/ 44723 h 264320"/>
                <a:gd name="connsiteX0" fmla="*/ 0 w 488156"/>
                <a:gd name="connsiteY0" fmla="*/ 0 h 264320"/>
                <a:gd name="connsiteX1" fmla="*/ 0 w 488156"/>
                <a:gd name="connsiteY1" fmla="*/ 157163 h 264320"/>
                <a:gd name="connsiteX2" fmla="*/ 95250 w 488156"/>
                <a:gd name="connsiteY2" fmla="*/ 261938 h 264320"/>
                <a:gd name="connsiteX3" fmla="*/ 400051 w 488156"/>
                <a:gd name="connsiteY3" fmla="*/ 264320 h 264320"/>
                <a:gd name="connsiteX4" fmla="*/ 488156 w 488156"/>
                <a:gd name="connsiteY4" fmla="*/ 152400 h 264320"/>
                <a:gd name="connsiteX5" fmla="*/ 488156 w 488156"/>
                <a:gd name="connsiteY5" fmla="*/ 44925 h 264320"/>
                <a:gd name="connsiteX6" fmla="*/ 407193 w 488156"/>
                <a:gd name="connsiteY6" fmla="*/ 44723 h 264320"/>
                <a:gd name="connsiteX7" fmla="*/ 397669 w 488156"/>
                <a:gd name="connsiteY7" fmla="*/ 42354 h 264320"/>
                <a:gd name="connsiteX0" fmla="*/ 0 w 488156"/>
                <a:gd name="connsiteY0" fmla="*/ 7361 h 271681"/>
                <a:gd name="connsiteX1" fmla="*/ 0 w 488156"/>
                <a:gd name="connsiteY1" fmla="*/ 164524 h 271681"/>
                <a:gd name="connsiteX2" fmla="*/ 95250 w 488156"/>
                <a:gd name="connsiteY2" fmla="*/ 269299 h 271681"/>
                <a:gd name="connsiteX3" fmla="*/ 400051 w 488156"/>
                <a:gd name="connsiteY3" fmla="*/ 271681 h 271681"/>
                <a:gd name="connsiteX4" fmla="*/ 488156 w 488156"/>
                <a:gd name="connsiteY4" fmla="*/ 159761 h 271681"/>
                <a:gd name="connsiteX5" fmla="*/ 488156 w 488156"/>
                <a:gd name="connsiteY5" fmla="*/ 52286 h 271681"/>
                <a:gd name="connsiteX6" fmla="*/ 407193 w 488156"/>
                <a:gd name="connsiteY6" fmla="*/ 52084 h 271681"/>
                <a:gd name="connsiteX7" fmla="*/ 395288 w 488156"/>
                <a:gd name="connsiteY7" fmla="*/ 0 h 271681"/>
                <a:gd name="connsiteX0" fmla="*/ 0 w 488156"/>
                <a:gd name="connsiteY0" fmla="*/ 7361 h 271681"/>
                <a:gd name="connsiteX1" fmla="*/ 0 w 488156"/>
                <a:gd name="connsiteY1" fmla="*/ 164524 h 271681"/>
                <a:gd name="connsiteX2" fmla="*/ 95250 w 488156"/>
                <a:gd name="connsiteY2" fmla="*/ 269299 h 271681"/>
                <a:gd name="connsiteX3" fmla="*/ 400051 w 488156"/>
                <a:gd name="connsiteY3" fmla="*/ 271681 h 271681"/>
                <a:gd name="connsiteX4" fmla="*/ 488156 w 488156"/>
                <a:gd name="connsiteY4" fmla="*/ 159761 h 271681"/>
                <a:gd name="connsiteX5" fmla="*/ 488156 w 488156"/>
                <a:gd name="connsiteY5" fmla="*/ 52286 h 271681"/>
                <a:gd name="connsiteX6" fmla="*/ 407193 w 488156"/>
                <a:gd name="connsiteY6" fmla="*/ 52084 h 271681"/>
                <a:gd name="connsiteX7" fmla="*/ 395288 w 488156"/>
                <a:gd name="connsiteY7" fmla="*/ 0 h 271681"/>
                <a:gd name="connsiteX0" fmla="*/ 0 w 488156"/>
                <a:gd name="connsiteY0" fmla="*/ 7361 h 271681"/>
                <a:gd name="connsiteX1" fmla="*/ 0 w 488156"/>
                <a:gd name="connsiteY1" fmla="*/ 164524 h 271681"/>
                <a:gd name="connsiteX2" fmla="*/ 95250 w 488156"/>
                <a:gd name="connsiteY2" fmla="*/ 269299 h 271681"/>
                <a:gd name="connsiteX3" fmla="*/ 400051 w 488156"/>
                <a:gd name="connsiteY3" fmla="*/ 271681 h 271681"/>
                <a:gd name="connsiteX4" fmla="*/ 488156 w 488156"/>
                <a:gd name="connsiteY4" fmla="*/ 159761 h 271681"/>
                <a:gd name="connsiteX5" fmla="*/ 488156 w 488156"/>
                <a:gd name="connsiteY5" fmla="*/ 52286 h 271681"/>
                <a:gd name="connsiteX6" fmla="*/ 407193 w 488156"/>
                <a:gd name="connsiteY6" fmla="*/ 52084 h 271681"/>
                <a:gd name="connsiteX7" fmla="*/ 409576 w 488156"/>
                <a:gd name="connsiteY7" fmla="*/ 0 h 271681"/>
                <a:gd name="connsiteX0" fmla="*/ 0 w 488156"/>
                <a:gd name="connsiteY0" fmla="*/ 42872 h 271681"/>
                <a:gd name="connsiteX1" fmla="*/ 0 w 488156"/>
                <a:gd name="connsiteY1" fmla="*/ 164524 h 271681"/>
                <a:gd name="connsiteX2" fmla="*/ 95250 w 488156"/>
                <a:gd name="connsiteY2" fmla="*/ 269299 h 271681"/>
                <a:gd name="connsiteX3" fmla="*/ 400051 w 488156"/>
                <a:gd name="connsiteY3" fmla="*/ 271681 h 271681"/>
                <a:gd name="connsiteX4" fmla="*/ 488156 w 488156"/>
                <a:gd name="connsiteY4" fmla="*/ 159761 h 271681"/>
                <a:gd name="connsiteX5" fmla="*/ 488156 w 488156"/>
                <a:gd name="connsiteY5" fmla="*/ 52286 h 271681"/>
                <a:gd name="connsiteX6" fmla="*/ 407193 w 488156"/>
                <a:gd name="connsiteY6" fmla="*/ 52084 h 271681"/>
                <a:gd name="connsiteX7" fmla="*/ 409576 w 488156"/>
                <a:gd name="connsiteY7" fmla="*/ 0 h 271681"/>
                <a:gd name="connsiteX0" fmla="*/ 0 w 490537"/>
                <a:gd name="connsiteY0" fmla="*/ 52341 h 271681"/>
                <a:gd name="connsiteX1" fmla="*/ 2381 w 490537"/>
                <a:gd name="connsiteY1" fmla="*/ 164524 h 271681"/>
                <a:gd name="connsiteX2" fmla="*/ 97631 w 490537"/>
                <a:gd name="connsiteY2" fmla="*/ 269299 h 271681"/>
                <a:gd name="connsiteX3" fmla="*/ 402432 w 490537"/>
                <a:gd name="connsiteY3" fmla="*/ 271681 h 271681"/>
                <a:gd name="connsiteX4" fmla="*/ 490537 w 490537"/>
                <a:gd name="connsiteY4" fmla="*/ 159761 h 271681"/>
                <a:gd name="connsiteX5" fmla="*/ 490537 w 490537"/>
                <a:gd name="connsiteY5" fmla="*/ 52286 h 271681"/>
                <a:gd name="connsiteX6" fmla="*/ 409574 w 490537"/>
                <a:gd name="connsiteY6" fmla="*/ 52084 h 271681"/>
                <a:gd name="connsiteX7" fmla="*/ 411957 w 490537"/>
                <a:gd name="connsiteY7" fmla="*/ 0 h 271681"/>
                <a:gd name="connsiteX0" fmla="*/ 0 w 490537"/>
                <a:gd name="connsiteY0" fmla="*/ 52341 h 271681"/>
                <a:gd name="connsiteX1" fmla="*/ 2381 w 490537"/>
                <a:gd name="connsiteY1" fmla="*/ 164524 h 271681"/>
                <a:gd name="connsiteX2" fmla="*/ 97631 w 490537"/>
                <a:gd name="connsiteY2" fmla="*/ 269299 h 271681"/>
                <a:gd name="connsiteX3" fmla="*/ 402432 w 490537"/>
                <a:gd name="connsiteY3" fmla="*/ 271681 h 271681"/>
                <a:gd name="connsiteX4" fmla="*/ 490537 w 490537"/>
                <a:gd name="connsiteY4" fmla="*/ 159761 h 271681"/>
                <a:gd name="connsiteX5" fmla="*/ 490537 w 490537"/>
                <a:gd name="connsiteY5" fmla="*/ 52286 h 271681"/>
                <a:gd name="connsiteX6" fmla="*/ 409574 w 490537"/>
                <a:gd name="connsiteY6" fmla="*/ 52084 h 271681"/>
                <a:gd name="connsiteX7" fmla="*/ 411957 w 490537"/>
                <a:gd name="connsiteY7" fmla="*/ 0 h 271681"/>
                <a:gd name="connsiteX0" fmla="*/ 0 w 490537"/>
                <a:gd name="connsiteY0" fmla="*/ 52341 h 271681"/>
                <a:gd name="connsiteX1" fmla="*/ 2381 w 490537"/>
                <a:gd name="connsiteY1" fmla="*/ 164524 h 271681"/>
                <a:gd name="connsiteX2" fmla="*/ 97631 w 490537"/>
                <a:gd name="connsiteY2" fmla="*/ 269299 h 271681"/>
                <a:gd name="connsiteX3" fmla="*/ 402432 w 490537"/>
                <a:gd name="connsiteY3" fmla="*/ 271681 h 271681"/>
                <a:gd name="connsiteX4" fmla="*/ 490537 w 490537"/>
                <a:gd name="connsiteY4" fmla="*/ 159761 h 271681"/>
                <a:gd name="connsiteX5" fmla="*/ 490537 w 490537"/>
                <a:gd name="connsiteY5" fmla="*/ 52286 h 271681"/>
                <a:gd name="connsiteX6" fmla="*/ 409574 w 490537"/>
                <a:gd name="connsiteY6" fmla="*/ 52084 h 271681"/>
                <a:gd name="connsiteX7" fmla="*/ 411957 w 490537"/>
                <a:gd name="connsiteY7" fmla="*/ 0 h 271681"/>
                <a:gd name="connsiteX0" fmla="*/ 6383 w 496920"/>
                <a:gd name="connsiteY0" fmla="*/ 52341 h 271681"/>
                <a:gd name="connsiteX1" fmla="*/ 4002 w 496920"/>
                <a:gd name="connsiteY1" fmla="*/ 52083 h 271681"/>
                <a:gd name="connsiteX2" fmla="*/ 8764 w 496920"/>
                <a:gd name="connsiteY2" fmla="*/ 164524 h 271681"/>
                <a:gd name="connsiteX3" fmla="*/ 104014 w 496920"/>
                <a:gd name="connsiteY3" fmla="*/ 269299 h 271681"/>
                <a:gd name="connsiteX4" fmla="*/ 408815 w 496920"/>
                <a:gd name="connsiteY4" fmla="*/ 271681 h 271681"/>
                <a:gd name="connsiteX5" fmla="*/ 496920 w 496920"/>
                <a:gd name="connsiteY5" fmla="*/ 159761 h 271681"/>
                <a:gd name="connsiteX6" fmla="*/ 496920 w 496920"/>
                <a:gd name="connsiteY6" fmla="*/ 52286 h 271681"/>
                <a:gd name="connsiteX7" fmla="*/ 415957 w 496920"/>
                <a:gd name="connsiteY7" fmla="*/ 52084 h 271681"/>
                <a:gd name="connsiteX8" fmla="*/ 418340 w 496920"/>
                <a:gd name="connsiteY8" fmla="*/ 0 h 271681"/>
                <a:gd name="connsiteX0" fmla="*/ 6383 w 496920"/>
                <a:gd name="connsiteY0" fmla="*/ 52341 h 271681"/>
                <a:gd name="connsiteX1" fmla="*/ 4002 w 496920"/>
                <a:gd name="connsiteY1" fmla="*/ 52083 h 271681"/>
                <a:gd name="connsiteX2" fmla="*/ 8764 w 496920"/>
                <a:gd name="connsiteY2" fmla="*/ 164524 h 271681"/>
                <a:gd name="connsiteX3" fmla="*/ 104014 w 496920"/>
                <a:gd name="connsiteY3" fmla="*/ 269299 h 271681"/>
                <a:gd name="connsiteX4" fmla="*/ 408815 w 496920"/>
                <a:gd name="connsiteY4" fmla="*/ 271681 h 271681"/>
                <a:gd name="connsiteX5" fmla="*/ 496920 w 496920"/>
                <a:gd name="connsiteY5" fmla="*/ 159761 h 271681"/>
                <a:gd name="connsiteX6" fmla="*/ 496920 w 496920"/>
                <a:gd name="connsiteY6" fmla="*/ 52286 h 271681"/>
                <a:gd name="connsiteX7" fmla="*/ 415957 w 496920"/>
                <a:gd name="connsiteY7" fmla="*/ 52084 h 271681"/>
                <a:gd name="connsiteX8" fmla="*/ 418340 w 496920"/>
                <a:gd name="connsiteY8" fmla="*/ 0 h 271681"/>
                <a:gd name="connsiteX0" fmla="*/ 6383 w 496920"/>
                <a:gd name="connsiteY0" fmla="*/ 52341 h 271681"/>
                <a:gd name="connsiteX1" fmla="*/ 4002 w 496920"/>
                <a:gd name="connsiteY1" fmla="*/ 52083 h 271681"/>
                <a:gd name="connsiteX2" fmla="*/ 8764 w 496920"/>
                <a:gd name="connsiteY2" fmla="*/ 164524 h 271681"/>
                <a:gd name="connsiteX3" fmla="*/ 104014 w 496920"/>
                <a:gd name="connsiteY3" fmla="*/ 269299 h 271681"/>
                <a:gd name="connsiteX4" fmla="*/ 408815 w 496920"/>
                <a:gd name="connsiteY4" fmla="*/ 271681 h 271681"/>
                <a:gd name="connsiteX5" fmla="*/ 496920 w 496920"/>
                <a:gd name="connsiteY5" fmla="*/ 159761 h 271681"/>
                <a:gd name="connsiteX6" fmla="*/ 496920 w 496920"/>
                <a:gd name="connsiteY6" fmla="*/ 52286 h 271681"/>
                <a:gd name="connsiteX7" fmla="*/ 415957 w 496920"/>
                <a:gd name="connsiteY7" fmla="*/ 52084 h 271681"/>
                <a:gd name="connsiteX8" fmla="*/ 418340 w 496920"/>
                <a:gd name="connsiteY8" fmla="*/ 0 h 271681"/>
                <a:gd name="connsiteX0" fmla="*/ 6383 w 496920"/>
                <a:gd name="connsiteY0" fmla="*/ 52341 h 271681"/>
                <a:gd name="connsiteX1" fmla="*/ 4002 w 496920"/>
                <a:gd name="connsiteY1" fmla="*/ 52083 h 271681"/>
                <a:gd name="connsiteX2" fmla="*/ 8764 w 496920"/>
                <a:gd name="connsiteY2" fmla="*/ 164524 h 271681"/>
                <a:gd name="connsiteX3" fmla="*/ 104014 w 496920"/>
                <a:gd name="connsiteY3" fmla="*/ 269299 h 271681"/>
                <a:gd name="connsiteX4" fmla="*/ 408815 w 496920"/>
                <a:gd name="connsiteY4" fmla="*/ 271681 h 271681"/>
                <a:gd name="connsiteX5" fmla="*/ 496920 w 496920"/>
                <a:gd name="connsiteY5" fmla="*/ 159761 h 271681"/>
                <a:gd name="connsiteX6" fmla="*/ 496920 w 496920"/>
                <a:gd name="connsiteY6" fmla="*/ 52286 h 271681"/>
                <a:gd name="connsiteX7" fmla="*/ 415957 w 496920"/>
                <a:gd name="connsiteY7" fmla="*/ 52084 h 271681"/>
                <a:gd name="connsiteX8" fmla="*/ 418340 w 496920"/>
                <a:gd name="connsiteY8" fmla="*/ 0 h 271681"/>
                <a:gd name="connsiteX0" fmla="*/ 5398 w 495935"/>
                <a:gd name="connsiteY0" fmla="*/ 52341 h 271681"/>
                <a:gd name="connsiteX1" fmla="*/ 7779 w 495935"/>
                <a:gd name="connsiteY1" fmla="*/ 164524 h 271681"/>
                <a:gd name="connsiteX2" fmla="*/ 103029 w 495935"/>
                <a:gd name="connsiteY2" fmla="*/ 269299 h 271681"/>
                <a:gd name="connsiteX3" fmla="*/ 407830 w 495935"/>
                <a:gd name="connsiteY3" fmla="*/ 271681 h 271681"/>
                <a:gd name="connsiteX4" fmla="*/ 495935 w 495935"/>
                <a:gd name="connsiteY4" fmla="*/ 159761 h 271681"/>
                <a:gd name="connsiteX5" fmla="*/ 495935 w 495935"/>
                <a:gd name="connsiteY5" fmla="*/ 52286 h 271681"/>
                <a:gd name="connsiteX6" fmla="*/ 414972 w 495935"/>
                <a:gd name="connsiteY6" fmla="*/ 52084 h 271681"/>
                <a:gd name="connsiteX7" fmla="*/ 417355 w 495935"/>
                <a:gd name="connsiteY7" fmla="*/ 0 h 271681"/>
                <a:gd name="connsiteX0" fmla="*/ 0 w 490537"/>
                <a:gd name="connsiteY0" fmla="*/ 52341 h 271681"/>
                <a:gd name="connsiteX1" fmla="*/ 2381 w 490537"/>
                <a:gd name="connsiteY1" fmla="*/ 164524 h 271681"/>
                <a:gd name="connsiteX2" fmla="*/ 97631 w 490537"/>
                <a:gd name="connsiteY2" fmla="*/ 269299 h 271681"/>
                <a:gd name="connsiteX3" fmla="*/ 402432 w 490537"/>
                <a:gd name="connsiteY3" fmla="*/ 271681 h 271681"/>
                <a:gd name="connsiteX4" fmla="*/ 490537 w 490537"/>
                <a:gd name="connsiteY4" fmla="*/ 159761 h 271681"/>
                <a:gd name="connsiteX5" fmla="*/ 490537 w 490537"/>
                <a:gd name="connsiteY5" fmla="*/ 52286 h 271681"/>
                <a:gd name="connsiteX6" fmla="*/ 409574 w 490537"/>
                <a:gd name="connsiteY6" fmla="*/ 52084 h 271681"/>
                <a:gd name="connsiteX7" fmla="*/ 411957 w 490537"/>
                <a:gd name="connsiteY7" fmla="*/ 0 h 271681"/>
                <a:gd name="connsiteX0" fmla="*/ 5422 w 495959"/>
                <a:gd name="connsiteY0" fmla="*/ 52341 h 271681"/>
                <a:gd name="connsiteX1" fmla="*/ 5423 w 495959"/>
                <a:gd name="connsiteY1" fmla="*/ 47348 h 271681"/>
                <a:gd name="connsiteX2" fmla="*/ 7803 w 495959"/>
                <a:gd name="connsiteY2" fmla="*/ 164524 h 271681"/>
                <a:gd name="connsiteX3" fmla="*/ 103053 w 495959"/>
                <a:gd name="connsiteY3" fmla="*/ 269299 h 271681"/>
                <a:gd name="connsiteX4" fmla="*/ 407854 w 495959"/>
                <a:gd name="connsiteY4" fmla="*/ 271681 h 271681"/>
                <a:gd name="connsiteX5" fmla="*/ 495959 w 495959"/>
                <a:gd name="connsiteY5" fmla="*/ 159761 h 271681"/>
                <a:gd name="connsiteX6" fmla="*/ 495959 w 495959"/>
                <a:gd name="connsiteY6" fmla="*/ 52286 h 271681"/>
                <a:gd name="connsiteX7" fmla="*/ 414996 w 495959"/>
                <a:gd name="connsiteY7" fmla="*/ 52084 h 271681"/>
                <a:gd name="connsiteX8" fmla="*/ 417379 w 495959"/>
                <a:gd name="connsiteY8" fmla="*/ 0 h 271681"/>
                <a:gd name="connsiteX0" fmla="*/ 0 w 490537"/>
                <a:gd name="connsiteY0" fmla="*/ 52341 h 271681"/>
                <a:gd name="connsiteX1" fmla="*/ 90489 w 490537"/>
                <a:gd name="connsiteY1" fmla="*/ 52082 h 271681"/>
                <a:gd name="connsiteX2" fmla="*/ 2381 w 490537"/>
                <a:gd name="connsiteY2" fmla="*/ 164524 h 271681"/>
                <a:gd name="connsiteX3" fmla="*/ 97631 w 490537"/>
                <a:gd name="connsiteY3" fmla="*/ 269299 h 271681"/>
                <a:gd name="connsiteX4" fmla="*/ 402432 w 490537"/>
                <a:gd name="connsiteY4" fmla="*/ 271681 h 271681"/>
                <a:gd name="connsiteX5" fmla="*/ 490537 w 490537"/>
                <a:gd name="connsiteY5" fmla="*/ 159761 h 271681"/>
                <a:gd name="connsiteX6" fmla="*/ 490537 w 490537"/>
                <a:gd name="connsiteY6" fmla="*/ 52286 h 271681"/>
                <a:gd name="connsiteX7" fmla="*/ 409574 w 490537"/>
                <a:gd name="connsiteY7" fmla="*/ 52084 h 271681"/>
                <a:gd name="connsiteX8" fmla="*/ 411957 w 490537"/>
                <a:gd name="connsiteY8" fmla="*/ 0 h 271681"/>
                <a:gd name="connsiteX0" fmla="*/ 0 w 490537"/>
                <a:gd name="connsiteY0" fmla="*/ 52341 h 271681"/>
                <a:gd name="connsiteX1" fmla="*/ 90489 w 490537"/>
                <a:gd name="connsiteY1" fmla="*/ 52082 h 271681"/>
                <a:gd name="connsiteX2" fmla="*/ 2381 w 490537"/>
                <a:gd name="connsiteY2" fmla="*/ 164524 h 271681"/>
                <a:gd name="connsiteX3" fmla="*/ 97631 w 490537"/>
                <a:gd name="connsiteY3" fmla="*/ 269299 h 271681"/>
                <a:gd name="connsiteX4" fmla="*/ 402432 w 490537"/>
                <a:gd name="connsiteY4" fmla="*/ 271681 h 271681"/>
                <a:gd name="connsiteX5" fmla="*/ 490537 w 490537"/>
                <a:gd name="connsiteY5" fmla="*/ 159761 h 271681"/>
                <a:gd name="connsiteX6" fmla="*/ 490537 w 490537"/>
                <a:gd name="connsiteY6" fmla="*/ 52286 h 271681"/>
                <a:gd name="connsiteX7" fmla="*/ 409574 w 490537"/>
                <a:gd name="connsiteY7" fmla="*/ 52084 h 271681"/>
                <a:gd name="connsiteX8" fmla="*/ 411957 w 490537"/>
                <a:gd name="connsiteY8" fmla="*/ 0 h 271681"/>
                <a:gd name="connsiteX0" fmla="*/ 0 w 490537"/>
                <a:gd name="connsiteY0" fmla="*/ 52341 h 271681"/>
                <a:gd name="connsiteX1" fmla="*/ 90489 w 490537"/>
                <a:gd name="connsiteY1" fmla="*/ 52082 h 271681"/>
                <a:gd name="connsiteX2" fmla="*/ 2381 w 490537"/>
                <a:gd name="connsiteY2" fmla="*/ 164524 h 271681"/>
                <a:gd name="connsiteX3" fmla="*/ 97631 w 490537"/>
                <a:gd name="connsiteY3" fmla="*/ 269299 h 271681"/>
                <a:gd name="connsiteX4" fmla="*/ 402432 w 490537"/>
                <a:gd name="connsiteY4" fmla="*/ 271681 h 271681"/>
                <a:gd name="connsiteX5" fmla="*/ 490537 w 490537"/>
                <a:gd name="connsiteY5" fmla="*/ 159761 h 271681"/>
                <a:gd name="connsiteX6" fmla="*/ 490537 w 490537"/>
                <a:gd name="connsiteY6" fmla="*/ 52286 h 271681"/>
                <a:gd name="connsiteX7" fmla="*/ 409574 w 490537"/>
                <a:gd name="connsiteY7" fmla="*/ 52084 h 271681"/>
                <a:gd name="connsiteX8" fmla="*/ 411957 w 490537"/>
                <a:gd name="connsiteY8" fmla="*/ 0 h 271681"/>
                <a:gd name="connsiteX0" fmla="*/ 142875 w 488156"/>
                <a:gd name="connsiteY0" fmla="*/ 40505 h 271681"/>
                <a:gd name="connsiteX1" fmla="*/ 88108 w 488156"/>
                <a:gd name="connsiteY1" fmla="*/ 52082 h 271681"/>
                <a:gd name="connsiteX2" fmla="*/ 0 w 488156"/>
                <a:gd name="connsiteY2" fmla="*/ 164524 h 271681"/>
                <a:gd name="connsiteX3" fmla="*/ 95250 w 488156"/>
                <a:gd name="connsiteY3" fmla="*/ 269299 h 271681"/>
                <a:gd name="connsiteX4" fmla="*/ 400051 w 488156"/>
                <a:gd name="connsiteY4" fmla="*/ 271681 h 271681"/>
                <a:gd name="connsiteX5" fmla="*/ 488156 w 488156"/>
                <a:gd name="connsiteY5" fmla="*/ 159761 h 271681"/>
                <a:gd name="connsiteX6" fmla="*/ 488156 w 488156"/>
                <a:gd name="connsiteY6" fmla="*/ 52286 h 271681"/>
                <a:gd name="connsiteX7" fmla="*/ 407193 w 488156"/>
                <a:gd name="connsiteY7" fmla="*/ 52084 h 271681"/>
                <a:gd name="connsiteX8" fmla="*/ 409576 w 488156"/>
                <a:gd name="connsiteY8" fmla="*/ 0 h 271681"/>
                <a:gd name="connsiteX0" fmla="*/ 145254 w 490535"/>
                <a:gd name="connsiteY0" fmla="*/ 40505 h 271681"/>
                <a:gd name="connsiteX1" fmla="*/ 0 w 490535"/>
                <a:gd name="connsiteY1" fmla="*/ 42612 h 271681"/>
                <a:gd name="connsiteX2" fmla="*/ 2379 w 490535"/>
                <a:gd name="connsiteY2" fmla="*/ 164524 h 271681"/>
                <a:gd name="connsiteX3" fmla="*/ 97629 w 490535"/>
                <a:gd name="connsiteY3" fmla="*/ 269299 h 271681"/>
                <a:gd name="connsiteX4" fmla="*/ 402430 w 490535"/>
                <a:gd name="connsiteY4" fmla="*/ 271681 h 271681"/>
                <a:gd name="connsiteX5" fmla="*/ 490535 w 490535"/>
                <a:gd name="connsiteY5" fmla="*/ 159761 h 271681"/>
                <a:gd name="connsiteX6" fmla="*/ 490535 w 490535"/>
                <a:gd name="connsiteY6" fmla="*/ 52286 h 271681"/>
                <a:gd name="connsiteX7" fmla="*/ 409572 w 490535"/>
                <a:gd name="connsiteY7" fmla="*/ 52084 h 271681"/>
                <a:gd name="connsiteX8" fmla="*/ 411955 w 490535"/>
                <a:gd name="connsiteY8" fmla="*/ 0 h 271681"/>
                <a:gd name="connsiteX0" fmla="*/ 88104 w 490535"/>
                <a:gd name="connsiteY0" fmla="*/ 47607 h 271681"/>
                <a:gd name="connsiteX1" fmla="*/ 0 w 490535"/>
                <a:gd name="connsiteY1" fmla="*/ 42612 h 271681"/>
                <a:gd name="connsiteX2" fmla="*/ 2379 w 490535"/>
                <a:gd name="connsiteY2" fmla="*/ 164524 h 271681"/>
                <a:gd name="connsiteX3" fmla="*/ 97629 w 490535"/>
                <a:gd name="connsiteY3" fmla="*/ 269299 h 271681"/>
                <a:gd name="connsiteX4" fmla="*/ 402430 w 490535"/>
                <a:gd name="connsiteY4" fmla="*/ 271681 h 271681"/>
                <a:gd name="connsiteX5" fmla="*/ 490535 w 490535"/>
                <a:gd name="connsiteY5" fmla="*/ 159761 h 271681"/>
                <a:gd name="connsiteX6" fmla="*/ 490535 w 490535"/>
                <a:gd name="connsiteY6" fmla="*/ 52286 h 271681"/>
                <a:gd name="connsiteX7" fmla="*/ 409572 w 490535"/>
                <a:gd name="connsiteY7" fmla="*/ 52084 h 271681"/>
                <a:gd name="connsiteX8" fmla="*/ 411955 w 490535"/>
                <a:gd name="connsiteY8" fmla="*/ 0 h 271681"/>
                <a:gd name="connsiteX0" fmla="*/ 88104 w 490535"/>
                <a:gd name="connsiteY0" fmla="*/ 47607 h 271681"/>
                <a:gd name="connsiteX1" fmla="*/ 90486 w 490535"/>
                <a:gd name="connsiteY1" fmla="*/ 44981 h 271681"/>
                <a:gd name="connsiteX2" fmla="*/ 0 w 490535"/>
                <a:gd name="connsiteY2" fmla="*/ 42612 h 271681"/>
                <a:gd name="connsiteX3" fmla="*/ 2379 w 490535"/>
                <a:gd name="connsiteY3" fmla="*/ 164524 h 271681"/>
                <a:gd name="connsiteX4" fmla="*/ 97629 w 490535"/>
                <a:gd name="connsiteY4" fmla="*/ 269299 h 271681"/>
                <a:gd name="connsiteX5" fmla="*/ 402430 w 490535"/>
                <a:gd name="connsiteY5" fmla="*/ 271681 h 271681"/>
                <a:gd name="connsiteX6" fmla="*/ 490535 w 490535"/>
                <a:gd name="connsiteY6" fmla="*/ 159761 h 271681"/>
                <a:gd name="connsiteX7" fmla="*/ 490535 w 490535"/>
                <a:gd name="connsiteY7" fmla="*/ 52286 h 271681"/>
                <a:gd name="connsiteX8" fmla="*/ 409572 w 490535"/>
                <a:gd name="connsiteY8" fmla="*/ 52084 h 271681"/>
                <a:gd name="connsiteX9" fmla="*/ 411955 w 490535"/>
                <a:gd name="connsiteY9" fmla="*/ 0 h 271681"/>
                <a:gd name="connsiteX0" fmla="*/ 88104 w 490535"/>
                <a:gd name="connsiteY0" fmla="*/ 61812 h 285886"/>
                <a:gd name="connsiteX1" fmla="*/ 92867 w 490535"/>
                <a:gd name="connsiteY1" fmla="*/ 0 h 285886"/>
                <a:gd name="connsiteX2" fmla="*/ 0 w 490535"/>
                <a:gd name="connsiteY2" fmla="*/ 56817 h 285886"/>
                <a:gd name="connsiteX3" fmla="*/ 2379 w 490535"/>
                <a:gd name="connsiteY3" fmla="*/ 178729 h 285886"/>
                <a:gd name="connsiteX4" fmla="*/ 97629 w 490535"/>
                <a:gd name="connsiteY4" fmla="*/ 283504 h 285886"/>
                <a:gd name="connsiteX5" fmla="*/ 402430 w 490535"/>
                <a:gd name="connsiteY5" fmla="*/ 285886 h 285886"/>
                <a:gd name="connsiteX6" fmla="*/ 490535 w 490535"/>
                <a:gd name="connsiteY6" fmla="*/ 173966 h 285886"/>
                <a:gd name="connsiteX7" fmla="*/ 490535 w 490535"/>
                <a:gd name="connsiteY7" fmla="*/ 66491 h 285886"/>
                <a:gd name="connsiteX8" fmla="*/ 409572 w 490535"/>
                <a:gd name="connsiteY8" fmla="*/ 66289 h 285886"/>
                <a:gd name="connsiteX9" fmla="*/ 411955 w 490535"/>
                <a:gd name="connsiteY9" fmla="*/ 14205 h 285886"/>
                <a:gd name="connsiteX0" fmla="*/ 171447 w 490535"/>
                <a:gd name="connsiteY0" fmla="*/ 28668 h 285886"/>
                <a:gd name="connsiteX1" fmla="*/ 92867 w 490535"/>
                <a:gd name="connsiteY1" fmla="*/ 0 h 285886"/>
                <a:gd name="connsiteX2" fmla="*/ 0 w 490535"/>
                <a:gd name="connsiteY2" fmla="*/ 56817 h 285886"/>
                <a:gd name="connsiteX3" fmla="*/ 2379 w 490535"/>
                <a:gd name="connsiteY3" fmla="*/ 178729 h 285886"/>
                <a:gd name="connsiteX4" fmla="*/ 97629 w 490535"/>
                <a:gd name="connsiteY4" fmla="*/ 283504 h 285886"/>
                <a:gd name="connsiteX5" fmla="*/ 402430 w 490535"/>
                <a:gd name="connsiteY5" fmla="*/ 285886 h 285886"/>
                <a:gd name="connsiteX6" fmla="*/ 490535 w 490535"/>
                <a:gd name="connsiteY6" fmla="*/ 173966 h 285886"/>
                <a:gd name="connsiteX7" fmla="*/ 490535 w 490535"/>
                <a:gd name="connsiteY7" fmla="*/ 66491 h 285886"/>
                <a:gd name="connsiteX8" fmla="*/ 409572 w 490535"/>
                <a:gd name="connsiteY8" fmla="*/ 66289 h 285886"/>
                <a:gd name="connsiteX9" fmla="*/ 411955 w 490535"/>
                <a:gd name="connsiteY9" fmla="*/ 14205 h 285886"/>
                <a:gd name="connsiteX0" fmla="*/ 171447 w 490535"/>
                <a:gd name="connsiteY0" fmla="*/ 14463 h 271681"/>
                <a:gd name="connsiteX1" fmla="*/ 88104 w 490535"/>
                <a:gd name="connsiteY1" fmla="*/ 40244 h 271681"/>
                <a:gd name="connsiteX2" fmla="*/ 0 w 490535"/>
                <a:gd name="connsiteY2" fmla="*/ 42612 h 271681"/>
                <a:gd name="connsiteX3" fmla="*/ 2379 w 490535"/>
                <a:gd name="connsiteY3" fmla="*/ 164524 h 271681"/>
                <a:gd name="connsiteX4" fmla="*/ 97629 w 490535"/>
                <a:gd name="connsiteY4" fmla="*/ 269299 h 271681"/>
                <a:gd name="connsiteX5" fmla="*/ 402430 w 490535"/>
                <a:gd name="connsiteY5" fmla="*/ 271681 h 271681"/>
                <a:gd name="connsiteX6" fmla="*/ 490535 w 490535"/>
                <a:gd name="connsiteY6" fmla="*/ 159761 h 271681"/>
                <a:gd name="connsiteX7" fmla="*/ 490535 w 490535"/>
                <a:gd name="connsiteY7" fmla="*/ 52286 h 271681"/>
                <a:gd name="connsiteX8" fmla="*/ 409572 w 490535"/>
                <a:gd name="connsiteY8" fmla="*/ 52084 h 271681"/>
                <a:gd name="connsiteX9" fmla="*/ 411955 w 490535"/>
                <a:gd name="connsiteY9" fmla="*/ 0 h 271681"/>
                <a:gd name="connsiteX0" fmla="*/ 90485 w 490535"/>
                <a:gd name="connsiteY0" fmla="*/ 0 h 292729"/>
                <a:gd name="connsiteX1" fmla="*/ 88104 w 490535"/>
                <a:gd name="connsiteY1" fmla="*/ 61292 h 292729"/>
                <a:gd name="connsiteX2" fmla="*/ 0 w 490535"/>
                <a:gd name="connsiteY2" fmla="*/ 63660 h 292729"/>
                <a:gd name="connsiteX3" fmla="*/ 2379 w 490535"/>
                <a:gd name="connsiteY3" fmla="*/ 185572 h 292729"/>
                <a:gd name="connsiteX4" fmla="*/ 97629 w 490535"/>
                <a:gd name="connsiteY4" fmla="*/ 290347 h 292729"/>
                <a:gd name="connsiteX5" fmla="*/ 402430 w 490535"/>
                <a:gd name="connsiteY5" fmla="*/ 292729 h 292729"/>
                <a:gd name="connsiteX6" fmla="*/ 490535 w 490535"/>
                <a:gd name="connsiteY6" fmla="*/ 180809 h 292729"/>
                <a:gd name="connsiteX7" fmla="*/ 490535 w 490535"/>
                <a:gd name="connsiteY7" fmla="*/ 73334 h 292729"/>
                <a:gd name="connsiteX8" fmla="*/ 409572 w 490535"/>
                <a:gd name="connsiteY8" fmla="*/ 73132 h 292729"/>
                <a:gd name="connsiteX9" fmla="*/ 411955 w 490535"/>
                <a:gd name="connsiteY9" fmla="*/ 21048 h 292729"/>
                <a:gd name="connsiteX0" fmla="*/ 90485 w 490535"/>
                <a:gd name="connsiteY0" fmla="*/ 0 h 292729"/>
                <a:gd name="connsiteX1" fmla="*/ 88104 w 490535"/>
                <a:gd name="connsiteY1" fmla="*/ 61292 h 292729"/>
                <a:gd name="connsiteX2" fmla="*/ 0 w 490535"/>
                <a:gd name="connsiteY2" fmla="*/ 63660 h 292729"/>
                <a:gd name="connsiteX3" fmla="*/ 2379 w 490535"/>
                <a:gd name="connsiteY3" fmla="*/ 185572 h 292729"/>
                <a:gd name="connsiteX4" fmla="*/ 97629 w 490535"/>
                <a:gd name="connsiteY4" fmla="*/ 290347 h 292729"/>
                <a:gd name="connsiteX5" fmla="*/ 402430 w 490535"/>
                <a:gd name="connsiteY5" fmla="*/ 292729 h 292729"/>
                <a:gd name="connsiteX6" fmla="*/ 490535 w 490535"/>
                <a:gd name="connsiteY6" fmla="*/ 180809 h 292729"/>
                <a:gd name="connsiteX7" fmla="*/ 490535 w 490535"/>
                <a:gd name="connsiteY7" fmla="*/ 73334 h 292729"/>
                <a:gd name="connsiteX8" fmla="*/ 409572 w 490535"/>
                <a:gd name="connsiteY8" fmla="*/ 73132 h 292729"/>
                <a:gd name="connsiteX9" fmla="*/ 411955 w 490535"/>
                <a:gd name="connsiteY9" fmla="*/ 11578 h 292729"/>
                <a:gd name="connsiteX0" fmla="*/ 92866 w 492916"/>
                <a:gd name="connsiteY0" fmla="*/ 0 h 292729"/>
                <a:gd name="connsiteX1" fmla="*/ 90485 w 492916"/>
                <a:gd name="connsiteY1" fmla="*/ 61292 h 292729"/>
                <a:gd name="connsiteX2" fmla="*/ 0 w 492916"/>
                <a:gd name="connsiteY2" fmla="*/ 75498 h 292729"/>
                <a:gd name="connsiteX3" fmla="*/ 4760 w 492916"/>
                <a:gd name="connsiteY3" fmla="*/ 185572 h 292729"/>
                <a:gd name="connsiteX4" fmla="*/ 100010 w 492916"/>
                <a:gd name="connsiteY4" fmla="*/ 290347 h 292729"/>
                <a:gd name="connsiteX5" fmla="*/ 404811 w 492916"/>
                <a:gd name="connsiteY5" fmla="*/ 292729 h 292729"/>
                <a:gd name="connsiteX6" fmla="*/ 492916 w 492916"/>
                <a:gd name="connsiteY6" fmla="*/ 180809 h 292729"/>
                <a:gd name="connsiteX7" fmla="*/ 492916 w 492916"/>
                <a:gd name="connsiteY7" fmla="*/ 73334 h 292729"/>
                <a:gd name="connsiteX8" fmla="*/ 411953 w 492916"/>
                <a:gd name="connsiteY8" fmla="*/ 73132 h 292729"/>
                <a:gd name="connsiteX9" fmla="*/ 414336 w 492916"/>
                <a:gd name="connsiteY9" fmla="*/ 11578 h 292729"/>
                <a:gd name="connsiteX0" fmla="*/ 92866 w 492916"/>
                <a:gd name="connsiteY0" fmla="*/ 0 h 292729"/>
                <a:gd name="connsiteX1" fmla="*/ 92866 w 492916"/>
                <a:gd name="connsiteY1" fmla="*/ 73129 h 292729"/>
                <a:gd name="connsiteX2" fmla="*/ 0 w 492916"/>
                <a:gd name="connsiteY2" fmla="*/ 75498 h 292729"/>
                <a:gd name="connsiteX3" fmla="*/ 4760 w 492916"/>
                <a:gd name="connsiteY3" fmla="*/ 185572 h 292729"/>
                <a:gd name="connsiteX4" fmla="*/ 100010 w 492916"/>
                <a:gd name="connsiteY4" fmla="*/ 290347 h 292729"/>
                <a:gd name="connsiteX5" fmla="*/ 404811 w 492916"/>
                <a:gd name="connsiteY5" fmla="*/ 292729 h 292729"/>
                <a:gd name="connsiteX6" fmla="*/ 492916 w 492916"/>
                <a:gd name="connsiteY6" fmla="*/ 180809 h 292729"/>
                <a:gd name="connsiteX7" fmla="*/ 492916 w 492916"/>
                <a:gd name="connsiteY7" fmla="*/ 73334 h 292729"/>
                <a:gd name="connsiteX8" fmla="*/ 411953 w 492916"/>
                <a:gd name="connsiteY8" fmla="*/ 73132 h 292729"/>
                <a:gd name="connsiteX9" fmla="*/ 414336 w 492916"/>
                <a:gd name="connsiteY9" fmla="*/ 11578 h 292729"/>
                <a:gd name="connsiteX0" fmla="*/ 92866 w 492916"/>
                <a:gd name="connsiteY0" fmla="*/ 0 h 292729"/>
                <a:gd name="connsiteX1" fmla="*/ 92866 w 492916"/>
                <a:gd name="connsiteY1" fmla="*/ 73129 h 292729"/>
                <a:gd name="connsiteX2" fmla="*/ 0 w 492916"/>
                <a:gd name="connsiteY2" fmla="*/ 75498 h 292729"/>
                <a:gd name="connsiteX3" fmla="*/ 4760 w 492916"/>
                <a:gd name="connsiteY3" fmla="*/ 185572 h 292729"/>
                <a:gd name="connsiteX4" fmla="*/ 100010 w 492916"/>
                <a:gd name="connsiteY4" fmla="*/ 290347 h 292729"/>
                <a:gd name="connsiteX5" fmla="*/ 404811 w 492916"/>
                <a:gd name="connsiteY5" fmla="*/ 292729 h 292729"/>
                <a:gd name="connsiteX6" fmla="*/ 492916 w 492916"/>
                <a:gd name="connsiteY6" fmla="*/ 180809 h 292729"/>
                <a:gd name="connsiteX7" fmla="*/ 492916 w 492916"/>
                <a:gd name="connsiteY7" fmla="*/ 73334 h 292729"/>
                <a:gd name="connsiteX8" fmla="*/ 419097 w 492916"/>
                <a:gd name="connsiteY8" fmla="*/ 73132 h 292729"/>
                <a:gd name="connsiteX9" fmla="*/ 414336 w 492916"/>
                <a:gd name="connsiteY9" fmla="*/ 11578 h 292729"/>
                <a:gd name="connsiteX0" fmla="*/ 92866 w 492916"/>
                <a:gd name="connsiteY0" fmla="*/ 0 h 292729"/>
                <a:gd name="connsiteX1" fmla="*/ 92866 w 492916"/>
                <a:gd name="connsiteY1" fmla="*/ 73129 h 292729"/>
                <a:gd name="connsiteX2" fmla="*/ 0 w 492916"/>
                <a:gd name="connsiteY2" fmla="*/ 75498 h 292729"/>
                <a:gd name="connsiteX3" fmla="*/ 4760 w 492916"/>
                <a:gd name="connsiteY3" fmla="*/ 185572 h 292729"/>
                <a:gd name="connsiteX4" fmla="*/ 100010 w 492916"/>
                <a:gd name="connsiteY4" fmla="*/ 290347 h 292729"/>
                <a:gd name="connsiteX5" fmla="*/ 404811 w 492916"/>
                <a:gd name="connsiteY5" fmla="*/ 292729 h 292729"/>
                <a:gd name="connsiteX6" fmla="*/ 492916 w 492916"/>
                <a:gd name="connsiteY6" fmla="*/ 180809 h 292729"/>
                <a:gd name="connsiteX7" fmla="*/ 492916 w 492916"/>
                <a:gd name="connsiteY7" fmla="*/ 73334 h 292729"/>
                <a:gd name="connsiteX8" fmla="*/ 411953 w 492916"/>
                <a:gd name="connsiteY8" fmla="*/ 73132 h 292729"/>
                <a:gd name="connsiteX9" fmla="*/ 414336 w 492916"/>
                <a:gd name="connsiteY9" fmla="*/ 11578 h 292729"/>
                <a:gd name="connsiteX0" fmla="*/ 92866 w 492916"/>
                <a:gd name="connsiteY0" fmla="*/ 0 h 292729"/>
                <a:gd name="connsiteX1" fmla="*/ 92866 w 492916"/>
                <a:gd name="connsiteY1" fmla="*/ 73129 h 292729"/>
                <a:gd name="connsiteX2" fmla="*/ 0 w 492916"/>
                <a:gd name="connsiteY2" fmla="*/ 75498 h 292729"/>
                <a:gd name="connsiteX3" fmla="*/ 4760 w 492916"/>
                <a:gd name="connsiteY3" fmla="*/ 185572 h 292729"/>
                <a:gd name="connsiteX4" fmla="*/ 100010 w 492916"/>
                <a:gd name="connsiteY4" fmla="*/ 290347 h 292729"/>
                <a:gd name="connsiteX5" fmla="*/ 404811 w 492916"/>
                <a:gd name="connsiteY5" fmla="*/ 292729 h 292729"/>
                <a:gd name="connsiteX6" fmla="*/ 492916 w 492916"/>
                <a:gd name="connsiteY6" fmla="*/ 180809 h 292729"/>
                <a:gd name="connsiteX7" fmla="*/ 492916 w 492916"/>
                <a:gd name="connsiteY7" fmla="*/ 73334 h 292729"/>
                <a:gd name="connsiteX8" fmla="*/ 421478 w 492916"/>
                <a:gd name="connsiteY8" fmla="*/ 73132 h 292729"/>
                <a:gd name="connsiteX9" fmla="*/ 414336 w 492916"/>
                <a:gd name="connsiteY9" fmla="*/ 11578 h 292729"/>
                <a:gd name="connsiteX0" fmla="*/ 92866 w 492916"/>
                <a:gd name="connsiteY0" fmla="*/ 0 h 292729"/>
                <a:gd name="connsiteX1" fmla="*/ 92866 w 492916"/>
                <a:gd name="connsiteY1" fmla="*/ 73129 h 292729"/>
                <a:gd name="connsiteX2" fmla="*/ 0 w 492916"/>
                <a:gd name="connsiteY2" fmla="*/ 75498 h 292729"/>
                <a:gd name="connsiteX3" fmla="*/ 4760 w 492916"/>
                <a:gd name="connsiteY3" fmla="*/ 185572 h 292729"/>
                <a:gd name="connsiteX4" fmla="*/ 100010 w 492916"/>
                <a:gd name="connsiteY4" fmla="*/ 290347 h 292729"/>
                <a:gd name="connsiteX5" fmla="*/ 404811 w 492916"/>
                <a:gd name="connsiteY5" fmla="*/ 292729 h 292729"/>
                <a:gd name="connsiteX6" fmla="*/ 492916 w 492916"/>
                <a:gd name="connsiteY6" fmla="*/ 180809 h 292729"/>
                <a:gd name="connsiteX7" fmla="*/ 492916 w 492916"/>
                <a:gd name="connsiteY7" fmla="*/ 73334 h 292729"/>
                <a:gd name="connsiteX8" fmla="*/ 414334 w 492916"/>
                <a:gd name="connsiteY8" fmla="*/ 75499 h 292729"/>
                <a:gd name="connsiteX9" fmla="*/ 414336 w 492916"/>
                <a:gd name="connsiteY9" fmla="*/ 11578 h 292729"/>
                <a:gd name="connsiteX0" fmla="*/ 92866 w 492917"/>
                <a:gd name="connsiteY0" fmla="*/ 0 h 295096"/>
                <a:gd name="connsiteX1" fmla="*/ 92866 w 492917"/>
                <a:gd name="connsiteY1" fmla="*/ 73129 h 295096"/>
                <a:gd name="connsiteX2" fmla="*/ 0 w 492917"/>
                <a:gd name="connsiteY2" fmla="*/ 75498 h 295096"/>
                <a:gd name="connsiteX3" fmla="*/ 4760 w 492917"/>
                <a:gd name="connsiteY3" fmla="*/ 185572 h 295096"/>
                <a:gd name="connsiteX4" fmla="*/ 100010 w 492917"/>
                <a:gd name="connsiteY4" fmla="*/ 290347 h 295096"/>
                <a:gd name="connsiteX5" fmla="*/ 492917 w 492917"/>
                <a:gd name="connsiteY5" fmla="*/ 295096 h 295096"/>
                <a:gd name="connsiteX6" fmla="*/ 492916 w 492917"/>
                <a:gd name="connsiteY6" fmla="*/ 180809 h 295096"/>
                <a:gd name="connsiteX7" fmla="*/ 492916 w 492917"/>
                <a:gd name="connsiteY7" fmla="*/ 73334 h 295096"/>
                <a:gd name="connsiteX8" fmla="*/ 414334 w 492917"/>
                <a:gd name="connsiteY8" fmla="*/ 75499 h 295096"/>
                <a:gd name="connsiteX9" fmla="*/ 414336 w 492917"/>
                <a:gd name="connsiteY9" fmla="*/ 11578 h 295096"/>
                <a:gd name="connsiteX0" fmla="*/ 92866 w 492917"/>
                <a:gd name="connsiteY0" fmla="*/ 0 h 297449"/>
                <a:gd name="connsiteX1" fmla="*/ 92866 w 492917"/>
                <a:gd name="connsiteY1" fmla="*/ 73129 h 297449"/>
                <a:gd name="connsiteX2" fmla="*/ 0 w 492917"/>
                <a:gd name="connsiteY2" fmla="*/ 75498 h 297449"/>
                <a:gd name="connsiteX3" fmla="*/ 4760 w 492917"/>
                <a:gd name="connsiteY3" fmla="*/ 185572 h 297449"/>
                <a:gd name="connsiteX4" fmla="*/ 14285 w 492917"/>
                <a:gd name="connsiteY4" fmla="*/ 297449 h 297449"/>
                <a:gd name="connsiteX5" fmla="*/ 492917 w 492917"/>
                <a:gd name="connsiteY5" fmla="*/ 295096 h 297449"/>
                <a:gd name="connsiteX6" fmla="*/ 492916 w 492917"/>
                <a:gd name="connsiteY6" fmla="*/ 180809 h 297449"/>
                <a:gd name="connsiteX7" fmla="*/ 492916 w 492917"/>
                <a:gd name="connsiteY7" fmla="*/ 73334 h 297449"/>
                <a:gd name="connsiteX8" fmla="*/ 414334 w 492917"/>
                <a:gd name="connsiteY8" fmla="*/ 75499 h 297449"/>
                <a:gd name="connsiteX9" fmla="*/ 414336 w 492917"/>
                <a:gd name="connsiteY9" fmla="*/ 11578 h 297449"/>
                <a:gd name="connsiteX0" fmla="*/ 92866 w 492917"/>
                <a:gd name="connsiteY0" fmla="*/ 0 h 295096"/>
                <a:gd name="connsiteX1" fmla="*/ 92866 w 492917"/>
                <a:gd name="connsiteY1" fmla="*/ 73129 h 295096"/>
                <a:gd name="connsiteX2" fmla="*/ 0 w 492917"/>
                <a:gd name="connsiteY2" fmla="*/ 75498 h 295096"/>
                <a:gd name="connsiteX3" fmla="*/ 4760 w 492917"/>
                <a:gd name="connsiteY3" fmla="*/ 185572 h 295096"/>
                <a:gd name="connsiteX4" fmla="*/ 7141 w 492917"/>
                <a:gd name="connsiteY4" fmla="*/ 292714 h 295096"/>
                <a:gd name="connsiteX5" fmla="*/ 492917 w 492917"/>
                <a:gd name="connsiteY5" fmla="*/ 295096 h 295096"/>
                <a:gd name="connsiteX6" fmla="*/ 492916 w 492917"/>
                <a:gd name="connsiteY6" fmla="*/ 180809 h 295096"/>
                <a:gd name="connsiteX7" fmla="*/ 492916 w 492917"/>
                <a:gd name="connsiteY7" fmla="*/ 73334 h 295096"/>
                <a:gd name="connsiteX8" fmla="*/ 414334 w 492917"/>
                <a:gd name="connsiteY8" fmla="*/ 75499 h 295096"/>
                <a:gd name="connsiteX9" fmla="*/ 414336 w 492917"/>
                <a:gd name="connsiteY9" fmla="*/ 11578 h 295096"/>
                <a:gd name="connsiteX0" fmla="*/ 88106 w 488157"/>
                <a:gd name="connsiteY0" fmla="*/ 0 h 295096"/>
                <a:gd name="connsiteX1" fmla="*/ 88106 w 488157"/>
                <a:gd name="connsiteY1" fmla="*/ 73129 h 295096"/>
                <a:gd name="connsiteX2" fmla="*/ 42865 w 488157"/>
                <a:gd name="connsiteY2" fmla="*/ 70764 h 295096"/>
                <a:gd name="connsiteX3" fmla="*/ 0 w 488157"/>
                <a:gd name="connsiteY3" fmla="*/ 185572 h 295096"/>
                <a:gd name="connsiteX4" fmla="*/ 2381 w 488157"/>
                <a:gd name="connsiteY4" fmla="*/ 292714 h 295096"/>
                <a:gd name="connsiteX5" fmla="*/ 488157 w 488157"/>
                <a:gd name="connsiteY5" fmla="*/ 295096 h 295096"/>
                <a:gd name="connsiteX6" fmla="*/ 488156 w 488157"/>
                <a:gd name="connsiteY6" fmla="*/ 180809 h 295096"/>
                <a:gd name="connsiteX7" fmla="*/ 488156 w 488157"/>
                <a:gd name="connsiteY7" fmla="*/ 73334 h 295096"/>
                <a:gd name="connsiteX8" fmla="*/ 409574 w 488157"/>
                <a:gd name="connsiteY8" fmla="*/ 75499 h 295096"/>
                <a:gd name="connsiteX9" fmla="*/ 409576 w 488157"/>
                <a:gd name="connsiteY9" fmla="*/ 11578 h 295096"/>
                <a:gd name="connsiteX0" fmla="*/ 88106 w 488157"/>
                <a:gd name="connsiteY0" fmla="*/ 0 h 295096"/>
                <a:gd name="connsiteX1" fmla="*/ 88106 w 488157"/>
                <a:gd name="connsiteY1" fmla="*/ 73129 h 295096"/>
                <a:gd name="connsiteX2" fmla="*/ 42865 w 488157"/>
                <a:gd name="connsiteY2" fmla="*/ 70764 h 295096"/>
                <a:gd name="connsiteX3" fmla="*/ 0 w 488157"/>
                <a:gd name="connsiteY3" fmla="*/ 185572 h 295096"/>
                <a:gd name="connsiteX4" fmla="*/ 2381 w 488157"/>
                <a:gd name="connsiteY4" fmla="*/ 292714 h 295096"/>
                <a:gd name="connsiteX5" fmla="*/ 488157 w 488157"/>
                <a:gd name="connsiteY5" fmla="*/ 295096 h 295096"/>
                <a:gd name="connsiteX6" fmla="*/ 488156 w 488157"/>
                <a:gd name="connsiteY6" fmla="*/ 180809 h 295096"/>
                <a:gd name="connsiteX7" fmla="*/ 442912 w 488157"/>
                <a:gd name="connsiteY7" fmla="*/ 80436 h 295096"/>
                <a:gd name="connsiteX8" fmla="*/ 409574 w 488157"/>
                <a:gd name="connsiteY8" fmla="*/ 75499 h 295096"/>
                <a:gd name="connsiteX9" fmla="*/ 409576 w 488157"/>
                <a:gd name="connsiteY9" fmla="*/ 11578 h 295096"/>
                <a:gd name="connsiteX0" fmla="*/ 88106 w 488157"/>
                <a:gd name="connsiteY0" fmla="*/ 0 h 295096"/>
                <a:gd name="connsiteX1" fmla="*/ 88106 w 488157"/>
                <a:gd name="connsiteY1" fmla="*/ 73129 h 295096"/>
                <a:gd name="connsiteX2" fmla="*/ 42865 w 488157"/>
                <a:gd name="connsiteY2" fmla="*/ 70764 h 295096"/>
                <a:gd name="connsiteX3" fmla="*/ 0 w 488157"/>
                <a:gd name="connsiteY3" fmla="*/ 185572 h 295096"/>
                <a:gd name="connsiteX4" fmla="*/ 2381 w 488157"/>
                <a:gd name="connsiteY4" fmla="*/ 292714 h 295096"/>
                <a:gd name="connsiteX5" fmla="*/ 488157 w 488157"/>
                <a:gd name="connsiteY5" fmla="*/ 295096 h 295096"/>
                <a:gd name="connsiteX6" fmla="*/ 488156 w 488157"/>
                <a:gd name="connsiteY6" fmla="*/ 180809 h 295096"/>
                <a:gd name="connsiteX7" fmla="*/ 450056 w 488157"/>
                <a:gd name="connsiteY7" fmla="*/ 78069 h 295096"/>
                <a:gd name="connsiteX8" fmla="*/ 409574 w 488157"/>
                <a:gd name="connsiteY8" fmla="*/ 75499 h 295096"/>
                <a:gd name="connsiteX9" fmla="*/ 409576 w 488157"/>
                <a:gd name="connsiteY9" fmla="*/ 11578 h 295096"/>
                <a:gd name="connsiteX0" fmla="*/ 88106 w 488157"/>
                <a:gd name="connsiteY0" fmla="*/ 0 h 295096"/>
                <a:gd name="connsiteX1" fmla="*/ 88106 w 488157"/>
                <a:gd name="connsiteY1" fmla="*/ 73129 h 295096"/>
                <a:gd name="connsiteX2" fmla="*/ 42865 w 488157"/>
                <a:gd name="connsiteY2" fmla="*/ 82600 h 295096"/>
                <a:gd name="connsiteX3" fmla="*/ 0 w 488157"/>
                <a:gd name="connsiteY3" fmla="*/ 185572 h 295096"/>
                <a:gd name="connsiteX4" fmla="*/ 2381 w 488157"/>
                <a:gd name="connsiteY4" fmla="*/ 292714 h 295096"/>
                <a:gd name="connsiteX5" fmla="*/ 488157 w 488157"/>
                <a:gd name="connsiteY5" fmla="*/ 295096 h 295096"/>
                <a:gd name="connsiteX6" fmla="*/ 488156 w 488157"/>
                <a:gd name="connsiteY6" fmla="*/ 180809 h 295096"/>
                <a:gd name="connsiteX7" fmla="*/ 450056 w 488157"/>
                <a:gd name="connsiteY7" fmla="*/ 78069 h 295096"/>
                <a:gd name="connsiteX8" fmla="*/ 409574 w 488157"/>
                <a:gd name="connsiteY8" fmla="*/ 75499 h 295096"/>
                <a:gd name="connsiteX9" fmla="*/ 409576 w 488157"/>
                <a:gd name="connsiteY9" fmla="*/ 11578 h 295096"/>
                <a:gd name="connsiteX0" fmla="*/ 88106 w 488157"/>
                <a:gd name="connsiteY0" fmla="*/ 0 h 295096"/>
                <a:gd name="connsiteX1" fmla="*/ 88106 w 488157"/>
                <a:gd name="connsiteY1" fmla="*/ 73129 h 295096"/>
                <a:gd name="connsiteX2" fmla="*/ 42865 w 488157"/>
                <a:gd name="connsiteY2" fmla="*/ 82600 h 295096"/>
                <a:gd name="connsiteX3" fmla="*/ 0 w 488157"/>
                <a:gd name="connsiteY3" fmla="*/ 185572 h 295096"/>
                <a:gd name="connsiteX4" fmla="*/ 2381 w 488157"/>
                <a:gd name="connsiteY4" fmla="*/ 292714 h 295096"/>
                <a:gd name="connsiteX5" fmla="*/ 488157 w 488157"/>
                <a:gd name="connsiteY5" fmla="*/ 295096 h 295096"/>
                <a:gd name="connsiteX6" fmla="*/ 488156 w 488157"/>
                <a:gd name="connsiteY6" fmla="*/ 180809 h 295096"/>
                <a:gd name="connsiteX7" fmla="*/ 447674 w 488157"/>
                <a:gd name="connsiteY7" fmla="*/ 85171 h 295096"/>
                <a:gd name="connsiteX8" fmla="*/ 409574 w 488157"/>
                <a:gd name="connsiteY8" fmla="*/ 75499 h 295096"/>
                <a:gd name="connsiteX9" fmla="*/ 409576 w 488157"/>
                <a:gd name="connsiteY9" fmla="*/ 11578 h 29509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88157" h="295096">
                  <a:moveTo>
                    <a:pt x="88106" y="0"/>
                  </a:moveTo>
                  <a:cubicBezTo>
                    <a:pt x="87312" y="20431"/>
                    <a:pt x="88900" y="52698"/>
                    <a:pt x="88106" y="73129"/>
                  </a:cubicBezTo>
                  <a:lnTo>
                    <a:pt x="42865" y="82600"/>
                  </a:lnTo>
                  <a:lnTo>
                    <a:pt x="0" y="185572"/>
                  </a:lnTo>
                  <a:cubicBezTo>
                    <a:pt x="794" y="221286"/>
                    <a:pt x="1587" y="257000"/>
                    <a:pt x="2381" y="292714"/>
                  </a:cubicBezTo>
                  <a:lnTo>
                    <a:pt x="488157" y="295096"/>
                  </a:lnTo>
                  <a:cubicBezTo>
                    <a:pt x="488157" y="257000"/>
                    <a:pt x="488156" y="218905"/>
                    <a:pt x="488156" y="180809"/>
                  </a:cubicBezTo>
                  <a:lnTo>
                    <a:pt x="447674" y="85171"/>
                  </a:lnTo>
                  <a:lnTo>
                    <a:pt x="409574" y="75499"/>
                  </a:lnTo>
                  <a:cubicBezTo>
                    <a:pt x="410368" y="54981"/>
                    <a:pt x="408782" y="32096"/>
                    <a:pt x="409576" y="11578"/>
                  </a:cubicBezTo>
                </a:path>
              </a:pathLst>
            </a:cu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grpSp>
          <xdr:nvGrpSpPr>
            <xdr:cNvPr id="46" name="Group 49"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GrpSpPr/>
          </xdr:nvGrpSpPr>
          <xdr:grpSpPr>
            <a:xfrm>
              <a:off x="8309191" y="3161138"/>
              <a:ext cx="421671" cy="46852"/>
              <a:chOff x="8822190" y="2615633"/>
              <a:chExt cx="485776" cy="83091"/>
            </a:xfrm>
          </xdr:grpSpPr>
          <xdr:sp macro="" textlink="">
            <xdr:nvSpPr>
              <xdr:cNvPr id="51" name="Freeform: Shape 19">
                <a:extLst>
                  <a:ext uri="{FF2B5EF4-FFF2-40B4-BE49-F238E27FC236}">
                    <a16:creationId xmlns:a16="http://schemas.microsoft.com/office/drawing/2014/main" id="{00000000-0008-0000-0300-000033000000}"/>
                  </a:ext>
                </a:extLst>
              </xdr:cNvPr>
              <xdr:cNvSpPr/>
            </xdr:nvSpPr>
            <xdr:spPr>
              <a:xfrm>
                <a:off x="8822190" y="2625989"/>
                <a:ext cx="485776" cy="72735"/>
              </a:xfrm>
              <a:custGeom>
                <a:avLst/>
                <a:gdLst>
                  <a:gd name="connsiteX0" fmla="*/ 0 w 466725"/>
                  <a:gd name="connsiteY0" fmla="*/ 28690 h 79558"/>
                  <a:gd name="connsiteX1" fmla="*/ 120650 w 466725"/>
                  <a:gd name="connsiteY1" fmla="*/ 115 h 79558"/>
                  <a:gd name="connsiteX2" fmla="*/ 228600 w 466725"/>
                  <a:gd name="connsiteY2" fmla="*/ 38215 h 79558"/>
                  <a:gd name="connsiteX3" fmla="*/ 377825 w 466725"/>
                  <a:gd name="connsiteY3" fmla="*/ 79490 h 79558"/>
                  <a:gd name="connsiteX4" fmla="*/ 466725 w 466725"/>
                  <a:gd name="connsiteY4" fmla="*/ 44565 h 79558"/>
                  <a:gd name="connsiteX0" fmla="*/ 0 w 469107"/>
                  <a:gd name="connsiteY0" fmla="*/ 42882 h 79462"/>
                  <a:gd name="connsiteX1" fmla="*/ 123032 w 469107"/>
                  <a:gd name="connsiteY1" fmla="*/ 19 h 79462"/>
                  <a:gd name="connsiteX2" fmla="*/ 230982 w 469107"/>
                  <a:gd name="connsiteY2" fmla="*/ 38119 h 79462"/>
                  <a:gd name="connsiteX3" fmla="*/ 380207 w 469107"/>
                  <a:gd name="connsiteY3" fmla="*/ 79394 h 79462"/>
                  <a:gd name="connsiteX4" fmla="*/ 469107 w 469107"/>
                  <a:gd name="connsiteY4" fmla="*/ 44469 h 79462"/>
                  <a:gd name="connsiteX0" fmla="*/ 0 w 469107"/>
                  <a:gd name="connsiteY0" fmla="*/ 42882 h 84206"/>
                  <a:gd name="connsiteX1" fmla="*/ 123032 w 469107"/>
                  <a:gd name="connsiteY1" fmla="*/ 19 h 84206"/>
                  <a:gd name="connsiteX2" fmla="*/ 230982 w 469107"/>
                  <a:gd name="connsiteY2" fmla="*/ 38119 h 84206"/>
                  <a:gd name="connsiteX3" fmla="*/ 361157 w 469107"/>
                  <a:gd name="connsiteY3" fmla="*/ 84157 h 84206"/>
                  <a:gd name="connsiteX4" fmla="*/ 469107 w 469107"/>
                  <a:gd name="connsiteY4" fmla="*/ 44469 h 84206"/>
                  <a:gd name="connsiteX0" fmla="*/ 0 w 469107"/>
                  <a:gd name="connsiteY0" fmla="*/ 54783 h 96107"/>
                  <a:gd name="connsiteX1" fmla="*/ 103982 w 469107"/>
                  <a:gd name="connsiteY1" fmla="*/ 13 h 96107"/>
                  <a:gd name="connsiteX2" fmla="*/ 230982 w 469107"/>
                  <a:gd name="connsiteY2" fmla="*/ 50020 h 96107"/>
                  <a:gd name="connsiteX3" fmla="*/ 361157 w 469107"/>
                  <a:gd name="connsiteY3" fmla="*/ 96058 h 96107"/>
                  <a:gd name="connsiteX4" fmla="*/ 469107 w 469107"/>
                  <a:gd name="connsiteY4" fmla="*/ 56370 h 96107"/>
                  <a:gd name="connsiteX0" fmla="*/ 0 w 476251"/>
                  <a:gd name="connsiteY0" fmla="*/ 54783 h 96107"/>
                  <a:gd name="connsiteX1" fmla="*/ 111126 w 476251"/>
                  <a:gd name="connsiteY1" fmla="*/ 13 h 96107"/>
                  <a:gd name="connsiteX2" fmla="*/ 238126 w 476251"/>
                  <a:gd name="connsiteY2" fmla="*/ 50020 h 96107"/>
                  <a:gd name="connsiteX3" fmla="*/ 368301 w 476251"/>
                  <a:gd name="connsiteY3" fmla="*/ 96058 h 96107"/>
                  <a:gd name="connsiteX4" fmla="*/ 476251 w 476251"/>
                  <a:gd name="connsiteY4" fmla="*/ 56370 h 96107"/>
                  <a:gd name="connsiteX0" fmla="*/ 0 w 476251"/>
                  <a:gd name="connsiteY0" fmla="*/ 30988 h 72312"/>
                  <a:gd name="connsiteX1" fmla="*/ 130176 w 476251"/>
                  <a:gd name="connsiteY1" fmla="*/ 31 h 72312"/>
                  <a:gd name="connsiteX2" fmla="*/ 238126 w 476251"/>
                  <a:gd name="connsiteY2" fmla="*/ 26225 h 72312"/>
                  <a:gd name="connsiteX3" fmla="*/ 368301 w 476251"/>
                  <a:gd name="connsiteY3" fmla="*/ 72263 h 72312"/>
                  <a:gd name="connsiteX4" fmla="*/ 476251 w 476251"/>
                  <a:gd name="connsiteY4" fmla="*/ 32575 h 7231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476251" h="72312">
                    <a:moveTo>
                      <a:pt x="0" y="30988"/>
                    </a:moveTo>
                    <a:cubicBezTo>
                      <a:pt x="41275" y="15906"/>
                      <a:pt x="90488" y="825"/>
                      <a:pt x="130176" y="31"/>
                    </a:cubicBezTo>
                    <a:cubicBezTo>
                      <a:pt x="169864" y="-763"/>
                      <a:pt x="198439" y="14186"/>
                      <a:pt x="238126" y="26225"/>
                    </a:cubicBezTo>
                    <a:cubicBezTo>
                      <a:pt x="277813" y="38264"/>
                      <a:pt x="328614" y="71205"/>
                      <a:pt x="368301" y="72263"/>
                    </a:cubicBezTo>
                    <a:cubicBezTo>
                      <a:pt x="407988" y="73321"/>
                      <a:pt x="468314" y="57446"/>
                      <a:pt x="476251" y="32575"/>
                    </a:cubicBezTo>
                  </a:path>
                </a:pathLst>
              </a:custGeom>
              <a:solidFill>
                <a:srgbClr val="00B0F0"/>
              </a:solidFill>
              <a:ln w="635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/>
              </a:p>
            </xdr:txBody>
          </xdr:sp>
          <xdr:sp macro="" textlink="">
            <xdr:nvSpPr>
              <xdr:cNvPr id="52" name="Freeform: Shape 28">
                <a:extLst>
                  <a:ext uri="{FF2B5EF4-FFF2-40B4-BE49-F238E27FC236}">
                    <a16:creationId xmlns:a16="http://schemas.microsoft.com/office/drawing/2014/main" id="{00000000-0008-0000-0300-000034000000}"/>
                  </a:ext>
                </a:extLst>
              </xdr:cNvPr>
              <xdr:cNvSpPr/>
            </xdr:nvSpPr>
            <xdr:spPr>
              <a:xfrm>
                <a:off x="9067458" y="2615633"/>
                <a:ext cx="240506" cy="40726"/>
              </a:xfrm>
              <a:custGeom>
                <a:avLst/>
                <a:gdLst>
                  <a:gd name="connsiteX0" fmla="*/ 0 w 238125"/>
                  <a:gd name="connsiteY0" fmla="*/ 45330 h 45330"/>
                  <a:gd name="connsiteX1" fmla="*/ 150019 w 238125"/>
                  <a:gd name="connsiteY1" fmla="*/ 86 h 45330"/>
                  <a:gd name="connsiteX2" fmla="*/ 238125 w 238125"/>
                  <a:gd name="connsiteY2" fmla="*/ 40567 h 45330"/>
                  <a:gd name="connsiteX0" fmla="*/ 0 w 240506"/>
                  <a:gd name="connsiteY0" fmla="*/ 38108 h 40489"/>
                  <a:gd name="connsiteX1" fmla="*/ 152400 w 240506"/>
                  <a:gd name="connsiteY1" fmla="*/ 8 h 40489"/>
                  <a:gd name="connsiteX2" fmla="*/ 240506 w 240506"/>
                  <a:gd name="connsiteY2" fmla="*/ 40489 h 4048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</a:cxnLst>
                <a:rect l="l" t="t" r="r" b="b"/>
                <a:pathLst>
                  <a:path w="240506" h="40489">
                    <a:moveTo>
                      <a:pt x="0" y="38108"/>
                    </a:moveTo>
                    <a:cubicBezTo>
                      <a:pt x="55166" y="15883"/>
                      <a:pt x="112316" y="-389"/>
                      <a:pt x="152400" y="8"/>
                    </a:cubicBezTo>
                    <a:cubicBezTo>
                      <a:pt x="192484" y="405"/>
                      <a:pt x="229790" y="3183"/>
                      <a:pt x="240506" y="40489"/>
                    </a:cubicBezTo>
                  </a:path>
                </a:pathLst>
              </a:custGeom>
              <a:solidFill>
                <a:srgbClr val="00B0F0"/>
              </a:solidFill>
              <a:ln w="635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/>
              </a:p>
            </xdr:txBody>
          </xdr:sp>
        </xdr:grpSp>
        <xdr:cxnSp macro="">
          <xdr:nvCxnSpPr>
            <xdr:cNvPr id="47" name="Straight Arrow Connector 23"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:cNvPr>
            <xdr:cNvCxnSpPr/>
          </xdr:nvCxnSpPr>
          <xdr:spPr>
            <a:xfrm rot="16200000">
              <a:off x="8712576" y="3422809"/>
              <a:ext cx="0" cy="157838"/>
            </a:xfrm>
            <a:prstGeom prst="straightConnector1">
              <a:avLst/>
            </a:prstGeom>
            <a:solidFill>
              <a:schemeClr val="accent5"/>
            </a:solidFill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8" name="Straight Arrow Connector 24">
              <a:extLst>
                <a:ext uri="{FF2B5EF4-FFF2-40B4-BE49-F238E27FC236}">
                  <a16:creationId xmlns:a16="http://schemas.microsoft.com/office/drawing/2014/main" id="{00000000-0008-0000-0300-000030000000}"/>
                </a:ext>
              </a:extLst>
            </xdr:cNvPr>
            <xdr:cNvCxnSpPr/>
          </xdr:nvCxnSpPr>
          <xdr:spPr>
            <a:xfrm rot="16200000" flipH="1" flipV="1">
              <a:off x="8983153" y="3420509"/>
              <a:ext cx="0" cy="174564"/>
            </a:xfrm>
            <a:prstGeom prst="straightConnector1">
              <a:avLst/>
            </a:prstGeom>
            <a:solidFill>
              <a:schemeClr val="accent5"/>
            </a:solidFill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" name="Straight Connector 53"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:cNvPr>
            <xdr:cNvCxnSpPr>
              <a:stCxn id="45" idx="3"/>
              <a:endCxn id="45" idx="6"/>
            </xdr:cNvCxnSpPr>
          </xdr:nvCxnSpPr>
          <xdr:spPr>
            <a:xfrm flipV="1">
              <a:off x="8194077" y="3419422"/>
              <a:ext cx="635313" cy="6235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0" name="Straight Connector 55"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CxnSpPr>
              <a:stCxn id="45" idx="1"/>
              <a:endCxn id="45" idx="8"/>
            </xdr:cNvCxnSpPr>
          </xdr:nvCxnSpPr>
          <xdr:spPr>
            <a:xfrm>
              <a:off x="8308743" y="3278460"/>
              <a:ext cx="418376" cy="3103"/>
            </a:xfrm>
            <a:prstGeom prst="line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4" name="Group 51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GrpSpPr/>
        </xdr:nvGrpSpPr>
        <xdr:grpSpPr>
          <a:xfrm>
            <a:off x="3022799" y="1064859"/>
            <a:ext cx="425458" cy="300915"/>
            <a:chOff x="8648268" y="2888455"/>
            <a:chExt cx="658442" cy="475072"/>
          </a:xfrm>
        </xdr:grpSpPr>
        <xdr:sp macro="" textlink="">
          <xdr:nvSpPr>
            <xdr:cNvPr id="40" name="Block Arc 39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SpPr/>
          </xdr:nvSpPr>
          <xdr:spPr>
            <a:xfrm rot="5400000">
              <a:off x="8677276" y="2888455"/>
              <a:ext cx="473868" cy="473868"/>
            </a:xfrm>
            <a:prstGeom prst="blockArc">
              <a:avLst>
                <a:gd name="adj1" fmla="val 16164195"/>
                <a:gd name="adj2" fmla="val 171193"/>
                <a:gd name="adj3" fmla="val 10805"/>
              </a:avLst>
            </a:prstGeom>
            <a:solidFill>
              <a:srgbClr val="FFC00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41" name="Oval 453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SpPr/>
          </xdr:nvSpPr>
          <xdr:spPr>
            <a:xfrm flipH="1">
              <a:off x="8648268" y="2897195"/>
              <a:ext cx="467196" cy="466332"/>
            </a:xfrm>
            <a:prstGeom prst="ellipse">
              <a:avLst/>
            </a:pr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ysClr val="windowText" lastClr="000000"/>
                </a:solidFill>
              </a:endParaRPr>
            </a:p>
          </xdr:txBody>
        </xdr:sp>
        <xdr:cxnSp macro="">
          <xdr:nvCxnSpPr>
            <xdr:cNvPr id="42" name="Straight Arrow Connector 454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CxnSpPr/>
          </xdr:nvCxnSpPr>
          <xdr:spPr>
            <a:xfrm>
              <a:off x="8963270" y="3129590"/>
              <a:ext cx="125277" cy="2686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Arrow Connector 455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CxnSpPr/>
          </xdr:nvCxnSpPr>
          <xdr:spPr>
            <a:xfrm flipH="1">
              <a:off x="9181433" y="3129590"/>
              <a:ext cx="125277" cy="2686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5" name="Group 5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GrpSpPr/>
        </xdr:nvGrpSpPr>
        <xdr:grpSpPr>
          <a:xfrm>
            <a:off x="3022809" y="723900"/>
            <a:ext cx="425457" cy="300913"/>
            <a:chOff x="8648284" y="2345627"/>
            <a:chExt cx="658435" cy="475090"/>
          </a:xfrm>
        </xdr:grpSpPr>
        <xdr:sp macro="" textlink="">
          <xdr:nvSpPr>
            <xdr:cNvPr id="36" name="Block Arc 52">
              <a:extLst>
                <a:ext uri="{FF2B5EF4-FFF2-40B4-BE49-F238E27FC236}">
                  <a16:creationId xmlns:a16="http://schemas.microsoft.com/office/drawing/2014/main" id="{00000000-0008-0000-0300-000024000000}"/>
                </a:ext>
              </a:extLst>
            </xdr:cNvPr>
            <xdr:cNvSpPr/>
          </xdr:nvSpPr>
          <xdr:spPr>
            <a:xfrm rot="5400000">
              <a:off x="8686358" y="2345637"/>
              <a:ext cx="473887" cy="473868"/>
            </a:xfrm>
            <a:prstGeom prst="blockArc">
              <a:avLst>
                <a:gd name="adj1" fmla="val 16164195"/>
                <a:gd name="adj2" fmla="val 171193"/>
                <a:gd name="adj3" fmla="val 10805"/>
              </a:avLst>
            </a:prstGeom>
            <a:solidFill>
              <a:srgbClr val="FFC00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37" name="Oval 510">
              <a:extLst>
                <a:ext uri="{FF2B5EF4-FFF2-40B4-BE49-F238E27FC236}">
                  <a16:creationId xmlns:a16="http://schemas.microsoft.com/office/drawing/2014/main" id="{00000000-0008-0000-0300-000025000000}"/>
                </a:ext>
              </a:extLst>
            </xdr:cNvPr>
            <xdr:cNvSpPr/>
          </xdr:nvSpPr>
          <xdr:spPr>
            <a:xfrm flipH="1">
              <a:off x="8648284" y="2354366"/>
              <a:ext cx="467196" cy="466351"/>
            </a:xfrm>
            <a:prstGeom prst="ellipse">
              <a:avLst/>
            </a:prstGeom>
            <a:solidFill>
              <a:srgbClr val="00B0F0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ysClr val="windowText" lastClr="000000"/>
                </a:solidFill>
              </a:endParaRPr>
            </a:p>
          </xdr:txBody>
        </xdr:sp>
        <xdr:cxnSp macro="">
          <xdr:nvCxnSpPr>
            <xdr:cNvPr id="38" name="Straight Arrow Connector 63">
              <a:extLst>
                <a:ext uri="{FF2B5EF4-FFF2-40B4-BE49-F238E27FC236}">
                  <a16:creationId xmlns:a16="http://schemas.microsoft.com/office/drawing/2014/main" id="{00000000-0008-0000-0300-000026000000}"/>
                </a:ext>
              </a:extLst>
            </xdr:cNvPr>
            <xdr:cNvCxnSpPr/>
          </xdr:nvCxnSpPr>
          <xdr:spPr>
            <a:xfrm>
              <a:off x="8963284" y="2586918"/>
              <a:ext cx="125277" cy="2686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" name="Straight Arrow Connector 64">
              <a:extLst>
                <a:ext uri="{FF2B5EF4-FFF2-40B4-BE49-F238E27FC236}">
                  <a16:creationId xmlns:a16="http://schemas.microsoft.com/office/drawing/2014/main" id="{00000000-0008-0000-0300-000027000000}"/>
                </a:ext>
              </a:extLst>
            </xdr:cNvPr>
            <xdr:cNvCxnSpPr/>
          </xdr:nvCxnSpPr>
          <xdr:spPr>
            <a:xfrm flipH="1">
              <a:off x="9181442" y="2586665"/>
              <a:ext cx="125277" cy="2686"/>
            </a:xfrm>
            <a:prstGeom prst="straightConnector1">
              <a:avLst/>
            </a:prstGeom>
            <a:ln w="6350">
              <a:solidFill>
                <a:sysClr val="windowText" lastClr="000000"/>
              </a:solidFill>
              <a:headEnd type="none" w="med" len="med"/>
              <a:tailEnd type="stealth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6" name="Groupe 180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GrpSpPr/>
        </xdr:nvGrpSpPr>
        <xdr:grpSpPr>
          <a:xfrm>
            <a:off x="3000492" y="7251830"/>
            <a:ext cx="373247" cy="284189"/>
            <a:chOff x="2854854" y="7285536"/>
            <a:chExt cx="373247" cy="287120"/>
          </a:xfrm>
        </xdr:grpSpPr>
        <xdr:sp macro="" textlink="">
          <xdr:nvSpPr>
            <xdr:cNvPr id="27" name="Rectangle: Top Corners Snipped 480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/>
          </xdr:nvSpPr>
          <xdr:spPr>
            <a:xfrm>
              <a:off x="2922825" y="7465764"/>
              <a:ext cx="33731" cy="28959"/>
            </a:xfrm>
            <a:prstGeom prst="snip2SameRect">
              <a:avLst/>
            </a:prstGeom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grpSp>
          <xdr:nvGrpSpPr>
            <xdr:cNvPr id="28" name="Group 494">
              <a:extLst>
                <a:ext uri="{FF2B5EF4-FFF2-40B4-BE49-F238E27FC236}">
                  <a16:creationId xmlns:a16="http://schemas.microsoft.com/office/drawing/2014/main" id="{00000000-0008-0000-0300-00001C000000}"/>
                </a:ext>
              </a:extLst>
            </xdr:cNvPr>
            <xdr:cNvGrpSpPr/>
          </xdr:nvGrpSpPr>
          <xdr:grpSpPr>
            <a:xfrm>
              <a:off x="2854854" y="7285536"/>
              <a:ext cx="373247" cy="287120"/>
              <a:chOff x="5232609" y="9481734"/>
              <a:chExt cx="510545" cy="400639"/>
            </a:xfrm>
          </xdr:grpSpPr>
          <xdr:sp macro="" textlink="">
            <xdr:nvSpPr>
              <xdr:cNvPr id="29" name="Freeform: Shape 496">
                <a:extLst>
                  <a:ext uri="{FF2B5EF4-FFF2-40B4-BE49-F238E27FC236}">
                    <a16:creationId xmlns:a16="http://schemas.microsoft.com/office/drawing/2014/main" id="{00000000-0008-0000-0300-00001D000000}"/>
                  </a:ext>
                </a:extLst>
              </xdr:cNvPr>
              <xdr:cNvSpPr/>
            </xdr:nvSpPr>
            <xdr:spPr>
              <a:xfrm>
                <a:off x="5329400" y="9490746"/>
                <a:ext cx="397105" cy="246389"/>
              </a:xfrm>
              <a:custGeom>
                <a:avLst/>
                <a:gdLst>
                  <a:gd name="connsiteX0" fmla="*/ 501463 w 518272"/>
                  <a:gd name="connsiteY0" fmla="*/ 0 h 229721"/>
                  <a:gd name="connsiteX1" fmla="*/ 22412 w 518272"/>
                  <a:gd name="connsiteY1" fmla="*/ 0 h 229721"/>
                  <a:gd name="connsiteX2" fmla="*/ 22412 w 518272"/>
                  <a:gd name="connsiteY2" fmla="*/ 42022 h 229721"/>
                  <a:gd name="connsiteX3" fmla="*/ 0 w 518272"/>
                  <a:gd name="connsiteY3" fmla="*/ 42022 h 229721"/>
                  <a:gd name="connsiteX4" fmla="*/ 0 w 518272"/>
                  <a:gd name="connsiteY4" fmla="*/ 229721 h 229721"/>
                  <a:gd name="connsiteX5" fmla="*/ 58831 w 518272"/>
                  <a:gd name="connsiteY5" fmla="*/ 193302 h 229721"/>
                  <a:gd name="connsiteX6" fmla="*/ 518272 w 518272"/>
                  <a:gd name="connsiteY6" fmla="*/ 193302 h 229721"/>
                  <a:gd name="connsiteX0" fmla="*/ 501463 w 501463"/>
                  <a:gd name="connsiteY0" fmla="*/ 0 h 229721"/>
                  <a:gd name="connsiteX1" fmla="*/ 22412 w 501463"/>
                  <a:gd name="connsiteY1" fmla="*/ 0 h 229721"/>
                  <a:gd name="connsiteX2" fmla="*/ 22412 w 501463"/>
                  <a:gd name="connsiteY2" fmla="*/ 42022 h 229721"/>
                  <a:gd name="connsiteX3" fmla="*/ 0 w 501463"/>
                  <a:gd name="connsiteY3" fmla="*/ 42022 h 229721"/>
                  <a:gd name="connsiteX4" fmla="*/ 0 w 501463"/>
                  <a:gd name="connsiteY4" fmla="*/ 229721 h 229721"/>
                  <a:gd name="connsiteX5" fmla="*/ 58831 w 501463"/>
                  <a:gd name="connsiteY5" fmla="*/ 193302 h 229721"/>
                  <a:gd name="connsiteX6" fmla="*/ 364191 w 501463"/>
                  <a:gd name="connsiteY6" fmla="*/ 196104 h 229721"/>
                  <a:gd name="connsiteX0" fmla="*/ 366992 w 366992"/>
                  <a:gd name="connsiteY0" fmla="*/ 5603 h 229721"/>
                  <a:gd name="connsiteX1" fmla="*/ 22412 w 366992"/>
                  <a:gd name="connsiteY1" fmla="*/ 0 h 229721"/>
                  <a:gd name="connsiteX2" fmla="*/ 22412 w 366992"/>
                  <a:gd name="connsiteY2" fmla="*/ 42022 h 229721"/>
                  <a:gd name="connsiteX3" fmla="*/ 0 w 366992"/>
                  <a:gd name="connsiteY3" fmla="*/ 42022 h 229721"/>
                  <a:gd name="connsiteX4" fmla="*/ 0 w 366992"/>
                  <a:gd name="connsiteY4" fmla="*/ 229721 h 229721"/>
                  <a:gd name="connsiteX5" fmla="*/ 58831 w 366992"/>
                  <a:gd name="connsiteY5" fmla="*/ 193302 h 229721"/>
                  <a:gd name="connsiteX6" fmla="*/ 364191 w 366992"/>
                  <a:gd name="connsiteY6" fmla="*/ 196104 h 229721"/>
                  <a:gd name="connsiteX0" fmla="*/ 358588 w 364191"/>
                  <a:gd name="connsiteY0" fmla="*/ 5603 h 229721"/>
                  <a:gd name="connsiteX1" fmla="*/ 22412 w 364191"/>
                  <a:gd name="connsiteY1" fmla="*/ 0 h 229721"/>
                  <a:gd name="connsiteX2" fmla="*/ 22412 w 364191"/>
                  <a:gd name="connsiteY2" fmla="*/ 42022 h 229721"/>
                  <a:gd name="connsiteX3" fmla="*/ 0 w 364191"/>
                  <a:gd name="connsiteY3" fmla="*/ 42022 h 229721"/>
                  <a:gd name="connsiteX4" fmla="*/ 0 w 364191"/>
                  <a:gd name="connsiteY4" fmla="*/ 229721 h 229721"/>
                  <a:gd name="connsiteX5" fmla="*/ 58831 w 364191"/>
                  <a:gd name="connsiteY5" fmla="*/ 193302 h 229721"/>
                  <a:gd name="connsiteX6" fmla="*/ 364191 w 364191"/>
                  <a:gd name="connsiteY6" fmla="*/ 196104 h 229721"/>
                  <a:gd name="connsiteX0" fmla="*/ 356207 w 364191"/>
                  <a:gd name="connsiteY0" fmla="*/ 840 h 229721"/>
                  <a:gd name="connsiteX1" fmla="*/ 22412 w 364191"/>
                  <a:gd name="connsiteY1" fmla="*/ 0 h 229721"/>
                  <a:gd name="connsiteX2" fmla="*/ 22412 w 364191"/>
                  <a:gd name="connsiteY2" fmla="*/ 42022 h 229721"/>
                  <a:gd name="connsiteX3" fmla="*/ 0 w 364191"/>
                  <a:gd name="connsiteY3" fmla="*/ 42022 h 229721"/>
                  <a:gd name="connsiteX4" fmla="*/ 0 w 364191"/>
                  <a:gd name="connsiteY4" fmla="*/ 229721 h 229721"/>
                  <a:gd name="connsiteX5" fmla="*/ 58831 w 364191"/>
                  <a:gd name="connsiteY5" fmla="*/ 193302 h 229721"/>
                  <a:gd name="connsiteX6" fmla="*/ 364191 w 364191"/>
                  <a:gd name="connsiteY6" fmla="*/ 196104 h 229721"/>
                  <a:gd name="connsiteX0" fmla="*/ 358588 w 364191"/>
                  <a:gd name="connsiteY0" fmla="*/ 840 h 229721"/>
                  <a:gd name="connsiteX1" fmla="*/ 22412 w 364191"/>
                  <a:gd name="connsiteY1" fmla="*/ 0 h 229721"/>
                  <a:gd name="connsiteX2" fmla="*/ 22412 w 364191"/>
                  <a:gd name="connsiteY2" fmla="*/ 42022 h 229721"/>
                  <a:gd name="connsiteX3" fmla="*/ 0 w 364191"/>
                  <a:gd name="connsiteY3" fmla="*/ 42022 h 229721"/>
                  <a:gd name="connsiteX4" fmla="*/ 0 w 364191"/>
                  <a:gd name="connsiteY4" fmla="*/ 229721 h 229721"/>
                  <a:gd name="connsiteX5" fmla="*/ 58831 w 364191"/>
                  <a:gd name="connsiteY5" fmla="*/ 193302 h 229721"/>
                  <a:gd name="connsiteX6" fmla="*/ 364191 w 364191"/>
                  <a:gd name="connsiteY6" fmla="*/ 196104 h 229721"/>
                  <a:gd name="connsiteX0" fmla="*/ 365732 w 365732"/>
                  <a:gd name="connsiteY0" fmla="*/ 0 h 231262"/>
                  <a:gd name="connsiteX1" fmla="*/ 22412 w 365732"/>
                  <a:gd name="connsiteY1" fmla="*/ 1541 h 231262"/>
                  <a:gd name="connsiteX2" fmla="*/ 22412 w 365732"/>
                  <a:gd name="connsiteY2" fmla="*/ 43563 h 231262"/>
                  <a:gd name="connsiteX3" fmla="*/ 0 w 365732"/>
                  <a:gd name="connsiteY3" fmla="*/ 43563 h 231262"/>
                  <a:gd name="connsiteX4" fmla="*/ 0 w 365732"/>
                  <a:gd name="connsiteY4" fmla="*/ 231262 h 231262"/>
                  <a:gd name="connsiteX5" fmla="*/ 58831 w 365732"/>
                  <a:gd name="connsiteY5" fmla="*/ 194843 h 231262"/>
                  <a:gd name="connsiteX6" fmla="*/ 364191 w 365732"/>
                  <a:gd name="connsiteY6" fmla="*/ 197645 h 231262"/>
                  <a:gd name="connsiteX0" fmla="*/ 372876 w 372876"/>
                  <a:gd name="connsiteY0" fmla="*/ 0 h 231262"/>
                  <a:gd name="connsiteX1" fmla="*/ 22412 w 372876"/>
                  <a:gd name="connsiteY1" fmla="*/ 1541 h 231262"/>
                  <a:gd name="connsiteX2" fmla="*/ 22412 w 372876"/>
                  <a:gd name="connsiteY2" fmla="*/ 43563 h 231262"/>
                  <a:gd name="connsiteX3" fmla="*/ 0 w 372876"/>
                  <a:gd name="connsiteY3" fmla="*/ 43563 h 231262"/>
                  <a:gd name="connsiteX4" fmla="*/ 0 w 372876"/>
                  <a:gd name="connsiteY4" fmla="*/ 231262 h 231262"/>
                  <a:gd name="connsiteX5" fmla="*/ 58831 w 372876"/>
                  <a:gd name="connsiteY5" fmla="*/ 194843 h 231262"/>
                  <a:gd name="connsiteX6" fmla="*/ 364191 w 372876"/>
                  <a:gd name="connsiteY6" fmla="*/ 197645 h 231262"/>
                  <a:gd name="connsiteX0" fmla="*/ 495523 w 495523"/>
                  <a:gd name="connsiteY0" fmla="*/ 840 h 229721"/>
                  <a:gd name="connsiteX1" fmla="*/ 22412 w 495523"/>
                  <a:gd name="connsiteY1" fmla="*/ 0 h 229721"/>
                  <a:gd name="connsiteX2" fmla="*/ 22412 w 495523"/>
                  <a:gd name="connsiteY2" fmla="*/ 42022 h 229721"/>
                  <a:gd name="connsiteX3" fmla="*/ 0 w 495523"/>
                  <a:gd name="connsiteY3" fmla="*/ 42022 h 229721"/>
                  <a:gd name="connsiteX4" fmla="*/ 0 w 495523"/>
                  <a:gd name="connsiteY4" fmla="*/ 229721 h 229721"/>
                  <a:gd name="connsiteX5" fmla="*/ 58831 w 495523"/>
                  <a:gd name="connsiteY5" fmla="*/ 193302 h 229721"/>
                  <a:gd name="connsiteX6" fmla="*/ 364191 w 495523"/>
                  <a:gd name="connsiteY6" fmla="*/ 196104 h 229721"/>
                  <a:gd name="connsiteX0" fmla="*/ 495523 w 495813"/>
                  <a:gd name="connsiteY0" fmla="*/ 840 h 229721"/>
                  <a:gd name="connsiteX1" fmla="*/ 22412 w 495813"/>
                  <a:gd name="connsiteY1" fmla="*/ 0 h 229721"/>
                  <a:gd name="connsiteX2" fmla="*/ 22412 w 495813"/>
                  <a:gd name="connsiteY2" fmla="*/ 42022 h 229721"/>
                  <a:gd name="connsiteX3" fmla="*/ 0 w 495813"/>
                  <a:gd name="connsiteY3" fmla="*/ 42022 h 229721"/>
                  <a:gd name="connsiteX4" fmla="*/ 0 w 495813"/>
                  <a:gd name="connsiteY4" fmla="*/ 229721 h 229721"/>
                  <a:gd name="connsiteX5" fmla="*/ 58831 w 495813"/>
                  <a:gd name="connsiteY5" fmla="*/ 193302 h 229721"/>
                  <a:gd name="connsiteX6" fmla="*/ 495813 w 495813"/>
                  <a:gd name="connsiteY6" fmla="*/ 193723 h 229721"/>
                  <a:gd name="connsiteX0" fmla="*/ 495523 w 495813"/>
                  <a:gd name="connsiteY0" fmla="*/ 840 h 229721"/>
                  <a:gd name="connsiteX1" fmla="*/ 22412 w 495813"/>
                  <a:gd name="connsiteY1" fmla="*/ 0 h 229721"/>
                  <a:gd name="connsiteX2" fmla="*/ 22412 w 495813"/>
                  <a:gd name="connsiteY2" fmla="*/ 42022 h 229721"/>
                  <a:gd name="connsiteX3" fmla="*/ 0 w 495813"/>
                  <a:gd name="connsiteY3" fmla="*/ 42022 h 229721"/>
                  <a:gd name="connsiteX4" fmla="*/ 0 w 495813"/>
                  <a:gd name="connsiteY4" fmla="*/ 229721 h 229721"/>
                  <a:gd name="connsiteX5" fmla="*/ 58831 w 495813"/>
                  <a:gd name="connsiteY5" fmla="*/ 193302 h 229721"/>
                  <a:gd name="connsiteX6" fmla="*/ 175588 w 495813"/>
                  <a:gd name="connsiteY6" fmla="*/ 190500 h 229721"/>
                  <a:gd name="connsiteX7" fmla="*/ 495813 w 495813"/>
                  <a:gd name="connsiteY7" fmla="*/ 193723 h 229721"/>
                  <a:gd name="connsiteX0" fmla="*/ 495523 w 495813"/>
                  <a:gd name="connsiteY0" fmla="*/ 840 h 229721"/>
                  <a:gd name="connsiteX1" fmla="*/ 22412 w 495813"/>
                  <a:gd name="connsiteY1" fmla="*/ 0 h 229721"/>
                  <a:gd name="connsiteX2" fmla="*/ 22412 w 495813"/>
                  <a:gd name="connsiteY2" fmla="*/ 42022 h 229721"/>
                  <a:gd name="connsiteX3" fmla="*/ 0 w 495813"/>
                  <a:gd name="connsiteY3" fmla="*/ 42022 h 229721"/>
                  <a:gd name="connsiteX4" fmla="*/ 0 w 495813"/>
                  <a:gd name="connsiteY4" fmla="*/ 229721 h 229721"/>
                  <a:gd name="connsiteX5" fmla="*/ 58831 w 495813"/>
                  <a:gd name="connsiteY5" fmla="*/ 193302 h 229721"/>
                  <a:gd name="connsiteX6" fmla="*/ 235416 w 495813"/>
                  <a:gd name="connsiteY6" fmla="*/ 190500 h 229721"/>
                  <a:gd name="connsiteX7" fmla="*/ 495813 w 495813"/>
                  <a:gd name="connsiteY7" fmla="*/ 193723 h 229721"/>
                  <a:gd name="connsiteX0" fmla="*/ 495523 w 495813"/>
                  <a:gd name="connsiteY0" fmla="*/ 840 h 229721"/>
                  <a:gd name="connsiteX1" fmla="*/ 22412 w 495813"/>
                  <a:gd name="connsiteY1" fmla="*/ 0 h 229721"/>
                  <a:gd name="connsiteX2" fmla="*/ 22412 w 495813"/>
                  <a:gd name="connsiteY2" fmla="*/ 42022 h 229721"/>
                  <a:gd name="connsiteX3" fmla="*/ 0 w 495813"/>
                  <a:gd name="connsiteY3" fmla="*/ 42022 h 229721"/>
                  <a:gd name="connsiteX4" fmla="*/ 0 w 495813"/>
                  <a:gd name="connsiteY4" fmla="*/ 229721 h 229721"/>
                  <a:gd name="connsiteX5" fmla="*/ 58831 w 495813"/>
                  <a:gd name="connsiteY5" fmla="*/ 193302 h 229721"/>
                  <a:gd name="connsiteX6" fmla="*/ 235416 w 495813"/>
                  <a:gd name="connsiteY6" fmla="*/ 190500 h 229721"/>
                  <a:gd name="connsiteX7" fmla="*/ 396953 w 495813"/>
                  <a:gd name="connsiteY7" fmla="*/ 192881 h 229721"/>
                  <a:gd name="connsiteX8" fmla="*/ 495813 w 495813"/>
                  <a:gd name="connsiteY8" fmla="*/ 193723 h 229721"/>
                  <a:gd name="connsiteX0" fmla="*/ 495523 w 495813"/>
                  <a:gd name="connsiteY0" fmla="*/ 840 h 229721"/>
                  <a:gd name="connsiteX1" fmla="*/ 22412 w 495813"/>
                  <a:gd name="connsiteY1" fmla="*/ 0 h 229721"/>
                  <a:gd name="connsiteX2" fmla="*/ 22412 w 495813"/>
                  <a:gd name="connsiteY2" fmla="*/ 42022 h 229721"/>
                  <a:gd name="connsiteX3" fmla="*/ 0 w 495813"/>
                  <a:gd name="connsiteY3" fmla="*/ 42022 h 229721"/>
                  <a:gd name="connsiteX4" fmla="*/ 0 w 495813"/>
                  <a:gd name="connsiteY4" fmla="*/ 229721 h 229721"/>
                  <a:gd name="connsiteX5" fmla="*/ 58831 w 495813"/>
                  <a:gd name="connsiteY5" fmla="*/ 193302 h 229721"/>
                  <a:gd name="connsiteX6" fmla="*/ 235416 w 495813"/>
                  <a:gd name="connsiteY6" fmla="*/ 190500 h 229721"/>
                  <a:gd name="connsiteX7" fmla="*/ 295244 w 495813"/>
                  <a:gd name="connsiteY7" fmla="*/ 164306 h 229721"/>
                  <a:gd name="connsiteX8" fmla="*/ 495813 w 495813"/>
                  <a:gd name="connsiteY8" fmla="*/ 193723 h 229721"/>
                  <a:gd name="connsiteX0" fmla="*/ 495523 w 501795"/>
                  <a:gd name="connsiteY0" fmla="*/ 840 h 229721"/>
                  <a:gd name="connsiteX1" fmla="*/ 22412 w 501795"/>
                  <a:gd name="connsiteY1" fmla="*/ 0 h 229721"/>
                  <a:gd name="connsiteX2" fmla="*/ 22412 w 501795"/>
                  <a:gd name="connsiteY2" fmla="*/ 42022 h 229721"/>
                  <a:gd name="connsiteX3" fmla="*/ 0 w 501795"/>
                  <a:gd name="connsiteY3" fmla="*/ 42022 h 229721"/>
                  <a:gd name="connsiteX4" fmla="*/ 0 w 501795"/>
                  <a:gd name="connsiteY4" fmla="*/ 229721 h 229721"/>
                  <a:gd name="connsiteX5" fmla="*/ 58831 w 501795"/>
                  <a:gd name="connsiteY5" fmla="*/ 193302 h 229721"/>
                  <a:gd name="connsiteX6" fmla="*/ 235416 w 501795"/>
                  <a:gd name="connsiteY6" fmla="*/ 190500 h 229721"/>
                  <a:gd name="connsiteX7" fmla="*/ 295244 w 501795"/>
                  <a:gd name="connsiteY7" fmla="*/ 164306 h 229721"/>
                  <a:gd name="connsiteX8" fmla="*/ 501795 w 501795"/>
                  <a:gd name="connsiteY8" fmla="*/ 158004 h 229721"/>
                  <a:gd name="connsiteX0" fmla="*/ 495523 w 507778"/>
                  <a:gd name="connsiteY0" fmla="*/ 840 h 229721"/>
                  <a:gd name="connsiteX1" fmla="*/ 22412 w 507778"/>
                  <a:gd name="connsiteY1" fmla="*/ 0 h 229721"/>
                  <a:gd name="connsiteX2" fmla="*/ 22412 w 507778"/>
                  <a:gd name="connsiteY2" fmla="*/ 42022 h 229721"/>
                  <a:gd name="connsiteX3" fmla="*/ 0 w 507778"/>
                  <a:gd name="connsiteY3" fmla="*/ 42022 h 229721"/>
                  <a:gd name="connsiteX4" fmla="*/ 0 w 507778"/>
                  <a:gd name="connsiteY4" fmla="*/ 229721 h 229721"/>
                  <a:gd name="connsiteX5" fmla="*/ 58831 w 507778"/>
                  <a:gd name="connsiteY5" fmla="*/ 193302 h 229721"/>
                  <a:gd name="connsiteX6" fmla="*/ 235416 w 507778"/>
                  <a:gd name="connsiteY6" fmla="*/ 190500 h 229721"/>
                  <a:gd name="connsiteX7" fmla="*/ 295244 w 507778"/>
                  <a:gd name="connsiteY7" fmla="*/ 164306 h 229721"/>
                  <a:gd name="connsiteX8" fmla="*/ 507778 w 507778"/>
                  <a:gd name="connsiteY8" fmla="*/ 172291 h 229721"/>
                  <a:gd name="connsiteX0" fmla="*/ 495523 w 495523"/>
                  <a:gd name="connsiteY0" fmla="*/ 840 h 229721"/>
                  <a:gd name="connsiteX1" fmla="*/ 22412 w 495523"/>
                  <a:gd name="connsiteY1" fmla="*/ 0 h 229721"/>
                  <a:gd name="connsiteX2" fmla="*/ 22412 w 495523"/>
                  <a:gd name="connsiteY2" fmla="*/ 42022 h 229721"/>
                  <a:gd name="connsiteX3" fmla="*/ 0 w 495523"/>
                  <a:gd name="connsiteY3" fmla="*/ 42022 h 229721"/>
                  <a:gd name="connsiteX4" fmla="*/ 0 w 495523"/>
                  <a:gd name="connsiteY4" fmla="*/ 229721 h 229721"/>
                  <a:gd name="connsiteX5" fmla="*/ 58831 w 495523"/>
                  <a:gd name="connsiteY5" fmla="*/ 193302 h 229721"/>
                  <a:gd name="connsiteX6" fmla="*/ 235416 w 495523"/>
                  <a:gd name="connsiteY6" fmla="*/ 190500 h 229721"/>
                  <a:gd name="connsiteX7" fmla="*/ 295244 w 495523"/>
                  <a:gd name="connsiteY7" fmla="*/ 164306 h 229721"/>
                  <a:gd name="connsiteX8" fmla="*/ 492821 w 495523"/>
                  <a:gd name="connsiteY8" fmla="*/ 165147 h 229721"/>
                  <a:gd name="connsiteX0" fmla="*/ 495523 w 495523"/>
                  <a:gd name="connsiteY0" fmla="*/ 840 h 229721"/>
                  <a:gd name="connsiteX1" fmla="*/ 142068 w 495523"/>
                  <a:gd name="connsiteY1" fmla="*/ 0 h 229721"/>
                  <a:gd name="connsiteX2" fmla="*/ 22412 w 495523"/>
                  <a:gd name="connsiteY2" fmla="*/ 42022 h 229721"/>
                  <a:gd name="connsiteX3" fmla="*/ 0 w 495523"/>
                  <a:gd name="connsiteY3" fmla="*/ 42022 h 229721"/>
                  <a:gd name="connsiteX4" fmla="*/ 0 w 495523"/>
                  <a:gd name="connsiteY4" fmla="*/ 229721 h 229721"/>
                  <a:gd name="connsiteX5" fmla="*/ 58831 w 495523"/>
                  <a:gd name="connsiteY5" fmla="*/ 193302 h 229721"/>
                  <a:gd name="connsiteX6" fmla="*/ 235416 w 495523"/>
                  <a:gd name="connsiteY6" fmla="*/ 190500 h 229721"/>
                  <a:gd name="connsiteX7" fmla="*/ 295244 w 495523"/>
                  <a:gd name="connsiteY7" fmla="*/ 164306 h 229721"/>
                  <a:gd name="connsiteX8" fmla="*/ 492821 w 495523"/>
                  <a:gd name="connsiteY8" fmla="*/ 165147 h 229721"/>
                  <a:gd name="connsiteX0" fmla="*/ 495523 w 495523"/>
                  <a:gd name="connsiteY0" fmla="*/ 840 h 229721"/>
                  <a:gd name="connsiteX1" fmla="*/ 142068 w 495523"/>
                  <a:gd name="connsiteY1" fmla="*/ 0 h 229721"/>
                  <a:gd name="connsiteX2" fmla="*/ 0 w 495523"/>
                  <a:gd name="connsiteY2" fmla="*/ 42022 h 229721"/>
                  <a:gd name="connsiteX3" fmla="*/ 0 w 495523"/>
                  <a:gd name="connsiteY3" fmla="*/ 229721 h 229721"/>
                  <a:gd name="connsiteX4" fmla="*/ 58831 w 495523"/>
                  <a:gd name="connsiteY4" fmla="*/ 193302 h 229721"/>
                  <a:gd name="connsiteX5" fmla="*/ 235416 w 495523"/>
                  <a:gd name="connsiteY5" fmla="*/ 190500 h 229721"/>
                  <a:gd name="connsiteX6" fmla="*/ 295244 w 495523"/>
                  <a:gd name="connsiteY6" fmla="*/ 164306 h 229721"/>
                  <a:gd name="connsiteX7" fmla="*/ 492821 w 495523"/>
                  <a:gd name="connsiteY7" fmla="*/ 165147 h 229721"/>
                  <a:gd name="connsiteX0" fmla="*/ 498757 w 498757"/>
                  <a:gd name="connsiteY0" fmla="*/ 840 h 229721"/>
                  <a:gd name="connsiteX1" fmla="*/ 145302 w 498757"/>
                  <a:gd name="connsiteY1" fmla="*/ 0 h 229721"/>
                  <a:gd name="connsiteX2" fmla="*/ 0 w 498757"/>
                  <a:gd name="connsiteY2" fmla="*/ 49745 h 229721"/>
                  <a:gd name="connsiteX3" fmla="*/ 3234 w 498757"/>
                  <a:gd name="connsiteY3" fmla="*/ 229721 h 229721"/>
                  <a:gd name="connsiteX4" fmla="*/ 62065 w 498757"/>
                  <a:gd name="connsiteY4" fmla="*/ 193302 h 229721"/>
                  <a:gd name="connsiteX5" fmla="*/ 238650 w 498757"/>
                  <a:gd name="connsiteY5" fmla="*/ 190500 h 229721"/>
                  <a:gd name="connsiteX6" fmla="*/ 298478 w 498757"/>
                  <a:gd name="connsiteY6" fmla="*/ 164306 h 229721"/>
                  <a:gd name="connsiteX7" fmla="*/ 496055 w 498757"/>
                  <a:gd name="connsiteY7" fmla="*/ 165147 h 229721"/>
                  <a:gd name="connsiteX0" fmla="*/ 498856 w 498856"/>
                  <a:gd name="connsiteY0" fmla="*/ 840 h 229721"/>
                  <a:gd name="connsiteX1" fmla="*/ 145401 w 498856"/>
                  <a:gd name="connsiteY1" fmla="*/ 0 h 229721"/>
                  <a:gd name="connsiteX2" fmla="*/ 99 w 498856"/>
                  <a:gd name="connsiteY2" fmla="*/ 49745 h 229721"/>
                  <a:gd name="connsiteX3" fmla="*/ 0 w 498856"/>
                  <a:gd name="connsiteY3" fmla="*/ 188633 h 229721"/>
                  <a:gd name="connsiteX4" fmla="*/ 3333 w 498856"/>
                  <a:gd name="connsiteY4" fmla="*/ 229721 h 229721"/>
                  <a:gd name="connsiteX5" fmla="*/ 62164 w 498856"/>
                  <a:gd name="connsiteY5" fmla="*/ 193302 h 229721"/>
                  <a:gd name="connsiteX6" fmla="*/ 238749 w 498856"/>
                  <a:gd name="connsiteY6" fmla="*/ 190500 h 229721"/>
                  <a:gd name="connsiteX7" fmla="*/ 298577 w 498856"/>
                  <a:gd name="connsiteY7" fmla="*/ 164306 h 229721"/>
                  <a:gd name="connsiteX8" fmla="*/ 496154 w 498856"/>
                  <a:gd name="connsiteY8" fmla="*/ 165147 h 229721"/>
                  <a:gd name="connsiteX0" fmla="*/ 498856 w 498856"/>
                  <a:gd name="connsiteY0" fmla="*/ 840 h 232102"/>
                  <a:gd name="connsiteX1" fmla="*/ 145401 w 498856"/>
                  <a:gd name="connsiteY1" fmla="*/ 0 h 232102"/>
                  <a:gd name="connsiteX2" fmla="*/ 99 w 498856"/>
                  <a:gd name="connsiteY2" fmla="*/ 49745 h 232102"/>
                  <a:gd name="connsiteX3" fmla="*/ 0 w 498856"/>
                  <a:gd name="connsiteY3" fmla="*/ 188633 h 232102"/>
                  <a:gd name="connsiteX4" fmla="*/ 42221 w 498856"/>
                  <a:gd name="connsiteY4" fmla="*/ 232102 h 232102"/>
                  <a:gd name="connsiteX5" fmla="*/ 62164 w 498856"/>
                  <a:gd name="connsiteY5" fmla="*/ 193302 h 232102"/>
                  <a:gd name="connsiteX6" fmla="*/ 238749 w 498856"/>
                  <a:gd name="connsiteY6" fmla="*/ 190500 h 232102"/>
                  <a:gd name="connsiteX7" fmla="*/ 298577 w 498856"/>
                  <a:gd name="connsiteY7" fmla="*/ 164306 h 232102"/>
                  <a:gd name="connsiteX8" fmla="*/ 496154 w 498856"/>
                  <a:gd name="connsiteY8" fmla="*/ 165147 h 232102"/>
                  <a:gd name="connsiteX0" fmla="*/ 498856 w 498856"/>
                  <a:gd name="connsiteY0" fmla="*/ 840 h 232102"/>
                  <a:gd name="connsiteX1" fmla="*/ 145401 w 498856"/>
                  <a:gd name="connsiteY1" fmla="*/ 0 h 232102"/>
                  <a:gd name="connsiteX2" fmla="*/ 99 w 498856"/>
                  <a:gd name="connsiteY2" fmla="*/ 49745 h 232102"/>
                  <a:gd name="connsiteX3" fmla="*/ 0 w 498856"/>
                  <a:gd name="connsiteY3" fmla="*/ 188633 h 232102"/>
                  <a:gd name="connsiteX4" fmla="*/ 33246 w 498856"/>
                  <a:gd name="connsiteY4" fmla="*/ 232102 h 232102"/>
                  <a:gd name="connsiteX5" fmla="*/ 62164 w 498856"/>
                  <a:gd name="connsiteY5" fmla="*/ 193302 h 232102"/>
                  <a:gd name="connsiteX6" fmla="*/ 238749 w 498856"/>
                  <a:gd name="connsiteY6" fmla="*/ 190500 h 232102"/>
                  <a:gd name="connsiteX7" fmla="*/ 298577 w 498856"/>
                  <a:gd name="connsiteY7" fmla="*/ 164306 h 232102"/>
                  <a:gd name="connsiteX8" fmla="*/ 496154 w 498856"/>
                  <a:gd name="connsiteY8" fmla="*/ 165147 h 232102"/>
                  <a:gd name="connsiteX0" fmla="*/ 498856 w 498856"/>
                  <a:gd name="connsiteY0" fmla="*/ 840 h 244008"/>
                  <a:gd name="connsiteX1" fmla="*/ 145401 w 498856"/>
                  <a:gd name="connsiteY1" fmla="*/ 0 h 244008"/>
                  <a:gd name="connsiteX2" fmla="*/ 99 w 498856"/>
                  <a:gd name="connsiteY2" fmla="*/ 49745 h 244008"/>
                  <a:gd name="connsiteX3" fmla="*/ 0 w 498856"/>
                  <a:gd name="connsiteY3" fmla="*/ 188633 h 244008"/>
                  <a:gd name="connsiteX4" fmla="*/ 39228 w 498856"/>
                  <a:gd name="connsiteY4" fmla="*/ 244008 h 244008"/>
                  <a:gd name="connsiteX5" fmla="*/ 62164 w 498856"/>
                  <a:gd name="connsiteY5" fmla="*/ 193302 h 244008"/>
                  <a:gd name="connsiteX6" fmla="*/ 238749 w 498856"/>
                  <a:gd name="connsiteY6" fmla="*/ 190500 h 244008"/>
                  <a:gd name="connsiteX7" fmla="*/ 298577 w 498856"/>
                  <a:gd name="connsiteY7" fmla="*/ 164306 h 244008"/>
                  <a:gd name="connsiteX8" fmla="*/ 496154 w 498856"/>
                  <a:gd name="connsiteY8" fmla="*/ 165147 h 244008"/>
                  <a:gd name="connsiteX0" fmla="*/ 498856 w 498856"/>
                  <a:gd name="connsiteY0" fmla="*/ 840 h 244008"/>
                  <a:gd name="connsiteX1" fmla="*/ 145401 w 498856"/>
                  <a:gd name="connsiteY1" fmla="*/ 0 h 244008"/>
                  <a:gd name="connsiteX2" fmla="*/ 99 w 498856"/>
                  <a:gd name="connsiteY2" fmla="*/ 49745 h 244008"/>
                  <a:gd name="connsiteX3" fmla="*/ 0 w 498856"/>
                  <a:gd name="connsiteY3" fmla="*/ 188633 h 244008"/>
                  <a:gd name="connsiteX4" fmla="*/ 39228 w 498856"/>
                  <a:gd name="connsiteY4" fmla="*/ 244008 h 244008"/>
                  <a:gd name="connsiteX5" fmla="*/ 77121 w 498856"/>
                  <a:gd name="connsiteY5" fmla="*/ 193302 h 244008"/>
                  <a:gd name="connsiteX6" fmla="*/ 238749 w 498856"/>
                  <a:gd name="connsiteY6" fmla="*/ 190500 h 244008"/>
                  <a:gd name="connsiteX7" fmla="*/ 298577 w 498856"/>
                  <a:gd name="connsiteY7" fmla="*/ 164306 h 244008"/>
                  <a:gd name="connsiteX8" fmla="*/ 496154 w 498856"/>
                  <a:gd name="connsiteY8" fmla="*/ 165147 h 244008"/>
                  <a:gd name="connsiteX0" fmla="*/ 498856 w 498856"/>
                  <a:gd name="connsiteY0" fmla="*/ 840 h 244008"/>
                  <a:gd name="connsiteX1" fmla="*/ 145401 w 498856"/>
                  <a:gd name="connsiteY1" fmla="*/ 0 h 244008"/>
                  <a:gd name="connsiteX2" fmla="*/ 3470 w 498856"/>
                  <a:gd name="connsiteY2" fmla="*/ 4132 h 244008"/>
                  <a:gd name="connsiteX3" fmla="*/ 0 w 498856"/>
                  <a:gd name="connsiteY3" fmla="*/ 188633 h 244008"/>
                  <a:gd name="connsiteX4" fmla="*/ 39228 w 498856"/>
                  <a:gd name="connsiteY4" fmla="*/ 244008 h 244008"/>
                  <a:gd name="connsiteX5" fmla="*/ 77121 w 498856"/>
                  <a:gd name="connsiteY5" fmla="*/ 193302 h 244008"/>
                  <a:gd name="connsiteX6" fmla="*/ 238749 w 498856"/>
                  <a:gd name="connsiteY6" fmla="*/ 190500 h 244008"/>
                  <a:gd name="connsiteX7" fmla="*/ 298577 w 498856"/>
                  <a:gd name="connsiteY7" fmla="*/ 164306 h 244008"/>
                  <a:gd name="connsiteX8" fmla="*/ 496154 w 498856"/>
                  <a:gd name="connsiteY8" fmla="*/ 165147 h 244008"/>
                  <a:gd name="connsiteX0" fmla="*/ 498856 w 498856"/>
                  <a:gd name="connsiteY0" fmla="*/ 840 h 244008"/>
                  <a:gd name="connsiteX1" fmla="*/ 145401 w 498856"/>
                  <a:gd name="connsiteY1" fmla="*/ 0 h 244008"/>
                  <a:gd name="connsiteX2" fmla="*/ 477 w 498856"/>
                  <a:gd name="connsiteY2" fmla="*/ 30325 h 244008"/>
                  <a:gd name="connsiteX3" fmla="*/ 0 w 498856"/>
                  <a:gd name="connsiteY3" fmla="*/ 188633 h 244008"/>
                  <a:gd name="connsiteX4" fmla="*/ 39228 w 498856"/>
                  <a:gd name="connsiteY4" fmla="*/ 244008 h 244008"/>
                  <a:gd name="connsiteX5" fmla="*/ 77121 w 498856"/>
                  <a:gd name="connsiteY5" fmla="*/ 193302 h 244008"/>
                  <a:gd name="connsiteX6" fmla="*/ 238749 w 498856"/>
                  <a:gd name="connsiteY6" fmla="*/ 190500 h 244008"/>
                  <a:gd name="connsiteX7" fmla="*/ 298577 w 498856"/>
                  <a:gd name="connsiteY7" fmla="*/ 164306 h 244008"/>
                  <a:gd name="connsiteX8" fmla="*/ 496154 w 498856"/>
                  <a:gd name="connsiteY8" fmla="*/ 165147 h 244008"/>
                  <a:gd name="connsiteX0" fmla="*/ 498856 w 498856"/>
                  <a:gd name="connsiteY0" fmla="*/ 840 h 244008"/>
                  <a:gd name="connsiteX1" fmla="*/ 67624 w 498856"/>
                  <a:gd name="connsiteY1" fmla="*/ 0 h 244008"/>
                  <a:gd name="connsiteX2" fmla="*/ 477 w 498856"/>
                  <a:gd name="connsiteY2" fmla="*/ 30325 h 244008"/>
                  <a:gd name="connsiteX3" fmla="*/ 0 w 498856"/>
                  <a:gd name="connsiteY3" fmla="*/ 188633 h 244008"/>
                  <a:gd name="connsiteX4" fmla="*/ 39228 w 498856"/>
                  <a:gd name="connsiteY4" fmla="*/ 244008 h 244008"/>
                  <a:gd name="connsiteX5" fmla="*/ 77121 w 498856"/>
                  <a:gd name="connsiteY5" fmla="*/ 193302 h 244008"/>
                  <a:gd name="connsiteX6" fmla="*/ 238749 w 498856"/>
                  <a:gd name="connsiteY6" fmla="*/ 190500 h 244008"/>
                  <a:gd name="connsiteX7" fmla="*/ 298577 w 498856"/>
                  <a:gd name="connsiteY7" fmla="*/ 164306 h 244008"/>
                  <a:gd name="connsiteX8" fmla="*/ 496154 w 498856"/>
                  <a:gd name="connsiteY8" fmla="*/ 165147 h 244008"/>
                  <a:gd name="connsiteX0" fmla="*/ 501847 w 501847"/>
                  <a:gd name="connsiteY0" fmla="*/ 840 h 248164"/>
                  <a:gd name="connsiteX1" fmla="*/ 70615 w 501847"/>
                  <a:gd name="connsiteY1" fmla="*/ 0 h 248164"/>
                  <a:gd name="connsiteX2" fmla="*/ 3468 w 501847"/>
                  <a:gd name="connsiteY2" fmla="*/ 30325 h 248164"/>
                  <a:gd name="connsiteX3" fmla="*/ 0 w 501847"/>
                  <a:gd name="connsiteY3" fmla="*/ 248164 h 248164"/>
                  <a:gd name="connsiteX4" fmla="*/ 42219 w 501847"/>
                  <a:gd name="connsiteY4" fmla="*/ 244008 h 248164"/>
                  <a:gd name="connsiteX5" fmla="*/ 80112 w 501847"/>
                  <a:gd name="connsiteY5" fmla="*/ 193302 h 248164"/>
                  <a:gd name="connsiteX6" fmla="*/ 241740 w 501847"/>
                  <a:gd name="connsiteY6" fmla="*/ 190500 h 248164"/>
                  <a:gd name="connsiteX7" fmla="*/ 301568 w 501847"/>
                  <a:gd name="connsiteY7" fmla="*/ 164306 h 248164"/>
                  <a:gd name="connsiteX8" fmla="*/ 499145 w 501847"/>
                  <a:gd name="connsiteY8" fmla="*/ 165147 h 248164"/>
                  <a:gd name="connsiteX0" fmla="*/ 498497 w 498497"/>
                  <a:gd name="connsiteY0" fmla="*/ 840 h 244008"/>
                  <a:gd name="connsiteX1" fmla="*/ 67265 w 498497"/>
                  <a:gd name="connsiteY1" fmla="*/ 0 h 244008"/>
                  <a:gd name="connsiteX2" fmla="*/ 118 w 498497"/>
                  <a:gd name="connsiteY2" fmla="*/ 30325 h 244008"/>
                  <a:gd name="connsiteX3" fmla="*/ 5624 w 498497"/>
                  <a:gd name="connsiteY3" fmla="*/ 241020 h 244008"/>
                  <a:gd name="connsiteX4" fmla="*/ 38869 w 498497"/>
                  <a:gd name="connsiteY4" fmla="*/ 244008 h 244008"/>
                  <a:gd name="connsiteX5" fmla="*/ 76762 w 498497"/>
                  <a:gd name="connsiteY5" fmla="*/ 193302 h 244008"/>
                  <a:gd name="connsiteX6" fmla="*/ 238390 w 498497"/>
                  <a:gd name="connsiteY6" fmla="*/ 190500 h 244008"/>
                  <a:gd name="connsiteX7" fmla="*/ 298218 w 498497"/>
                  <a:gd name="connsiteY7" fmla="*/ 164306 h 244008"/>
                  <a:gd name="connsiteX8" fmla="*/ 495795 w 498497"/>
                  <a:gd name="connsiteY8" fmla="*/ 165147 h 244008"/>
                  <a:gd name="connsiteX0" fmla="*/ 498379 w 498379"/>
                  <a:gd name="connsiteY0" fmla="*/ 840 h 244008"/>
                  <a:gd name="connsiteX1" fmla="*/ 67147 w 498379"/>
                  <a:gd name="connsiteY1" fmla="*/ 0 h 244008"/>
                  <a:gd name="connsiteX2" fmla="*/ 0 w 498379"/>
                  <a:gd name="connsiteY2" fmla="*/ 30325 h 244008"/>
                  <a:gd name="connsiteX3" fmla="*/ 5506 w 498379"/>
                  <a:gd name="connsiteY3" fmla="*/ 241020 h 244008"/>
                  <a:gd name="connsiteX4" fmla="*/ 38751 w 498379"/>
                  <a:gd name="connsiteY4" fmla="*/ 244008 h 244008"/>
                  <a:gd name="connsiteX5" fmla="*/ 76644 w 498379"/>
                  <a:gd name="connsiteY5" fmla="*/ 193302 h 244008"/>
                  <a:gd name="connsiteX6" fmla="*/ 238272 w 498379"/>
                  <a:gd name="connsiteY6" fmla="*/ 190500 h 244008"/>
                  <a:gd name="connsiteX7" fmla="*/ 298100 w 498379"/>
                  <a:gd name="connsiteY7" fmla="*/ 164306 h 244008"/>
                  <a:gd name="connsiteX8" fmla="*/ 495677 w 498379"/>
                  <a:gd name="connsiteY8" fmla="*/ 165147 h 244008"/>
                  <a:gd name="connsiteX0" fmla="*/ 498379 w 498379"/>
                  <a:gd name="connsiteY0" fmla="*/ 840 h 244008"/>
                  <a:gd name="connsiteX1" fmla="*/ 67147 w 498379"/>
                  <a:gd name="connsiteY1" fmla="*/ 0 h 244008"/>
                  <a:gd name="connsiteX2" fmla="*/ 0 w 498379"/>
                  <a:gd name="connsiteY2" fmla="*/ 30325 h 244008"/>
                  <a:gd name="connsiteX3" fmla="*/ 5506 w 498379"/>
                  <a:gd name="connsiteY3" fmla="*/ 241020 h 244008"/>
                  <a:gd name="connsiteX4" fmla="*/ 38751 w 498379"/>
                  <a:gd name="connsiteY4" fmla="*/ 244008 h 244008"/>
                  <a:gd name="connsiteX5" fmla="*/ 43738 w 498379"/>
                  <a:gd name="connsiteY5" fmla="*/ 200446 h 244008"/>
                  <a:gd name="connsiteX6" fmla="*/ 238272 w 498379"/>
                  <a:gd name="connsiteY6" fmla="*/ 190500 h 244008"/>
                  <a:gd name="connsiteX7" fmla="*/ 298100 w 498379"/>
                  <a:gd name="connsiteY7" fmla="*/ 164306 h 244008"/>
                  <a:gd name="connsiteX8" fmla="*/ 495677 w 498379"/>
                  <a:gd name="connsiteY8" fmla="*/ 165147 h 244008"/>
                  <a:gd name="connsiteX0" fmla="*/ 498379 w 498379"/>
                  <a:gd name="connsiteY0" fmla="*/ 840 h 244008"/>
                  <a:gd name="connsiteX1" fmla="*/ 67147 w 498379"/>
                  <a:gd name="connsiteY1" fmla="*/ 0 h 244008"/>
                  <a:gd name="connsiteX2" fmla="*/ 0 w 498379"/>
                  <a:gd name="connsiteY2" fmla="*/ 30325 h 244008"/>
                  <a:gd name="connsiteX3" fmla="*/ 5506 w 498379"/>
                  <a:gd name="connsiteY3" fmla="*/ 241020 h 244008"/>
                  <a:gd name="connsiteX4" fmla="*/ 38751 w 498379"/>
                  <a:gd name="connsiteY4" fmla="*/ 244008 h 244008"/>
                  <a:gd name="connsiteX5" fmla="*/ 31773 w 498379"/>
                  <a:gd name="connsiteY5" fmla="*/ 193303 h 244008"/>
                  <a:gd name="connsiteX6" fmla="*/ 238272 w 498379"/>
                  <a:gd name="connsiteY6" fmla="*/ 190500 h 244008"/>
                  <a:gd name="connsiteX7" fmla="*/ 298100 w 498379"/>
                  <a:gd name="connsiteY7" fmla="*/ 164306 h 244008"/>
                  <a:gd name="connsiteX8" fmla="*/ 495677 w 498379"/>
                  <a:gd name="connsiteY8" fmla="*/ 165147 h 244008"/>
                  <a:gd name="connsiteX0" fmla="*/ 498379 w 498379"/>
                  <a:gd name="connsiteY0" fmla="*/ 840 h 244008"/>
                  <a:gd name="connsiteX1" fmla="*/ 67147 w 498379"/>
                  <a:gd name="connsiteY1" fmla="*/ 0 h 244008"/>
                  <a:gd name="connsiteX2" fmla="*/ 0 w 498379"/>
                  <a:gd name="connsiteY2" fmla="*/ 30325 h 244008"/>
                  <a:gd name="connsiteX3" fmla="*/ 5506 w 498379"/>
                  <a:gd name="connsiteY3" fmla="*/ 241020 h 244008"/>
                  <a:gd name="connsiteX4" fmla="*/ 38751 w 498379"/>
                  <a:gd name="connsiteY4" fmla="*/ 244008 h 244008"/>
                  <a:gd name="connsiteX5" fmla="*/ 40747 w 498379"/>
                  <a:gd name="connsiteY5" fmla="*/ 193303 h 244008"/>
                  <a:gd name="connsiteX6" fmla="*/ 238272 w 498379"/>
                  <a:gd name="connsiteY6" fmla="*/ 190500 h 244008"/>
                  <a:gd name="connsiteX7" fmla="*/ 298100 w 498379"/>
                  <a:gd name="connsiteY7" fmla="*/ 164306 h 244008"/>
                  <a:gd name="connsiteX8" fmla="*/ 495677 w 498379"/>
                  <a:gd name="connsiteY8" fmla="*/ 165147 h 244008"/>
                  <a:gd name="connsiteX0" fmla="*/ 498379 w 498379"/>
                  <a:gd name="connsiteY0" fmla="*/ 840 h 244008"/>
                  <a:gd name="connsiteX1" fmla="*/ 67147 w 498379"/>
                  <a:gd name="connsiteY1" fmla="*/ 0 h 244008"/>
                  <a:gd name="connsiteX2" fmla="*/ 0 w 498379"/>
                  <a:gd name="connsiteY2" fmla="*/ 30325 h 244008"/>
                  <a:gd name="connsiteX3" fmla="*/ 8498 w 498379"/>
                  <a:gd name="connsiteY3" fmla="*/ 243401 h 244008"/>
                  <a:gd name="connsiteX4" fmla="*/ 38751 w 498379"/>
                  <a:gd name="connsiteY4" fmla="*/ 244008 h 244008"/>
                  <a:gd name="connsiteX5" fmla="*/ 40747 w 498379"/>
                  <a:gd name="connsiteY5" fmla="*/ 193303 h 244008"/>
                  <a:gd name="connsiteX6" fmla="*/ 238272 w 498379"/>
                  <a:gd name="connsiteY6" fmla="*/ 190500 h 244008"/>
                  <a:gd name="connsiteX7" fmla="*/ 298100 w 498379"/>
                  <a:gd name="connsiteY7" fmla="*/ 164306 h 244008"/>
                  <a:gd name="connsiteX8" fmla="*/ 495677 w 498379"/>
                  <a:gd name="connsiteY8" fmla="*/ 165147 h 244008"/>
                  <a:gd name="connsiteX0" fmla="*/ 498379 w 498379"/>
                  <a:gd name="connsiteY0" fmla="*/ 840 h 244008"/>
                  <a:gd name="connsiteX1" fmla="*/ 67147 w 498379"/>
                  <a:gd name="connsiteY1" fmla="*/ 0 h 244008"/>
                  <a:gd name="connsiteX2" fmla="*/ 0 w 498379"/>
                  <a:gd name="connsiteY2" fmla="*/ 30325 h 244008"/>
                  <a:gd name="connsiteX3" fmla="*/ 5507 w 498379"/>
                  <a:gd name="connsiteY3" fmla="*/ 243401 h 244008"/>
                  <a:gd name="connsiteX4" fmla="*/ 38751 w 498379"/>
                  <a:gd name="connsiteY4" fmla="*/ 244008 h 244008"/>
                  <a:gd name="connsiteX5" fmla="*/ 40747 w 498379"/>
                  <a:gd name="connsiteY5" fmla="*/ 193303 h 244008"/>
                  <a:gd name="connsiteX6" fmla="*/ 238272 w 498379"/>
                  <a:gd name="connsiteY6" fmla="*/ 190500 h 244008"/>
                  <a:gd name="connsiteX7" fmla="*/ 298100 w 498379"/>
                  <a:gd name="connsiteY7" fmla="*/ 164306 h 244008"/>
                  <a:gd name="connsiteX8" fmla="*/ 495677 w 498379"/>
                  <a:gd name="connsiteY8" fmla="*/ 165147 h 244008"/>
                  <a:gd name="connsiteX0" fmla="*/ 504837 w 504837"/>
                  <a:gd name="connsiteY0" fmla="*/ 840 h 244008"/>
                  <a:gd name="connsiteX1" fmla="*/ 73605 w 504837"/>
                  <a:gd name="connsiteY1" fmla="*/ 0 h 244008"/>
                  <a:gd name="connsiteX2" fmla="*/ 6458 w 504837"/>
                  <a:gd name="connsiteY2" fmla="*/ 30325 h 244008"/>
                  <a:gd name="connsiteX3" fmla="*/ 0 w 504837"/>
                  <a:gd name="connsiteY3" fmla="*/ 243401 h 244008"/>
                  <a:gd name="connsiteX4" fmla="*/ 45209 w 504837"/>
                  <a:gd name="connsiteY4" fmla="*/ 244008 h 244008"/>
                  <a:gd name="connsiteX5" fmla="*/ 47205 w 504837"/>
                  <a:gd name="connsiteY5" fmla="*/ 193303 h 244008"/>
                  <a:gd name="connsiteX6" fmla="*/ 244730 w 504837"/>
                  <a:gd name="connsiteY6" fmla="*/ 190500 h 244008"/>
                  <a:gd name="connsiteX7" fmla="*/ 304558 w 504837"/>
                  <a:gd name="connsiteY7" fmla="*/ 164306 h 244008"/>
                  <a:gd name="connsiteX8" fmla="*/ 502135 w 504837"/>
                  <a:gd name="connsiteY8" fmla="*/ 165147 h 244008"/>
                  <a:gd name="connsiteX0" fmla="*/ 498855 w 498855"/>
                  <a:gd name="connsiteY0" fmla="*/ 840 h 245782"/>
                  <a:gd name="connsiteX1" fmla="*/ 67623 w 498855"/>
                  <a:gd name="connsiteY1" fmla="*/ 0 h 245782"/>
                  <a:gd name="connsiteX2" fmla="*/ 476 w 498855"/>
                  <a:gd name="connsiteY2" fmla="*/ 30325 h 245782"/>
                  <a:gd name="connsiteX3" fmla="*/ 0 w 498855"/>
                  <a:gd name="connsiteY3" fmla="*/ 245782 h 245782"/>
                  <a:gd name="connsiteX4" fmla="*/ 39227 w 498855"/>
                  <a:gd name="connsiteY4" fmla="*/ 244008 h 245782"/>
                  <a:gd name="connsiteX5" fmla="*/ 41223 w 498855"/>
                  <a:gd name="connsiteY5" fmla="*/ 193303 h 245782"/>
                  <a:gd name="connsiteX6" fmla="*/ 238748 w 498855"/>
                  <a:gd name="connsiteY6" fmla="*/ 190500 h 245782"/>
                  <a:gd name="connsiteX7" fmla="*/ 298576 w 498855"/>
                  <a:gd name="connsiteY7" fmla="*/ 164306 h 245782"/>
                  <a:gd name="connsiteX8" fmla="*/ 496153 w 498855"/>
                  <a:gd name="connsiteY8" fmla="*/ 165147 h 245782"/>
                  <a:gd name="connsiteX0" fmla="*/ 498855 w 498855"/>
                  <a:gd name="connsiteY0" fmla="*/ 840 h 253533"/>
                  <a:gd name="connsiteX1" fmla="*/ 67623 w 498855"/>
                  <a:gd name="connsiteY1" fmla="*/ 0 h 253533"/>
                  <a:gd name="connsiteX2" fmla="*/ 476 w 498855"/>
                  <a:gd name="connsiteY2" fmla="*/ 30325 h 253533"/>
                  <a:gd name="connsiteX3" fmla="*/ 0 w 498855"/>
                  <a:gd name="connsiteY3" fmla="*/ 245782 h 253533"/>
                  <a:gd name="connsiteX4" fmla="*/ 42218 w 498855"/>
                  <a:gd name="connsiteY4" fmla="*/ 253533 h 253533"/>
                  <a:gd name="connsiteX5" fmla="*/ 41223 w 498855"/>
                  <a:gd name="connsiteY5" fmla="*/ 193303 h 253533"/>
                  <a:gd name="connsiteX6" fmla="*/ 238748 w 498855"/>
                  <a:gd name="connsiteY6" fmla="*/ 190500 h 253533"/>
                  <a:gd name="connsiteX7" fmla="*/ 298576 w 498855"/>
                  <a:gd name="connsiteY7" fmla="*/ 164306 h 253533"/>
                  <a:gd name="connsiteX8" fmla="*/ 496153 w 498855"/>
                  <a:gd name="connsiteY8" fmla="*/ 165147 h 253533"/>
                  <a:gd name="connsiteX0" fmla="*/ 498855 w 498855"/>
                  <a:gd name="connsiteY0" fmla="*/ 840 h 246389"/>
                  <a:gd name="connsiteX1" fmla="*/ 67623 w 498855"/>
                  <a:gd name="connsiteY1" fmla="*/ 0 h 246389"/>
                  <a:gd name="connsiteX2" fmla="*/ 476 w 498855"/>
                  <a:gd name="connsiteY2" fmla="*/ 30325 h 246389"/>
                  <a:gd name="connsiteX3" fmla="*/ 0 w 498855"/>
                  <a:gd name="connsiteY3" fmla="*/ 245782 h 246389"/>
                  <a:gd name="connsiteX4" fmla="*/ 48202 w 498855"/>
                  <a:gd name="connsiteY4" fmla="*/ 246389 h 246389"/>
                  <a:gd name="connsiteX5" fmla="*/ 41223 w 498855"/>
                  <a:gd name="connsiteY5" fmla="*/ 193303 h 246389"/>
                  <a:gd name="connsiteX6" fmla="*/ 238748 w 498855"/>
                  <a:gd name="connsiteY6" fmla="*/ 190500 h 246389"/>
                  <a:gd name="connsiteX7" fmla="*/ 298576 w 498855"/>
                  <a:gd name="connsiteY7" fmla="*/ 164306 h 246389"/>
                  <a:gd name="connsiteX8" fmla="*/ 496153 w 498855"/>
                  <a:gd name="connsiteY8" fmla="*/ 165147 h 246389"/>
                  <a:gd name="connsiteX0" fmla="*/ 498855 w 498855"/>
                  <a:gd name="connsiteY0" fmla="*/ 840 h 246389"/>
                  <a:gd name="connsiteX1" fmla="*/ 67623 w 498855"/>
                  <a:gd name="connsiteY1" fmla="*/ 0 h 246389"/>
                  <a:gd name="connsiteX2" fmla="*/ 476 w 498855"/>
                  <a:gd name="connsiteY2" fmla="*/ 30325 h 246389"/>
                  <a:gd name="connsiteX3" fmla="*/ 0 w 498855"/>
                  <a:gd name="connsiteY3" fmla="*/ 245782 h 246389"/>
                  <a:gd name="connsiteX4" fmla="*/ 48202 w 498855"/>
                  <a:gd name="connsiteY4" fmla="*/ 246389 h 246389"/>
                  <a:gd name="connsiteX5" fmla="*/ 50198 w 498855"/>
                  <a:gd name="connsiteY5" fmla="*/ 190922 h 246389"/>
                  <a:gd name="connsiteX6" fmla="*/ 238748 w 498855"/>
                  <a:gd name="connsiteY6" fmla="*/ 190500 h 246389"/>
                  <a:gd name="connsiteX7" fmla="*/ 298576 w 498855"/>
                  <a:gd name="connsiteY7" fmla="*/ 164306 h 246389"/>
                  <a:gd name="connsiteX8" fmla="*/ 496153 w 498855"/>
                  <a:gd name="connsiteY8" fmla="*/ 165147 h 246389"/>
                  <a:gd name="connsiteX0" fmla="*/ 498855 w 498855"/>
                  <a:gd name="connsiteY0" fmla="*/ 840 h 246389"/>
                  <a:gd name="connsiteX1" fmla="*/ 67623 w 498855"/>
                  <a:gd name="connsiteY1" fmla="*/ 0 h 246389"/>
                  <a:gd name="connsiteX2" fmla="*/ 476 w 498855"/>
                  <a:gd name="connsiteY2" fmla="*/ 30325 h 246389"/>
                  <a:gd name="connsiteX3" fmla="*/ 0 w 498855"/>
                  <a:gd name="connsiteY3" fmla="*/ 245782 h 246389"/>
                  <a:gd name="connsiteX4" fmla="*/ 48202 w 498855"/>
                  <a:gd name="connsiteY4" fmla="*/ 246389 h 246389"/>
                  <a:gd name="connsiteX5" fmla="*/ 44214 w 498855"/>
                  <a:gd name="connsiteY5" fmla="*/ 198065 h 246389"/>
                  <a:gd name="connsiteX6" fmla="*/ 238748 w 498855"/>
                  <a:gd name="connsiteY6" fmla="*/ 190500 h 246389"/>
                  <a:gd name="connsiteX7" fmla="*/ 298576 w 498855"/>
                  <a:gd name="connsiteY7" fmla="*/ 164306 h 246389"/>
                  <a:gd name="connsiteX8" fmla="*/ 496153 w 498855"/>
                  <a:gd name="connsiteY8" fmla="*/ 165147 h 246389"/>
                  <a:gd name="connsiteX0" fmla="*/ 498855 w 498855"/>
                  <a:gd name="connsiteY0" fmla="*/ 840 h 246389"/>
                  <a:gd name="connsiteX1" fmla="*/ 67623 w 498855"/>
                  <a:gd name="connsiteY1" fmla="*/ 0 h 246389"/>
                  <a:gd name="connsiteX2" fmla="*/ 476 w 498855"/>
                  <a:gd name="connsiteY2" fmla="*/ 30325 h 246389"/>
                  <a:gd name="connsiteX3" fmla="*/ 0 w 498855"/>
                  <a:gd name="connsiteY3" fmla="*/ 245782 h 246389"/>
                  <a:gd name="connsiteX4" fmla="*/ 48202 w 498855"/>
                  <a:gd name="connsiteY4" fmla="*/ 246389 h 246389"/>
                  <a:gd name="connsiteX5" fmla="*/ 53189 w 498855"/>
                  <a:gd name="connsiteY5" fmla="*/ 198065 h 246389"/>
                  <a:gd name="connsiteX6" fmla="*/ 238748 w 498855"/>
                  <a:gd name="connsiteY6" fmla="*/ 190500 h 246389"/>
                  <a:gd name="connsiteX7" fmla="*/ 298576 w 498855"/>
                  <a:gd name="connsiteY7" fmla="*/ 164306 h 246389"/>
                  <a:gd name="connsiteX8" fmla="*/ 496153 w 498855"/>
                  <a:gd name="connsiteY8" fmla="*/ 165147 h 246389"/>
                  <a:gd name="connsiteX0" fmla="*/ 498855 w 498855"/>
                  <a:gd name="connsiteY0" fmla="*/ 840 h 246389"/>
                  <a:gd name="connsiteX1" fmla="*/ 67623 w 498855"/>
                  <a:gd name="connsiteY1" fmla="*/ 0 h 246389"/>
                  <a:gd name="connsiteX2" fmla="*/ 476 w 498855"/>
                  <a:gd name="connsiteY2" fmla="*/ 30325 h 246389"/>
                  <a:gd name="connsiteX3" fmla="*/ 0 w 498855"/>
                  <a:gd name="connsiteY3" fmla="*/ 245782 h 246389"/>
                  <a:gd name="connsiteX4" fmla="*/ 48202 w 498855"/>
                  <a:gd name="connsiteY4" fmla="*/ 246389 h 246389"/>
                  <a:gd name="connsiteX5" fmla="*/ 50198 w 498855"/>
                  <a:gd name="connsiteY5" fmla="*/ 193302 h 246389"/>
                  <a:gd name="connsiteX6" fmla="*/ 238748 w 498855"/>
                  <a:gd name="connsiteY6" fmla="*/ 190500 h 246389"/>
                  <a:gd name="connsiteX7" fmla="*/ 298576 w 498855"/>
                  <a:gd name="connsiteY7" fmla="*/ 164306 h 246389"/>
                  <a:gd name="connsiteX8" fmla="*/ 496153 w 498855"/>
                  <a:gd name="connsiteY8" fmla="*/ 165147 h 24638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</a:cxnLst>
                <a:rect l="l" t="t" r="r" b="b"/>
                <a:pathLst>
                  <a:path w="498855" h="246389">
                    <a:moveTo>
                      <a:pt x="498855" y="840"/>
                    </a:moveTo>
                    <a:lnTo>
                      <a:pt x="67623" y="0"/>
                    </a:lnTo>
                    <a:lnTo>
                      <a:pt x="476" y="30325"/>
                    </a:lnTo>
                    <a:cubicBezTo>
                      <a:pt x="317" y="102144"/>
                      <a:pt x="159" y="173963"/>
                      <a:pt x="0" y="245782"/>
                    </a:cubicBezTo>
                    <a:lnTo>
                      <a:pt x="48202" y="246389"/>
                    </a:lnTo>
                    <a:cubicBezTo>
                      <a:pt x="48867" y="229487"/>
                      <a:pt x="49533" y="210204"/>
                      <a:pt x="50198" y="193302"/>
                    </a:cubicBezTo>
                    <a:lnTo>
                      <a:pt x="238748" y="190500"/>
                    </a:lnTo>
                    <a:lnTo>
                      <a:pt x="298576" y="164306"/>
                    </a:lnTo>
                    <a:lnTo>
                      <a:pt x="496153" y="165147"/>
                    </a:lnTo>
                  </a:path>
                </a:pathLst>
              </a:custGeom>
              <a:solidFill>
                <a:srgbClr val="00B0F0"/>
              </a:solidFill>
              <a:ln w="6350"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/>
              </a:p>
            </xdr:txBody>
          </xdr:sp>
          <xdr:cxnSp macro="">
            <xdr:nvCxnSpPr>
              <xdr:cNvPr id="30" name="Straight Arrow Connector 497">
                <a:extLst>
                  <a:ext uri="{FF2B5EF4-FFF2-40B4-BE49-F238E27FC236}">
                    <a16:creationId xmlns:a16="http://schemas.microsoft.com/office/drawing/2014/main" id="{00000000-0008-0000-0300-00001E000000}"/>
                  </a:ext>
                </a:extLst>
              </xdr:cNvPr>
              <xdr:cNvCxnSpPr/>
            </xdr:nvCxnSpPr>
            <xdr:spPr>
              <a:xfrm rot="5400000" flipH="1">
                <a:off x="5230082" y="9825094"/>
                <a:ext cx="111992" cy="2566"/>
              </a:xfrm>
              <a:prstGeom prst="straightConnector1">
                <a:avLst/>
              </a:prstGeom>
              <a:ln w="6350">
                <a:solidFill>
                  <a:sysClr val="windowText" lastClr="000000"/>
                </a:solidFill>
                <a:headEnd type="none" w="med" len="med"/>
                <a:tailEnd type="stealth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1" name="Straight Arrow Connector 498">
                <a:extLst>
                  <a:ext uri="{FF2B5EF4-FFF2-40B4-BE49-F238E27FC236}">
                    <a16:creationId xmlns:a16="http://schemas.microsoft.com/office/drawing/2014/main" id="{00000000-0008-0000-0300-00001F000000}"/>
                  </a:ext>
                </a:extLst>
              </xdr:cNvPr>
              <xdr:cNvCxnSpPr/>
            </xdr:nvCxnSpPr>
            <xdr:spPr>
              <a:xfrm rot="5400000">
                <a:off x="5233767" y="9681762"/>
                <a:ext cx="104788" cy="817"/>
              </a:xfrm>
              <a:prstGeom prst="straightConnector1">
                <a:avLst/>
              </a:prstGeom>
              <a:ln w="6350">
                <a:solidFill>
                  <a:sysClr val="windowText" lastClr="000000"/>
                </a:solidFill>
                <a:headEnd type="none" w="med" len="med"/>
                <a:tailEnd type="stealth" w="sm" len="sm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grpSp>
            <xdr:nvGrpSpPr>
              <xdr:cNvPr id="32" name="Group 499">
                <a:extLst>
                  <a:ext uri="{FF2B5EF4-FFF2-40B4-BE49-F238E27FC236}">
                    <a16:creationId xmlns:a16="http://schemas.microsoft.com/office/drawing/2014/main" id="{00000000-0008-0000-0300-000020000000}"/>
                  </a:ext>
                </a:extLst>
              </xdr:cNvPr>
              <xdr:cNvGrpSpPr/>
            </xdr:nvGrpSpPr>
            <xdr:grpSpPr>
              <a:xfrm>
                <a:off x="5707154" y="9490746"/>
                <a:ext cx="36000" cy="162000"/>
                <a:chOff x="5747921" y="9498806"/>
                <a:chExt cx="36137" cy="192882"/>
              </a:xfrm>
            </xdr:grpSpPr>
            <xdr:sp macro="" textlink="">
              <xdr:nvSpPr>
                <xdr:cNvPr id="34" name="Freeform: Shape 501">
                  <a:extLst>
                    <a:ext uri="{FF2B5EF4-FFF2-40B4-BE49-F238E27FC236}">
                      <a16:creationId xmlns:a16="http://schemas.microsoft.com/office/drawing/2014/main" id="{00000000-0008-0000-0300-000022000000}"/>
                    </a:ext>
                  </a:extLst>
                </xdr:cNvPr>
                <xdr:cNvSpPr/>
              </xdr:nvSpPr>
              <xdr:spPr>
                <a:xfrm>
                  <a:off x="5747921" y="9498806"/>
                  <a:ext cx="36137" cy="192882"/>
                </a:xfrm>
                <a:custGeom>
                  <a:avLst/>
                  <a:gdLst>
                    <a:gd name="connsiteX0" fmla="*/ 23848 w 45396"/>
                    <a:gd name="connsiteY0" fmla="*/ 192882 h 192882"/>
                    <a:gd name="connsiteX1" fmla="*/ 36 w 45396"/>
                    <a:gd name="connsiteY1" fmla="*/ 145257 h 192882"/>
                    <a:gd name="connsiteX2" fmla="*/ 19086 w 45396"/>
                    <a:gd name="connsiteY2" fmla="*/ 92869 h 192882"/>
                    <a:gd name="connsiteX3" fmla="*/ 45279 w 45396"/>
                    <a:gd name="connsiteY3" fmla="*/ 42863 h 192882"/>
                    <a:gd name="connsiteX4" fmla="*/ 26229 w 45396"/>
                    <a:gd name="connsiteY4" fmla="*/ 0 h 192882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45396" h="192882">
                      <a:moveTo>
                        <a:pt x="23848" y="192882"/>
                      </a:moveTo>
                      <a:cubicBezTo>
                        <a:pt x="12339" y="177404"/>
                        <a:pt x="830" y="161926"/>
                        <a:pt x="36" y="145257"/>
                      </a:cubicBezTo>
                      <a:cubicBezTo>
                        <a:pt x="-758" y="128588"/>
                        <a:pt x="11546" y="109935"/>
                        <a:pt x="19086" y="92869"/>
                      </a:cubicBezTo>
                      <a:cubicBezTo>
                        <a:pt x="26626" y="75803"/>
                        <a:pt x="44089" y="58341"/>
                        <a:pt x="45279" y="42863"/>
                      </a:cubicBezTo>
                      <a:cubicBezTo>
                        <a:pt x="46470" y="27385"/>
                        <a:pt x="38532" y="32544"/>
                        <a:pt x="26229" y="0"/>
                      </a:cubicBezTo>
                    </a:path>
                  </a:pathLst>
                </a:custGeom>
                <a:noFill/>
                <a:ln w="635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CA" sz="1100"/>
                </a:p>
              </xdr:txBody>
            </xdr:sp>
            <xdr:sp macro="" textlink="">
              <xdr:nvSpPr>
                <xdr:cNvPr id="35" name="Freeform: Shape 502">
                  <a:extLst>
                    <a:ext uri="{FF2B5EF4-FFF2-40B4-BE49-F238E27FC236}">
                      <a16:creationId xmlns:a16="http://schemas.microsoft.com/office/drawing/2014/main" id="{00000000-0008-0000-0300-000023000000}"/>
                    </a:ext>
                  </a:extLst>
                </xdr:cNvPr>
                <xdr:cNvSpPr/>
              </xdr:nvSpPr>
              <xdr:spPr>
                <a:xfrm>
                  <a:off x="5765010" y="9596438"/>
                  <a:ext cx="18991" cy="95250"/>
                </a:xfrm>
                <a:custGeom>
                  <a:avLst/>
                  <a:gdLst>
                    <a:gd name="connsiteX0" fmla="*/ 4763 w 23857"/>
                    <a:gd name="connsiteY0" fmla="*/ 95250 h 95250"/>
                    <a:gd name="connsiteX1" fmla="*/ 23813 w 23857"/>
                    <a:gd name="connsiteY1" fmla="*/ 35718 h 95250"/>
                    <a:gd name="connsiteX2" fmla="*/ 0 w 23857"/>
                    <a:gd name="connsiteY2" fmla="*/ 0 h 9525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</a:cxnLst>
                  <a:rect l="l" t="t" r="r" b="b"/>
                  <a:pathLst>
                    <a:path w="23857" h="95250">
                      <a:moveTo>
                        <a:pt x="4763" y="95250"/>
                      </a:moveTo>
                      <a:cubicBezTo>
                        <a:pt x="14685" y="73421"/>
                        <a:pt x="24607" y="51593"/>
                        <a:pt x="23813" y="35718"/>
                      </a:cubicBezTo>
                      <a:cubicBezTo>
                        <a:pt x="23019" y="19843"/>
                        <a:pt x="7541" y="14287"/>
                        <a:pt x="0" y="0"/>
                      </a:cubicBezTo>
                    </a:path>
                  </a:pathLst>
                </a:custGeom>
                <a:noFill/>
                <a:ln w="6350">
                  <a:solidFill>
                    <a:sysClr val="windowText" lastClr="00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CA" sz="1100"/>
                </a:p>
              </xdr:txBody>
            </xdr:sp>
          </xdr:grpSp>
          <xdr:sp macro="" textlink="">
            <xdr:nvSpPr>
              <xdr:cNvPr id="33" name="Arc 32">
                <a:extLst>
                  <a:ext uri="{FF2B5EF4-FFF2-40B4-BE49-F238E27FC236}">
                    <a16:creationId xmlns:a16="http://schemas.microsoft.com/office/drawing/2014/main" id="{00000000-0008-0000-0300-000021000000}"/>
                  </a:ext>
                </a:extLst>
              </xdr:cNvPr>
              <xdr:cNvSpPr/>
            </xdr:nvSpPr>
            <xdr:spPr>
              <a:xfrm>
                <a:off x="5232609" y="9481734"/>
                <a:ext cx="337236" cy="370703"/>
              </a:xfrm>
              <a:prstGeom prst="arc">
                <a:avLst>
                  <a:gd name="adj1" fmla="val 17284102"/>
                  <a:gd name="adj2" fmla="val 21389269"/>
                </a:avLst>
              </a:prstGeom>
              <a:ln w="6350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CA" sz="1100"/>
              </a:p>
            </xdr:txBody>
          </xdr:sp>
        </xdr:grp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876300</xdr:colOff>
          <xdr:row>0</xdr:row>
          <xdr:rowOff>38100</xdr:rowOff>
        </xdr:from>
        <xdr:to>
          <xdr:col>2</xdr:col>
          <xdr:colOff>828675</xdr:colOff>
          <xdr:row>0</xdr:row>
          <xdr:rowOff>428625</xdr:rowOff>
        </xdr:to>
        <xdr:sp macro="" textlink="">
          <xdr:nvSpPr>
            <xdr:cNvPr id="116737" name="TextBox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04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1000125</xdr:colOff>
          <xdr:row>0</xdr:row>
          <xdr:rowOff>47625</xdr:rowOff>
        </xdr:from>
        <xdr:to>
          <xdr:col>4</xdr:col>
          <xdr:colOff>1143000</xdr:colOff>
          <xdr:row>0</xdr:row>
          <xdr:rowOff>361950</xdr:rowOff>
        </xdr:to>
        <xdr:sp macro="" textlink="">
          <xdr:nvSpPr>
            <xdr:cNvPr id="116740" name="CheckBox1" hidden="1">
              <a:extLst>
                <a:ext uri="{63B3BB69-23CF-44E3-9099-C40C66FF867C}">
                  <a14:compatExt spid="_x0000_s116740"/>
                </a:ext>
                <a:ext uri="{FF2B5EF4-FFF2-40B4-BE49-F238E27FC236}">
                  <a16:creationId xmlns:a16="http://schemas.microsoft.com/office/drawing/2014/main" id="{00000000-0008-0000-0400-00000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1295400</xdr:colOff>
          <xdr:row>0</xdr:row>
          <xdr:rowOff>47625</xdr:rowOff>
        </xdr:from>
        <xdr:to>
          <xdr:col>4</xdr:col>
          <xdr:colOff>1952625</xdr:colOff>
          <xdr:row>0</xdr:row>
          <xdr:rowOff>342900</xdr:rowOff>
        </xdr:to>
        <xdr:sp macro="" textlink="">
          <xdr:nvSpPr>
            <xdr:cNvPr id="116741" name="TextBox2" hidden="1">
              <a:extLst>
                <a:ext uri="{63B3BB69-23CF-44E3-9099-C40C66FF867C}">
                  <a14:compatExt spid="_x0000_s116741"/>
                </a:ext>
                <a:ext uri="{FF2B5EF4-FFF2-40B4-BE49-F238E27FC236}">
                  <a16:creationId xmlns:a16="http://schemas.microsoft.com/office/drawing/2014/main" id="{00000000-0008-0000-0400-000005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914400</xdr:colOff>
          <xdr:row>0</xdr:row>
          <xdr:rowOff>47625</xdr:rowOff>
        </xdr:from>
        <xdr:to>
          <xdr:col>3</xdr:col>
          <xdr:colOff>790575</xdr:colOff>
          <xdr:row>0</xdr:row>
          <xdr:rowOff>361950</xdr:rowOff>
        </xdr:to>
        <xdr:sp macro="" textlink="">
          <xdr:nvSpPr>
            <xdr:cNvPr id="116742" name="CheckBox2" hidden="1">
              <a:extLst>
                <a:ext uri="{63B3BB69-23CF-44E3-9099-C40C66FF867C}">
                  <a14:compatExt spid="_x0000_s116742"/>
                </a:ext>
                <a:ext uri="{FF2B5EF4-FFF2-40B4-BE49-F238E27FC236}">
                  <a16:creationId xmlns:a16="http://schemas.microsoft.com/office/drawing/2014/main" id="{00000000-0008-0000-0400-000006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206682</xdr:colOff>
      <xdr:row>0</xdr:row>
      <xdr:rowOff>17973</xdr:rowOff>
    </xdr:from>
    <xdr:to>
      <xdr:col>0</xdr:col>
      <xdr:colOff>655967</xdr:colOff>
      <xdr:row>0</xdr:row>
      <xdr:rowOff>332473</xdr:rowOff>
    </xdr:to>
    <xdr:pic macro="[0]!shOutil.ToggleProtection"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6682" y="17973"/>
          <a:ext cx="449285" cy="314500"/>
        </a:xfrm>
        <a:prstGeom prst="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</xdr:pic>
    <xdr:clientData/>
  </xdr:twoCellAnchor>
  <xdr:twoCellAnchor editAs="absolute">
    <xdr:from>
      <xdr:col>4</xdr:col>
      <xdr:colOff>2048774</xdr:colOff>
      <xdr:row>0</xdr:row>
      <xdr:rowOff>53915</xdr:rowOff>
    </xdr:from>
    <xdr:to>
      <xdr:col>4</xdr:col>
      <xdr:colOff>2325038</xdr:colOff>
      <xdr:row>0</xdr:row>
      <xdr:rowOff>320652</xdr:rowOff>
    </xdr:to>
    <xdr:pic>
      <xdr:nvPicPr>
        <xdr:cNvPr id="18" name="Picture 17" descr="Help outline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73774" y="53915"/>
          <a:ext cx="276264" cy="26673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495300</xdr:colOff>
      <xdr:row>1</xdr:row>
      <xdr:rowOff>285750</xdr:rowOff>
    </xdr:from>
    <xdr:to>
      <xdr:col>0</xdr:col>
      <xdr:colOff>1466986</xdr:colOff>
      <xdr:row>1</xdr:row>
      <xdr:rowOff>828751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300" y="1171575"/>
          <a:ext cx="971686" cy="543001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704850</xdr:colOff>
      <xdr:row>1</xdr:row>
      <xdr:rowOff>276225</xdr:rowOff>
    </xdr:from>
    <xdr:to>
      <xdr:col>1</xdr:col>
      <xdr:colOff>1676536</xdr:colOff>
      <xdr:row>1</xdr:row>
      <xdr:rowOff>819226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86100" y="1162050"/>
          <a:ext cx="971686" cy="543001"/>
        </a:xfrm>
        <a:prstGeom prst="rect">
          <a:avLst/>
        </a:prstGeom>
      </xdr:spPr>
    </xdr:pic>
    <xdr:clientData/>
  </xdr:twoCellAnchor>
  <xdr:twoCellAnchor editAs="oneCell">
    <xdr:from>
      <xdr:col>2</xdr:col>
      <xdr:colOff>447675</xdr:colOff>
      <xdr:row>1</xdr:row>
      <xdr:rowOff>352425</xdr:rowOff>
    </xdr:from>
    <xdr:to>
      <xdr:col>2</xdr:col>
      <xdr:colOff>1419361</xdr:colOff>
      <xdr:row>1</xdr:row>
      <xdr:rowOff>895426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10175" y="1238250"/>
          <a:ext cx="971686" cy="543001"/>
        </a:xfrm>
        <a:prstGeom prst="rect">
          <a:avLst/>
        </a:prstGeom>
      </xdr:spPr>
    </xdr:pic>
    <xdr:clientData/>
  </xdr:twoCellAnchor>
  <xdr:twoCellAnchor editAs="oneCell">
    <xdr:from>
      <xdr:col>3</xdr:col>
      <xdr:colOff>457200</xdr:colOff>
      <xdr:row>1</xdr:row>
      <xdr:rowOff>285750</xdr:rowOff>
    </xdr:from>
    <xdr:to>
      <xdr:col>3</xdr:col>
      <xdr:colOff>1428886</xdr:colOff>
      <xdr:row>1</xdr:row>
      <xdr:rowOff>838277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00950" y="1171575"/>
          <a:ext cx="971686" cy="552527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</xdr:row>
      <xdr:rowOff>304800</xdr:rowOff>
    </xdr:from>
    <xdr:to>
      <xdr:col>4</xdr:col>
      <xdr:colOff>1476511</xdr:colOff>
      <xdr:row>1</xdr:row>
      <xdr:rowOff>847801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29825" y="1190625"/>
          <a:ext cx="971686" cy="543001"/>
        </a:xfrm>
        <a:prstGeom prst="rect">
          <a:avLst/>
        </a:prstGeom>
      </xdr:spPr>
    </xdr:pic>
    <xdr:clientData/>
  </xdr:twoCellAnchor>
  <xdr:twoCellAnchor editAs="oneCell">
    <xdr:from>
      <xdr:col>5</xdr:col>
      <xdr:colOff>533400</xdr:colOff>
      <xdr:row>1</xdr:row>
      <xdr:rowOff>371475</xdr:rowOff>
    </xdr:from>
    <xdr:to>
      <xdr:col>5</xdr:col>
      <xdr:colOff>1505086</xdr:colOff>
      <xdr:row>1</xdr:row>
      <xdr:rowOff>914476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439650" y="1257300"/>
          <a:ext cx="971686" cy="543001"/>
        </a:xfrm>
        <a:prstGeom prst="rect">
          <a:avLst/>
        </a:prstGeom>
      </xdr:spPr>
    </xdr:pic>
    <xdr:clientData/>
  </xdr:twoCellAnchor>
  <xdr:twoCellAnchor editAs="oneCell">
    <xdr:from>
      <xdr:col>6</xdr:col>
      <xdr:colOff>542925</xdr:colOff>
      <xdr:row>1</xdr:row>
      <xdr:rowOff>123825</xdr:rowOff>
    </xdr:from>
    <xdr:to>
      <xdr:col>6</xdr:col>
      <xdr:colOff>1476505</xdr:colOff>
      <xdr:row>1</xdr:row>
      <xdr:rowOff>1047879</xdr:rowOff>
    </xdr:to>
    <xdr:pic>
      <xdr:nvPicPr>
        <xdr:cNvPr id="40" name="Picture 39" descr="Foret à plaquettes indexables - CoroDrill 870 - Sandvik Coromant - pour  fonte / pour acier inoxydable / pour aluminium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830425" y="1009650"/>
          <a:ext cx="933580" cy="924054"/>
        </a:xfrm>
        <a:prstGeom prst="rect">
          <a:avLst/>
        </a:prstGeom>
      </xdr:spPr>
    </xdr:pic>
    <xdr:clientData/>
  </xdr:twoCellAnchor>
  <xdr:twoCellAnchor editAs="oneCell">
    <xdr:from>
      <xdr:col>7</xdr:col>
      <xdr:colOff>638175</xdr:colOff>
      <xdr:row>1</xdr:row>
      <xdr:rowOff>190500</xdr:rowOff>
    </xdr:from>
    <xdr:to>
      <xdr:col>7</xdr:col>
      <xdr:colOff>1362176</xdr:colOff>
      <xdr:row>1</xdr:row>
      <xdr:rowOff>857343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306925" y="1076325"/>
          <a:ext cx="724001" cy="666843"/>
        </a:xfrm>
        <a:prstGeom prst="rect">
          <a:avLst/>
        </a:prstGeom>
      </xdr:spPr>
    </xdr:pic>
    <xdr:clientData/>
  </xdr:twoCellAnchor>
  <xdr:twoCellAnchor editAs="oneCell">
    <xdr:from>
      <xdr:col>8</xdr:col>
      <xdr:colOff>685800</xdr:colOff>
      <xdr:row>1</xdr:row>
      <xdr:rowOff>219075</xdr:rowOff>
    </xdr:from>
    <xdr:to>
      <xdr:col>8</xdr:col>
      <xdr:colOff>1409801</xdr:colOff>
      <xdr:row>1</xdr:row>
      <xdr:rowOff>895444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9735800" y="1104900"/>
          <a:ext cx="724001" cy="676369"/>
        </a:xfrm>
        <a:prstGeom prst="rect">
          <a:avLst/>
        </a:prstGeom>
      </xdr:spPr>
    </xdr:pic>
    <xdr:clientData/>
  </xdr:twoCellAnchor>
  <xdr:twoCellAnchor editAs="oneCell">
    <xdr:from>
      <xdr:col>9</xdr:col>
      <xdr:colOff>628650</xdr:colOff>
      <xdr:row>1</xdr:row>
      <xdr:rowOff>104775</xdr:rowOff>
    </xdr:from>
    <xdr:to>
      <xdr:col>9</xdr:col>
      <xdr:colOff>1571757</xdr:colOff>
      <xdr:row>1</xdr:row>
      <xdr:rowOff>1085987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059900" y="990600"/>
          <a:ext cx="943107" cy="981212"/>
        </a:xfrm>
        <a:prstGeom prst="rect">
          <a:avLst/>
        </a:prstGeom>
      </xdr:spPr>
    </xdr:pic>
    <xdr:clientData/>
  </xdr:twoCellAnchor>
  <xdr:twoCellAnchor editAs="oneCell">
    <xdr:from>
      <xdr:col>10</xdr:col>
      <xdr:colOff>752475</xdr:colOff>
      <xdr:row>1</xdr:row>
      <xdr:rowOff>209550</xdr:rowOff>
    </xdr:from>
    <xdr:to>
      <xdr:col>10</xdr:col>
      <xdr:colOff>1447897</xdr:colOff>
      <xdr:row>1</xdr:row>
      <xdr:rowOff>1038341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564975" y="1095375"/>
          <a:ext cx="695422" cy="828791"/>
        </a:xfrm>
        <a:prstGeom prst="rect">
          <a:avLst/>
        </a:prstGeom>
      </xdr:spPr>
    </xdr:pic>
    <xdr:clientData/>
  </xdr:twoCellAnchor>
  <xdr:twoCellAnchor editAs="oneCell">
    <xdr:from>
      <xdr:col>11</xdr:col>
      <xdr:colOff>628650</xdr:colOff>
      <xdr:row>1</xdr:row>
      <xdr:rowOff>133350</xdr:rowOff>
    </xdr:from>
    <xdr:to>
      <xdr:col>11</xdr:col>
      <xdr:colOff>1505072</xdr:colOff>
      <xdr:row>1</xdr:row>
      <xdr:rowOff>1009772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6822400" y="1019175"/>
          <a:ext cx="876422" cy="876422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666750</xdr:colOff>
      <xdr:row>1</xdr:row>
      <xdr:rowOff>304800</xdr:rowOff>
    </xdr:from>
    <xdr:to>
      <xdr:col>12</xdr:col>
      <xdr:colOff>1343119</xdr:colOff>
      <xdr:row>1</xdr:row>
      <xdr:rowOff>981169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9241750" y="1190625"/>
          <a:ext cx="676369" cy="676369"/>
        </a:xfrm>
        <a:prstGeom prst="rect">
          <a:avLst/>
        </a:prstGeom>
      </xdr:spPr>
    </xdr:pic>
    <xdr:clientData/>
  </xdr:twoCellAnchor>
  <xdr:twoCellAnchor editAs="oneCell">
    <xdr:from>
      <xdr:col>13</xdr:col>
      <xdr:colOff>685800</xdr:colOff>
      <xdr:row>1</xdr:row>
      <xdr:rowOff>257175</xdr:rowOff>
    </xdr:from>
    <xdr:to>
      <xdr:col>13</xdr:col>
      <xdr:colOff>1362169</xdr:colOff>
      <xdr:row>1</xdr:row>
      <xdr:rowOff>933544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1642050" y="1143000"/>
          <a:ext cx="676369" cy="676369"/>
        </a:xfrm>
        <a:prstGeom prst="rect">
          <a:avLst/>
        </a:prstGeom>
      </xdr:spPr>
    </xdr:pic>
    <xdr:clientData/>
  </xdr:twoCellAnchor>
  <xdr:twoCellAnchor editAs="oneCell">
    <xdr:from>
      <xdr:col>14</xdr:col>
      <xdr:colOff>590550</xdr:colOff>
      <xdr:row>1</xdr:row>
      <xdr:rowOff>200025</xdr:rowOff>
    </xdr:from>
    <xdr:to>
      <xdr:col>14</xdr:col>
      <xdr:colOff>1324077</xdr:colOff>
      <xdr:row>1</xdr:row>
      <xdr:rowOff>933552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3928050" y="1085850"/>
          <a:ext cx="733527" cy="733527"/>
        </a:xfrm>
        <a:prstGeom prst="rect">
          <a:avLst/>
        </a:prstGeom>
      </xdr:spPr>
    </xdr:pic>
    <xdr:clientData/>
  </xdr:twoCellAnchor>
  <xdr:twoCellAnchor editAs="oneCell">
    <xdr:from>
      <xdr:col>15</xdr:col>
      <xdr:colOff>504825</xdr:colOff>
      <xdr:row>1</xdr:row>
      <xdr:rowOff>342900</xdr:rowOff>
    </xdr:from>
    <xdr:to>
      <xdr:col>15</xdr:col>
      <xdr:colOff>1419353</xdr:colOff>
      <xdr:row>1</xdr:row>
      <xdr:rowOff>857322</xdr:rowOff>
    </xdr:to>
    <xdr:pic>
      <xdr:nvPicPr>
        <xdr:cNvPr id="49" name="Picture 48" descr="Walter Turn tool holders for external machining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6223575" y="1228725"/>
          <a:ext cx="914528" cy="514422"/>
        </a:xfrm>
        <a:prstGeom prst="rect">
          <a:avLst/>
        </a:prstGeom>
      </xdr:spPr>
    </xdr:pic>
    <xdr:clientData/>
  </xdr:twoCellAnchor>
  <xdr:twoCellAnchor editAs="oneCell">
    <xdr:from>
      <xdr:col>16</xdr:col>
      <xdr:colOff>552450</xdr:colOff>
      <xdr:row>1</xdr:row>
      <xdr:rowOff>190500</xdr:rowOff>
    </xdr:from>
    <xdr:to>
      <xdr:col>16</xdr:col>
      <xdr:colOff>1533662</xdr:colOff>
      <xdr:row>1</xdr:row>
      <xdr:rowOff>1171712</xdr:rowOff>
    </xdr:to>
    <xdr:pic>
      <xdr:nvPicPr>
        <xdr:cNvPr id="50" name="Picture 49" descr="Porte-outil droit de tournage extérieur pour plaquettes positives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8652450" y="1076325"/>
          <a:ext cx="981212" cy="981212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666750</xdr:colOff>
      <xdr:row>1</xdr:row>
      <xdr:rowOff>219075</xdr:rowOff>
    </xdr:from>
    <xdr:to>
      <xdr:col>17</xdr:col>
      <xdr:colOff>1590804</xdr:colOff>
      <xdr:row>1</xdr:row>
      <xdr:rowOff>1028813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148000" y="1104900"/>
          <a:ext cx="924054" cy="809738"/>
        </a:xfrm>
        <a:prstGeom prst="rect">
          <a:avLst/>
        </a:prstGeom>
      </xdr:spPr>
    </xdr:pic>
    <xdr:clientData/>
  </xdr:twoCellAnchor>
  <xdr:twoCellAnchor editAs="oneCell">
    <xdr:from>
      <xdr:col>18</xdr:col>
      <xdr:colOff>295275</xdr:colOff>
      <xdr:row>1</xdr:row>
      <xdr:rowOff>104775</xdr:rowOff>
    </xdr:from>
    <xdr:to>
      <xdr:col>18</xdr:col>
      <xdr:colOff>1371750</xdr:colOff>
      <xdr:row>1</xdr:row>
      <xdr:rowOff>1181250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3157775" y="990600"/>
          <a:ext cx="1076475" cy="1076475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381000</xdr:colOff>
      <xdr:row>1</xdr:row>
      <xdr:rowOff>142875</xdr:rowOff>
    </xdr:from>
    <xdr:to>
      <xdr:col>19</xdr:col>
      <xdr:colOff>1457475</xdr:colOff>
      <xdr:row>1</xdr:row>
      <xdr:rowOff>1219350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5624750" y="1028700"/>
          <a:ext cx="1076475" cy="1076475"/>
        </a:xfrm>
        <a:prstGeom prst="rect">
          <a:avLst/>
        </a:prstGeom>
      </xdr:spPr>
    </xdr:pic>
    <xdr:clientData/>
  </xdr:twoCellAnchor>
  <xdr:twoCellAnchor editAs="oneCell">
    <xdr:from>
      <xdr:col>20</xdr:col>
      <xdr:colOff>457200</xdr:colOff>
      <xdr:row>1</xdr:row>
      <xdr:rowOff>180975</xdr:rowOff>
    </xdr:from>
    <xdr:to>
      <xdr:col>20</xdr:col>
      <xdr:colOff>1533675</xdr:colOff>
      <xdr:row>1</xdr:row>
      <xdr:rowOff>1209819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8082200" y="1066800"/>
          <a:ext cx="1076475" cy="1028844"/>
        </a:xfrm>
        <a:prstGeom prst="rect">
          <a:avLst/>
        </a:prstGeom>
      </xdr:spPr>
    </xdr:pic>
    <xdr:clientData/>
  </xdr:twoCellAnchor>
  <xdr:twoCellAnchor editAs="oneCell">
    <xdr:from>
      <xdr:col>21</xdr:col>
      <xdr:colOff>495300</xdr:colOff>
      <xdr:row>1</xdr:row>
      <xdr:rowOff>257175</xdr:rowOff>
    </xdr:from>
    <xdr:to>
      <xdr:col>21</xdr:col>
      <xdr:colOff>1581302</xdr:colOff>
      <xdr:row>1</xdr:row>
      <xdr:rowOff>857334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50501550" y="1143000"/>
          <a:ext cx="1086002" cy="600159"/>
        </a:xfrm>
        <a:prstGeom prst="rect">
          <a:avLst/>
        </a:prstGeom>
      </xdr:spPr>
    </xdr:pic>
    <xdr:clientData/>
  </xdr:twoCellAnchor>
  <xdr:twoCellAnchor editAs="oneCell">
    <xdr:from>
      <xdr:col>22</xdr:col>
      <xdr:colOff>466725</xdr:colOff>
      <xdr:row>1</xdr:row>
      <xdr:rowOff>171450</xdr:rowOff>
    </xdr:from>
    <xdr:to>
      <xdr:col>22</xdr:col>
      <xdr:colOff>1333621</xdr:colOff>
      <xdr:row>1</xdr:row>
      <xdr:rowOff>1028820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52854225" y="1057275"/>
          <a:ext cx="866896" cy="85737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571500</xdr:colOff>
      <xdr:row>1</xdr:row>
      <xdr:rowOff>85725</xdr:rowOff>
    </xdr:from>
    <xdr:to>
      <xdr:col>23</xdr:col>
      <xdr:colOff>1647975</xdr:colOff>
      <xdr:row>1</xdr:row>
      <xdr:rowOff>1171727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55340250" y="971550"/>
          <a:ext cx="1076475" cy="1086002"/>
        </a:xfrm>
        <a:prstGeom prst="rect">
          <a:avLst/>
        </a:prstGeom>
      </xdr:spPr>
    </xdr:pic>
    <xdr:clientData/>
  </xdr:twoCellAnchor>
  <xdr:twoCellAnchor editAs="oneCell">
    <xdr:from>
      <xdr:col>24</xdr:col>
      <xdr:colOff>647700</xdr:colOff>
      <xdr:row>1</xdr:row>
      <xdr:rowOff>104775</xdr:rowOff>
    </xdr:from>
    <xdr:to>
      <xdr:col>24</xdr:col>
      <xdr:colOff>1714649</xdr:colOff>
      <xdr:row>1</xdr:row>
      <xdr:rowOff>1181250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57797700" y="990600"/>
          <a:ext cx="1066949" cy="1076475"/>
        </a:xfrm>
        <a:prstGeom prst="rect">
          <a:avLst/>
        </a:prstGeom>
      </xdr:spPr>
    </xdr:pic>
    <xdr:clientData/>
  </xdr:twoCellAnchor>
  <xdr:twoCellAnchor editAs="oneCell">
    <xdr:from>
      <xdr:col>25</xdr:col>
      <xdr:colOff>590550</xdr:colOff>
      <xdr:row>1</xdr:row>
      <xdr:rowOff>104775</xdr:rowOff>
    </xdr:from>
    <xdr:to>
      <xdr:col>25</xdr:col>
      <xdr:colOff>1657499</xdr:colOff>
      <xdr:row>1</xdr:row>
      <xdr:rowOff>1181250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0121800" y="990600"/>
          <a:ext cx="1066949" cy="1076475"/>
        </a:xfrm>
        <a:prstGeom prst="rect">
          <a:avLst/>
        </a:prstGeom>
      </xdr:spPr>
    </xdr:pic>
    <xdr:clientData/>
  </xdr:twoCellAnchor>
  <xdr:twoCellAnchor editAs="oneCell">
    <xdr:from>
      <xdr:col>26</xdr:col>
      <xdr:colOff>400050</xdr:colOff>
      <xdr:row>1</xdr:row>
      <xdr:rowOff>47625</xdr:rowOff>
    </xdr:from>
    <xdr:to>
      <xdr:col>26</xdr:col>
      <xdr:colOff>1476525</xdr:colOff>
      <xdr:row>1</xdr:row>
      <xdr:rowOff>1124100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2312550" y="933450"/>
          <a:ext cx="1076475" cy="1076475"/>
        </a:xfrm>
        <a:prstGeom prst="rect">
          <a:avLst/>
        </a:prstGeom>
      </xdr:spPr>
    </xdr:pic>
    <xdr:clientData/>
  </xdr:twoCellAnchor>
  <xdr:twoCellAnchor editAs="oneCell">
    <xdr:from>
      <xdr:col>27</xdr:col>
      <xdr:colOff>504825</xdr:colOff>
      <xdr:row>1</xdr:row>
      <xdr:rowOff>238125</xdr:rowOff>
    </xdr:from>
    <xdr:to>
      <xdr:col>27</xdr:col>
      <xdr:colOff>1695616</xdr:colOff>
      <xdr:row>1</xdr:row>
      <xdr:rowOff>904968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798575" y="1123950"/>
          <a:ext cx="1190791" cy="666843"/>
        </a:xfrm>
        <a:prstGeom prst="rect">
          <a:avLst/>
        </a:prstGeom>
      </xdr:spPr>
    </xdr:pic>
    <xdr:clientData/>
  </xdr:twoCellAnchor>
  <xdr:twoCellAnchor editAs="oneCell">
    <xdr:from>
      <xdr:col>28</xdr:col>
      <xdr:colOff>352425</xdr:colOff>
      <xdr:row>1</xdr:row>
      <xdr:rowOff>171450</xdr:rowOff>
    </xdr:from>
    <xdr:to>
      <xdr:col>28</xdr:col>
      <xdr:colOff>2000480</xdr:colOff>
      <xdr:row>1</xdr:row>
      <xdr:rowOff>1190767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7027425" y="1057275"/>
          <a:ext cx="1648055" cy="101931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27CDAA3-FB6B-454B-BA29-E587DC0C041F}" name="tblVitesse" displayName="tblVitesse" ref="A3:J50" totalsRowShown="0" dataDxfId="26" headerRowBorderDxfId="27">
  <autoFilter ref="A3:J50" xr:uid="{F27CDAA3-FB6B-454B-BA29-E587DC0C04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61A7A5E9-E5EF-4B44-8241-66B467A58F8F}" name="Classe" dataDxfId="25"/>
    <tableColumn id="2" xr3:uid="{316A4247-C49B-40AE-AAEB-13E0B3A5828A}" name="No de groupe" dataDxfId="24"/>
    <tableColumn id="3" xr3:uid="{3FD2671F-4A17-4B26-B0FA-DACF46AE9702}" name="Matériau usiné" dataDxfId="23"/>
    <tableColumn id="4" xr3:uid="{1635ACB7-2871-4685-B235-5D4D46B7E057}" name="Composition" dataDxfId="22"/>
    <tableColumn id="5" xr3:uid="{C79079A2-0DBE-4441-9C1A-76EDE8116150}" name="État métallurgique" dataDxfId="21"/>
    <tableColumn id="6" xr3:uid="{A8CA351C-C8D8-4657-8A02-DA1EE5E89963}" name="Dureté Brinell (HB)" dataDxfId="20"/>
    <tableColumn id="7" xr3:uid="{45A8D046-1025-4845-9270-B27DF57728DB}" name="Ex. de matériau_x000a_AISI/SAE/ASTM" dataDxfId="19"/>
    <tableColumn id="8" xr3:uid="{AB224BB9-00F1-4929-99F0-BE133028982C}" name="Acier rapide" dataDxfId="18"/>
    <tableColumn id="9" xr3:uid="{BE1B1223-DC91-45A1-B116-E505600D6226}" name="Carbure de tungstène solide" dataDxfId="17"/>
    <tableColumn id="10" xr3:uid="{4262B425-62DF-48F0-A921-86CE7100447D}" name="Insert de carbure de tungstène" dataDxfId="16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D14D1B-F552-43D8-B9D4-69874874533B}" name="tblAvance" displayName="tblAvance" ref="C4:G23" totalsRowShown="0" tableBorderDxfId="15">
  <autoFilter ref="C4:G23" xr:uid="{2DD14D1B-F552-43D8-B9D4-69874874533B}"/>
  <tableColumns count="5">
    <tableColumn id="1" xr3:uid="{EC7B3C89-97E2-42AF-BD9D-B545C20B3F05}" name="Opération" dataDxfId="14"/>
    <tableColumn id="2" xr3:uid="{97EE8BD8-C2FC-4798-ABB8-88683B676B31}" name="Avance" dataDxfId="13"/>
    <tableColumn id="3" xr3:uid="{91BCACEF-99B7-46CF-B4B0-5103C605FEC4}" name="AvanceMax" dataDxfId="12">
      <calculatedColumnFormula>'Avances d''usinage'!$D5</calculatedColumnFormula>
    </tableColumn>
    <tableColumn id="4" xr3:uid="{01829BC7-BB56-41E4-A7BD-C70B7220D3C5}" name="Pas du filetage" dataDxfId="11"/>
    <tableColumn id="5" xr3:uid="{1B9F1A59-9F36-4BF4-A41C-D628C0672EAD}" name="Diamètre" dataDxfId="1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5.xml"/><Relationship Id="rId21" Type="http://schemas.openxmlformats.org/officeDocument/2006/relationships/control" Target="../activeX/activeX12.xml"/><Relationship Id="rId42" Type="http://schemas.openxmlformats.org/officeDocument/2006/relationships/image" Target="../media/image20.emf"/><Relationship Id="rId47" Type="http://schemas.openxmlformats.org/officeDocument/2006/relationships/control" Target="../activeX/activeX26.xml"/><Relationship Id="rId63" Type="http://schemas.openxmlformats.org/officeDocument/2006/relationships/control" Target="../activeX/activeX34.xml"/><Relationship Id="rId68" Type="http://schemas.openxmlformats.org/officeDocument/2006/relationships/control" Target="../activeX/activeX37.xml"/><Relationship Id="rId2" Type="http://schemas.openxmlformats.org/officeDocument/2006/relationships/drawing" Target="../drawings/drawing2.xml"/><Relationship Id="rId16" Type="http://schemas.openxmlformats.org/officeDocument/2006/relationships/image" Target="../media/image8.emf"/><Relationship Id="rId29" Type="http://schemas.openxmlformats.org/officeDocument/2006/relationships/control" Target="../activeX/activeX17.xml"/><Relationship Id="rId11" Type="http://schemas.openxmlformats.org/officeDocument/2006/relationships/image" Target="../media/image6.emf"/><Relationship Id="rId24" Type="http://schemas.openxmlformats.org/officeDocument/2006/relationships/control" Target="../activeX/activeX14.xml"/><Relationship Id="rId32" Type="http://schemas.openxmlformats.org/officeDocument/2006/relationships/image" Target="../media/image15.emf"/><Relationship Id="rId37" Type="http://schemas.openxmlformats.org/officeDocument/2006/relationships/control" Target="../activeX/activeX21.xml"/><Relationship Id="rId40" Type="http://schemas.openxmlformats.org/officeDocument/2006/relationships/image" Target="../media/image19.emf"/><Relationship Id="rId45" Type="http://schemas.openxmlformats.org/officeDocument/2006/relationships/control" Target="../activeX/activeX25.xml"/><Relationship Id="rId53" Type="http://schemas.openxmlformats.org/officeDocument/2006/relationships/control" Target="../activeX/activeX29.xml"/><Relationship Id="rId58" Type="http://schemas.openxmlformats.org/officeDocument/2006/relationships/image" Target="../media/image28.emf"/><Relationship Id="rId66" Type="http://schemas.openxmlformats.org/officeDocument/2006/relationships/control" Target="../activeX/activeX36.xml"/><Relationship Id="rId74" Type="http://schemas.openxmlformats.org/officeDocument/2006/relationships/control" Target="../activeX/activeX40.xml"/><Relationship Id="rId5" Type="http://schemas.openxmlformats.org/officeDocument/2006/relationships/image" Target="../media/image3.emf"/><Relationship Id="rId61" Type="http://schemas.openxmlformats.org/officeDocument/2006/relationships/control" Target="../activeX/activeX33.xml"/><Relationship Id="rId19" Type="http://schemas.openxmlformats.org/officeDocument/2006/relationships/control" Target="../activeX/activeX11.xml"/><Relationship Id="rId14" Type="http://schemas.openxmlformats.org/officeDocument/2006/relationships/image" Target="../media/image7.emf"/><Relationship Id="rId22" Type="http://schemas.openxmlformats.org/officeDocument/2006/relationships/image" Target="../media/image11.emf"/><Relationship Id="rId27" Type="http://schemas.openxmlformats.org/officeDocument/2006/relationships/control" Target="../activeX/activeX16.xml"/><Relationship Id="rId30" Type="http://schemas.openxmlformats.org/officeDocument/2006/relationships/image" Target="../media/image14.emf"/><Relationship Id="rId35" Type="http://schemas.openxmlformats.org/officeDocument/2006/relationships/control" Target="../activeX/activeX20.xml"/><Relationship Id="rId43" Type="http://schemas.openxmlformats.org/officeDocument/2006/relationships/control" Target="../activeX/activeX24.xml"/><Relationship Id="rId48" Type="http://schemas.openxmlformats.org/officeDocument/2006/relationships/image" Target="../media/image23.emf"/><Relationship Id="rId56" Type="http://schemas.openxmlformats.org/officeDocument/2006/relationships/image" Target="../media/image27.emf"/><Relationship Id="rId64" Type="http://schemas.openxmlformats.org/officeDocument/2006/relationships/control" Target="../activeX/activeX35.xml"/><Relationship Id="rId69" Type="http://schemas.openxmlformats.org/officeDocument/2006/relationships/image" Target="../media/image33.emf"/><Relationship Id="rId8" Type="http://schemas.openxmlformats.org/officeDocument/2006/relationships/control" Target="../activeX/activeX5.xml"/><Relationship Id="rId51" Type="http://schemas.openxmlformats.org/officeDocument/2006/relationships/control" Target="../activeX/activeX28.xml"/><Relationship Id="rId72" Type="http://schemas.openxmlformats.org/officeDocument/2006/relationships/control" Target="../activeX/activeX39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0.xml"/><Relationship Id="rId25" Type="http://schemas.openxmlformats.org/officeDocument/2006/relationships/image" Target="../media/image12.emf"/><Relationship Id="rId33" Type="http://schemas.openxmlformats.org/officeDocument/2006/relationships/control" Target="../activeX/activeX19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59" Type="http://schemas.openxmlformats.org/officeDocument/2006/relationships/control" Target="../activeX/activeX32.xml"/><Relationship Id="rId67" Type="http://schemas.openxmlformats.org/officeDocument/2006/relationships/image" Target="../media/image32.emf"/><Relationship Id="rId20" Type="http://schemas.openxmlformats.org/officeDocument/2006/relationships/image" Target="../media/image10.emf"/><Relationship Id="rId41" Type="http://schemas.openxmlformats.org/officeDocument/2006/relationships/control" Target="../activeX/activeX23.xml"/><Relationship Id="rId54" Type="http://schemas.openxmlformats.org/officeDocument/2006/relationships/image" Target="../media/image26.emf"/><Relationship Id="rId62" Type="http://schemas.openxmlformats.org/officeDocument/2006/relationships/image" Target="../media/image30.emf"/><Relationship Id="rId70" Type="http://schemas.openxmlformats.org/officeDocument/2006/relationships/control" Target="../activeX/activeX38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3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49" Type="http://schemas.openxmlformats.org/officeDocument/2006/relationships/control" Target="../activeX/activeX27.xml"/><Relationship Id="rId57" Type="http://schemas.openxmlformats.org/officeDocument/2006/relationships/control" Target="../activeX/activeX31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18.xml"/><Relationship Id="rId44" Type="http://schemas.openxmlformats.org/officeDocument/2006/relationships/image" Target="../media/image21.emf"/><Relationship Id="rId52" Type="http://schemas.openxmlformats.org/officeDocument/2006/relationships/image" Target="../media/image25.emf"/><Relationship Id="rId60" Type="http://schemas.openxmlformats.org/officeDocument/2006/relationships/image" Target="../media/image29.emf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3" Type="http://schemas.openxmlformats.org/officeDocument/2006/relationships/control" Target="../activeX/activeX8.xml"/><Relationship Id="rId18" Type="http://schemas.openxmlformats.org/officeDocument/2006/relationships/image" Target="../media/image9.emf"/><Relationship Id="rId39" Type="http://schemas.openxmlformats.org/officeDocument/2006/relationships/control" Target="../activeX/activeX22.xml"/><Relationship Id="rId34" Type="http://schemas.openxmlformats.org/officeDocument/2006/relationships/image" Target="../media/image16.emf"/><Relationship Id="rId50" Type="http://schemas.openxmlformats.org/officeDocument/2006/relationships/image" Target="../media/image24.emf"/><Relationship Id="rId55" Type="http://schemas.openxmlformats.org/officeDocument/2006/relationships/control" Target="../activeX/activeX30.xml"/><Relationship Id="rId7" Type="http://schemas.openxmlformats.org/officeDocument/2006/relationships/image" Target="../media/image4.emf"/><Relationship Id="rId71" Type="http://schemas.openxmlformats.org/officeDocument/2006/relationships/image" Target="../media/image3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2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F54BA-A067-4255-B3C8-68794F98E6E2}">
  <sheetPr codeName="shRapport">
    <tabColor theme="0"/>
  </sheetPr>
  <dimension ref="A1:L19"/>
  <sheetViews>
    <sheetView showGridLines="0" showRuler="0" view="pageLayout" zoomScaleNormal="115" workbookViewId="0"/>
  </sheetViews>
  <sheetFormatPr baseColWidth="10" defaultColWidth="2.7109375" defaultRowHeight="14.1" customHeight="1" x14ac:dyDescent="0.2"/>
  <cols>
    <col min="1" max="1" width="2.7109375" style="2" customWidth="1"/>
    <col min="2" max="2" width="5.42578125" style="2" customWidth="1"/>
    <col min="3" max="3" width="5.85546875" style="2" customWidth="1"/>
    <col min="4" max="4" width="7.28515625" style="2" customWidth="1"/>
    <col min="5" max="5" width="16.28515625" style="2" customWidth="1"/>
    <col min="6" max="6" width="19.5703125" style="2" customWidth="1"/>
    <col min="7" max="7" width="7" style="128" customWidth="1"/>
    <col min="8" max="8" width="6.5703125" style="128" customWidth="1"/>
    <col min="9" max="9" width="6.5703125" style="129" hidden="1" customWidth="1"/>
    <col min="10" max="10" width="6.5703125" style="128" customWidth="1"/>
    <col min="11" max="11" width="7" style="155" customWidth="1"/>
    <col min="12" max="12" width="7" style="128" customWidth="1"/>
    <col min="13" max="16384" width="2.7109375" style="2"/>
  </cols>
  <sheetData>
    <row r="1" spans="1:12" ht="2.85" customHeight="1" x14ac:dyDescent="0.2">
      <c r="F1" s="128"/>
      <c r="K1" s="128"/>
      <c r="L1" s="3"/>
    </row>
    <row r="2" spans="1:12" ht="2.85" customHeight="1" x14ac:dyDescent="0.2">
      <c r="F2" s="128"/>
      <c r="K2" s="128"/>
      <c r="L2" s="3"/>
    </row>
    <row r="3" spans="1:12" ht="2.85" customHeight="1" x14ac:dyDescent="0.25">
      <c r="A3" s="130"/>
      <c r="F3" s="128"/>
      <c r="K3" s="128"/>
      <c r="L3" s="2"/>
    </row>
    <row r="4" spans="1:12" ht="13.5" customHeight="1" x14ac:dyDescent="0.2">
      <c r="B4" s="168" t="s">
        <v>661</v>
      </c>
      <c r="C4" s="184"/>
      <c r="G4" s="131"/>
      <c r="K4" s="128"/>
      <c r="L4" s="2"/>
    </row>
    <row r="5" spans="1:12" ht="13.5" customHeight="1" x14ac:dyDescent="0.2">
      <c r="B5" s="168" t="s">
        <v>684</v>
      </c>
      <c r="C5" s="197"/>
      <c r="G5" s="168" t="s">
        <v>660</v>
      </c>
      <c r="H5" s="197"/>
      <c r="K5" s="128"/>
      <c r="L5" s="2"/>
    </row>
    <row r="6" spans="1:12" ht="13.5" customHeight="1" x14ac:dyDescent="0.2">
      <c r="D6" s="132"/>
      <c r="E6" s="133"/>
      <c r="F6" s="128"/>
      <c r="K6" s="128"/>
      <c r="L6" s="2"/>
    </row>
    <row r="7" spans="1:12" ht="13.5" customHeight="1" x14ac:dyDescent="0.2">
      <c r="B7" s="168" t="s">
        <v>657</v>
      </c>
      <c r="C7" s="197"/>
      <c r="G7" s="168" t="s">
        <v>654</v>
      </c>
      <c r="H7" s="202"/>
      <c r="I7" s="203"/>
      <c r="J7" s="203"/>
      <c r="K7" s="2"/>
      <c r="L7" s="2"/>
    </row>
    <row r="8" spans="1:12" ht="13.5" customHeight="1" x14ac:dyDescent="0.2">
      <c r="B8" s="168" t="s">
        <v>658</v>
      </c>
      <c r="C8" s="204"/>
      <c r="D8" s="205"/>
      <c r="G8" s="168" t="s">
        <v>655</v>
      </c>
      <c r="H8" s="202"/>
      <c r="I8" s="203"/>
      <c r="J8" s="203"/>
      <c r="K8" s="2"/>
      <c r="L8" s="2"/>
    </row>
    <row r="9" spans="1:12" ht="13.5" customHeight="1" x14ac:dyDescent="0.2">
      <c r="B9" s="168" t="s">
        <v>659</v>
      </c>
      <c r="C9" s="204"/>
      <c r="D9" s="205"/>
      <c r="G9" s="168" t="s">
        <v>656</v>
      </c>
      <c r="H9" s="167"/>
      <c r="K9" s="2"/>
      <c r="L9" s="2"/>
    </row>
    <row r="10" spans="1:12" ht="13.5" customHeight="1" x14ac:dyDescent="0.2">
      <c r="A10" s="135"/>
      <c r="B10" s="135"/>
      <c r="F10" s="132"/>
      <c r="G10" s="133"/>
      <c r="J10" s="2"/>
      <c r="K10" s="128"/>
      <c r="L10" s="2"/>
    </row>
    <row r="11" spans="1:12" ht="28.35" customHeight="1" x14ac:dyDescent="0.2">
      <c r="B11" s="136"/>
      <c r="D11" s="134"/>
      <c r="G11" s="133"/>
      <c r="K11" s="128"/>
    </row>
    <row r="12" spans="1:12" s="137" customFormat="1" ht="21.2" customHeight="1" x14ac:dyDescent="0.25">
      <c r="B12" s="138"/>
      <c r="D12" s="139"/>
      <c r="F12" s="140" t="s">
        <v>321</v>
      </c>
      <c r="G12" s="141"/>
      <c r="H12" s="142"/>
      <c r="I12" s="143"/>
      <c r="J12" s="142"/>
      <c r="K12" s="142"/>
      <c r="L12" s="142"/>
    </row>
    <row r="13" spans="1:12" ht="17.100000000000001" customHeight="1" x14ac:dyDescent="0.2">
      <c r="A13" s="144"/>
      <c r="B13" s="144"/>
      <c r="C13" s="144"/>
      <c r="D13" s="144"/>
      <c r="E13" s="144"/>
      <c r="F13" s="145"/>
      <c r="G13" s="206" t="s">
        <v>662</v>
      </c>
      <c r="H13" s="200" t="s">
        <v>698</v>
      </c>
      <c r="I13" s="158"/>
      <c r="J13" s="200" t="s">
        <v>699</v>
      </c>
      <c r="K13" s="198" t="s">
        <v>663</v>
      </c>
      <c r="L13" s="200" t="s">
        <v>700</v>
      </c>
    </row>
    <row r="14" spans="1:12" ht="17.100000000000001" customHeight="1" x14ac:dyDescent="0.2">
      <c r="A14" s="146" t="s">
        <v>446</v>
      </c>
      <c r="B14" s="147"/>
      <c r="C14" s="148"/>
      <c r="D14" s="148"/>
      <c r="E14" s="148"/>
      <c r="F14" s="149"/>
      <c r="G14" s="201"/>
      <c r="H14" s="201"/>
      <c r="I14" s="159"/>
      <c r="J14" s="201"/>
      <c r="K14" s="199"/>
      <c r="L14" s="201"/>
    </row>
    <row r="15" spans="1:12" ht="17.100000000000001" customHeight="1" x14ac:dyDescent="0.2">
      <c r="A15" s="150" t="s">
        <v>447</v>
      </c>
      <c r="B15" s="151"/>
      <c r="C15" s="151"/>
      <c r="D15" s="151"/>
      <c r="E15" s="151"/>
      <c r="F15" s="151"/>
      <c r="G15" s="201"/>
      <c r="H15" s="201"/>
      <c r="I15" s="159"/>
      <c r="J15" s="201"/>
      <c r="K15" s="199"/>
      <c r="L15" s="201"/>
    </row>
    <row r="16" spans="1:12" ht="17.100000000000001" customHeight="1" x14ac:dyDescent="0.2">
      <c r="A16" s="152" t="s">
        <v>448</v>
      </c>
      <c r="B16" s="157" t="s">
        <v>449</v>
      </c>
      <c r="C16" s="151"/>
      <c r="D16" s="151"/>
      <c r="E16" s="151"/>
      <c r="F16" s="151"/>
      <c r="G16" s="201"/>
      <c r="H16" s="201"/>
      <c r="I16" s="159"/>
      <c r="J16" s="201"/>
      <c r="K16" s="199"/>
      <c r="L16" s="201"/>
    </row>
    <row r="17" spans="1:12" ht="17.100000000000001" customHeight="1" x14ac:dyDescent="0.2">
      <c r="A17" s="153" t="s">
        <v>450</v>
      </c>
      <c r="B17" s="151"/>
      <c r="C17" s="151"/>
      <c r="D17" s="151"/>
      <c r="E17" s="151"/>
      <c r="F17" s="151"/>
      <c r="G17" s="201"/>
      <c r="H17" s="201"/>
      <c r="I17" s="159"/>
      <c r="J17" s="201"/>
      <c r="K17" s="199"/>
      <c r="L17" s="201"/>
    </row>
    <row r="18" spans="1:12" ht="17.100000000000001" customHeight="1" x14ac:dyDescent="0.2">
      <c r="A18" s="153"/>
      <c r="B18" s="151"/>
      <c r="C18" s="151"/>
      <c r="D18" s="151"/>
      <c r="E18" s="151"/>
      <c r="F18" s="151"/>
      <c r="G18" s="201"/>
      <c r="H18" s="201"/>
      <c r="I18" s="159"/>
      <c r="J18" s="201"/>
      <c r="K18" s="199"/>
      <c r="L18" s="201"/>
    </row>
    <row r="19" spans="1:12" ht="2.25" customHeight="1" x14ac:dyDescent="0.2">
      <c r="A19" s="136"/>
      <c r="D19" s="134"/>
      <c r="G19" s="154"/>
    </row>
  </sheetData>
  <sheetProtection selectLockedCells="1" selectUnlockedCells="1"/>
  <dataConsolidate link="1"/>
  <mergeCells count="9">
    <mergeCell ref="K13:K18"/>
    <mergeCell ref="L13:L18"/>
    <mergeCell ref="H7:J7"/>
    <mergeCell ref="C8:D8"/>
    <mergeCell ref="H8:J8"/>
    <mergeCell ref="C9:D9"/>
    <mergeCell ref="G13:G18"/>
    <mergeCell ref="H13:H18"/>
    <mergeCell ref="J13:J18"/>
  </mergeCells>
  <pageMargins left="0.59055118110236227" right="0.59055118110236227" top="1.3541666666666667" bottom="0.6692913385826772" header="0.39370078740157483" footer="0.31496062992125984"/>
  <pageSetup orientation="portrait" r:id="rId1"/>
  <headerFooter differentFirst="1" scaleWithDoc="0">
    <oddHeader>&amp;L&amp;G&amp;C&amp;10
&amp;11
&amp;"-,Bold"&amp;12Rapport d'exercice - calcul de paramètres d'usinage (suite)&amp;R&amp;8Techniques de génie mécanique
Technique du génie de la maintenance industrielle</oddHeader>
    <oddFooter>&amp;L&amp;8&amp;D&amp;C&amp;8révision H2023_0&amp;R&amp;8Page &amp;P de &amp;N</oddFooter>
    <firstHeader xml:space="preserve">&amp;L&amp;G&amp;C&amp;"-,Bold"&amp;12
Rapport de réussite - calcul de paramètres d'usinage&amp;R&amp;8Techniques de génie mécanique
Technique du génie de la maintenance industrielle
(fiabilité des systèmes de production) </firstHeader>
    <firstFooter>&amp;L&amp;8&amp;D&amp;C&amp;8révision H2023_0&amp;R&amp;8&amp;P de &amp;N</first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049" r:id="rId5" name="Image2">
          <controlPr defaultSize="0" autoLine="0" r:id="rId6">
            <anchor moveWithCells="1">
              <from>
                <xdr:col>7</xdr:col>
                <xdr:colOff>295275</xdr:colOff>
                <xdr:row>0</xdr:row>
                <xdr:rowOff>0</xdr:rowOff>
              </from>
              <to>
                <xdr:col>7</xdr:col>
                <xdr:colOff>304800</xdr:colOff>
                <xdr:row>0</xdr:row>
                <xdr:rowOff>9525</xdr:rowOff>
              </to>
            </anchor>
          </controlPr>
        </control>
      </mc:Choice>
      <mc:Fallback>
        <control shapeId="1049" r:id="rId5" name="Image2"/>
      </mc:Fallback>
    </mc:AlternateContent>
    <mc:AlternateContent xmlns:mc="http://schemas.openxmlformats.org/markup-compatibility/2006">
      <mc:Choice Requires="x14">
        <control shapeId="1045" r:id="rId7" name="Image1">
          <controlPr defaultSize="0" autoLine="0" r:id="rId6">
            <anchor moveWithCells="1">
              <from>
                <xdr:col>7</xdr:col>
                <xdr:colOff>295275</xdr:colOff>
                <xdr:row>0</xdr:row>
                <xdr:rowOff>0</xdr:rowOff>
              </from>
              <to>
                <xdr:col>7</xdr:col>
                <xdr:colOff>304800</xdr:colOff>
                <xdr:row>0</xdr:row>
                <xdr:rowOff>9525</xdr:rowOff>
              </to>
            </anchor>
          </controlPr>
        </control>
      </mc:Choice>
      <mc:Fallback>
        <control shapeId="1045" r:id="rId7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8949-DCBD-401E-91A6-000666B6910C}">
  <sheetPr codeName="shQuiz">
    <tabColor rgb="FF002060"/>
    <pageSetUpPr autoPageBreaks="0"/>
  </sheetPr>
  <dimension ref="B1:AG170"/>
  <sheetViews>
    <sheetView showGridLines="0" showRowColHeaders="0" tabSelected="1" zoomScaleNormal="100" zoomScaleSheetLayoutView="166" workbookViewId="0"/>
  </sheetViews>
  <sheetFormatPr baseColWidth="10" defaultColWidth="9.140625" defaultRowHeight="15" customHeight="1" x14ac:dyDescent="0.25"/>
  <cols>
    <col min="1" max="1" width="9.140625" style="161" customWidth="1"/>
    <col min="2" max="2" width="3.7109375" style="160" customWidth="1"/>
    <col min="3" max="3" width="13.5703125" style="161" customWidth="1"/>
    <col min="4" max="25" width="9.140625" style="161"/>
    <col min="26" max="26" width="38.5703125" style="161" customWidth="1"/>
    <col min="27" max="28" width="9.140625" style="162"/>
    <col min="29" max="16384" width="9.140625" style="161"/>
  </cols>
  <sheetData>
    <row r="1" spans="2:33" ht="15" customHeight="1" x14ac:dyDescent="0.25">
      <c r="AA1" s="162" t="s">
        <v>7</v>
      </c>
      <c r="AB1" s="162">
        <v>0</v>
      </c>
      <c r="AC1" s="162">
        <v>0</v>
      </c>
      <c r="AD1" s="162">
        <v>0</v>
      </c>
      <c r="AE1" s="162">
        <v>0</v>
      </c>
      <c r="AF1" s="162">
        <v>0</v>
      </c>
      <c r="AG1" s="162">
        <v>0</v>
      </c>
    </row>
    <row r="2" spans="2:33" ht="15" customHeight="1" x14ac:dyDescent="0.25">
      <c r="AA2" s="162" t="s">
        <v>174</v>
      </c>
      <c r="AB2" s="162">
        <v>0</v>
      </c>
      <c r="AC2" s="161">
        <v>0</v>
      </c>
      <c r="AD2" s="161">
        <v>0</v>
      </c>
      <c r="AE2" s="161">
        <v>0</v>
      </c>
      <c r="AF2" s="161">
        <v>0</v>
      </c>
      <c r="AG2" s="162"/>
    </row>
    <row r="3" spans="2:33" ht="15" customHeight="1" x14ac:dyDescent="0.25">
      <c r="AA3" s="162" t="s">
        <v>175</v>
      </c>
      <c r="AB3" s="162">
        <v>0</v>
      </c>
      <c r="AC3" s="161">
        <v>0</v>
      </c>
      <c r="AD3" s="161">
        <v>0</v>
      </c>
      <c r="AE3" s="161">
        <v>0</v>
      </c>
      <c r="AF3" s="161">
        <v>0</v>
      </c>
      <c r="AG3" s="162"/>
    </row>
    <row r="4" spans="2:33" ht="15" customHeight="1" x14ac:dyDescent="0.25">
      <c r="AA4" s="162" t="s">
        <v>318</v>
      </c>
      <c r="AB4" s="162">
        <v>0</v>
      </c>
      <c r="AC4" s="161">
        <v>0</v>
      </c>
      <c r="AD4" s="161">
        <v>0</v>
      </c>
      <c r="AE4" s="161">
        <v>0</v>
      </c>
      <c r="AF4" s="161">
        <v>0</v>
      </c>
      <c r="AG4" s="162"/>
    </row>
    <row r="5" spans="2:33" ht="15" customHeight="1" x14ac:dyDescent="0.25">
      <c r="AA5" s="162" t="s">
        <v>322</v>
      </c>
      <c r="AB5" s="162">
        <v>0</v>
      </c>
      <c r="AC5" s="161">
        <v>0</v>
      </c>
      <c r="AD5" s="161">
        <v>0</v>
      </c>
      <c r="AE5" s="161">
        <v>0</v>
      </c>
      <c r="AF5" s="161">
        <v>0</v>
      </c>
      <c r="AG5" s="162"/>
    </row>
    <row r="6" spans="2:33" ht="15" customHeight="1" x14ac:dyDescent="0.25">
      <c r="C6" s="161" t="s">
        <v>683</v>
      </c>
      <c r="AA6" s="162" t="s">
        <v>316</v>
      </c>
      <c r="AB6" s="162">
        <v>0</v>
      </c>
      <c r="AC6" s="161">
        <v>0</v>
      </c>
      <c r="AD6" s="161">
        <v>0</v>
      </c>
      <c r="AE6" s="161">
        <v>0</v>
      </c>
      <c r="AF6" s="161">
        <v>0</v>
      </c>
      <c r="AG6" s="162"/>
    </row>
    <row r="7" spans="2:33" ht="15" customHeight="1" x14ac:dyDescent="0.25">
      <c r="C7" s="163"/>
      <c r="AA7" s="162" t="s">
        <v>317</v>
      </c>
      <c r="AB7" s="162">
        <v>0</v>
      </c>
      <c r="AC7" s="161">
        <v>0</v>
      </c>
      <c r="AD7" s="161">
        <v>0</v>
      </c>
      <c r="AE7" s="161">
        <v>0</v>
      </c>
      <c r="AF7" s="161">
        <v>0</v>
      </c>
      <c r="AG7" s="162"/>
    </row>
    <row r="8" spans="2:33" ht="15" customHeight="1" x14ac:dyDescent="0.25">
      <c r="C8" s="163"/>
      <c r="E8" s="164"/>
      <c r="AG8" s="162"/>
    </row>
    <row r="9" spans="2:33" ht="15" customHeight="1" x14ac:dyDescent="0.25">
      <c r="C9" s="163"/>
      <c r="E9" s="164"/>
      <c r="AG9" s="162"/>
    </row>
    <row r="10" spans="2:33" ht="15" customHeight="1" x14ac:dyDescent="0.25">
      <c r="E10" s="164"/>
      <c r="AG10" s="162"/>
    </row>
    <row r="11" spans="2:33" ht="15" customHeight="1" x14ac:dyDescent="0.25">
      <c r="D11" s="165"/>
      <c r="E11" s="164"/>
      <c r="AG11" s="162"/>
    </row>
    <row r="12" spans="2:33" ht="15" customHeight="1" x14ac:dyDescent="0.25">
      <c r="D12" s="165"/>
      <c r="E12" s="164"/>
      <c r="AG12" s="162"/>
    </row>
    <row r="13" spans="2:33" ht="15" customHeight="1" x14ac:dyDescent="0.25">
      <c r="B13" s="166"/>
      <c r="D13" s="165"/>
      <c r="AG13" s="162"/>
    </row>
    <row r="14" spans="2:33" ht="15" customHeight="1" x14ac:dyDescent="0.25">
      <c r="AG14" s="162"/>
    </row>
    <row r="15" spans="2:33" ht="15" customHeight="1" x14ac:dyDescent="0.25">
      <c r="D15" s="165"/>
      <c r="E15" s="164"/>
      <c r="AG15" s="162"/>
    </row>
    <row r="16" spans="2:33" ht="15" customHeight="1" x14ac:dyDescent="0.25">
      <c r="D16" s="165"/>
      <c r="E16" s="164"/>
      <c r="K16" s="164"/>
      <c r="AG16" s="162"/>
    </row>
    <row r="17" spans="4:33" ht="15" customHeight="1" x14ac:dyDescent="0.25">
      <c r="D17" s="165"/>
      <c r="E17" s="164"/>
      <c r="K17" s="164"/>
      <c r="AG17" s="162"/>
    </row>
    <row r="18" spans="4:33" ht="15" customHeight="1" x14ac:dyDescent="0.25">
      <c r="D18" s="165"/>
      <c r="E18" s="164"/>
      <c r="K18" s="164"/>
      <c r="AG18" s="162"/>
    </row>
    <row r="19" spans="4:33" ht="15" customHeight="1" x14ac:dyDescent="0.25">
      <c r="D19" s="165"/>
      <c r="E19" s="164"/>
      <c r="J19" s="165"/>
      <c r="K19" s="164"/>
      <c r="AG19" s="162"/>
    </row>
    <row r="20" spans="4:33" ht="15" customHeight="1" x14ac:dyDescent="0.25">
      <c r="D20" s="165"/>
      <c r="E20" s="164"/>
      <c r="AG20" s="162"/>
    </row>
    <row r="21" spans="4:33" ht="15" customHeight="1" x14ac:dyDescent="0.25">
      <c r="D21" s="165"/>
      <c r="E21" s="164"/>
      <c r="AG21" s="162"/>
    </row>
    <row r="22" spans="4:33" ht="15" customHeight="1" x14ac:dyDescent="0.25">
      <c r="AG22" s="162"/>
    </row>
    <row r="23" spans="4:33" ht="15" customHeight="1" x14ac:dyDescent="0.25">
      <c r="AG23" s="162"/>
    </row>
    <row r="24" spans="4:33" ht="15" customHeight="1" x14ac:dyDescent="0.25">
      <c r="AG24" s="162"/>
    </row>
    <row r="25" spans="4:33" ht="15" customHeight="1" x14ac:dyDescent="0.25">
      <c r="AG25" s="162"/>
    </row>
    <row r="26" spans="4:33" ht="15" customHeight="1" x14ac:dyDescent="0.25">
      <c r="AG26" s="162"/>
    </row>
    <row r="27" spans="4:33" ht="15" customHeight="1" x14ac:dyDescent="0.25">
      <c r="AG27" s="162"/>
    </row>
    <row r="28" spans="4:33" ht="15" customHeight="1" x14ac:dyDescent="0.25">
      <c r="AG28" s="162"/>
    </row>
    <row r="29" spans="4:33" ht="15" customHeight="1" x14ac:dyDescent="0.25">
      <c r="AG29" s="162"/>
    </row>
    <row r="30" spans="4:33" ht="15" customHeight="1" x14ac:dyDescent="0.25">
      <c r="AG30" s="162"/>
    </row>
    <row r="31" spans="4:33" ht="15" customHeight="1" x14ac:dyDescent="0.25">
      <c r="AG31" s="162"/>
    </row>
    <row r="32" spans="4:33" ht="15" customHeight="1" x14ac:dyDescent="0.25">
      <c r="AG32" s="162"/>
    </row>
    <row r="33" spans="33:33" ht="15" customHeight="1" x14ac:dyDescent="0.25">
      <c r="AG33" s="162"/>
    </row>
    <row r="34" spans="33:33" ht="15" customHeight="1" x14ac:dyDescent="0.25">
      <c r="AG34" s="162"/>
    </row>
    <row r="35" spans="33:33" ht="15" customHeight="1" x14ac:dyDescent="0.25">
      <c r="AG35" s="162"/>
    </row>
    <row r="36" spans="33:33" ht="15" customHeight="1" x14ac:dyDescent="0.25">
      <c r="AG36" s="162"/>
    </row>
    <row r="37" spans="33:33" ht="15" customHeight="1" x14ac:dyDescent="0.25">
      <c r="AG37" s="162"/>
    </row>
    <row r="38" spans="33:33" ht="15" customHeight="1" x14ac:dyDescent="0.25">
      <c r="AG38" s="162"/>
    </row>
    <row r="39" spans="33:33" ht="15" customHeight="1" x14ac:dyDescent="0.25">
      <c r="AG39" s="162"/>
    </row>
    <row r="40" spans="33:33" ht="15" customHeight="1" x14ac:dyDescent="0.25">
      <c r="AG40" s="162"/>
    </row>
    <row r="41" spans="33:33" ht="15" customHeight="1" x14ac:dyDescent="0.25">
      <c r="AG41" s="162"/>
    </row>
    <row r="42" spans="33:33" ht="15" customHeight="1" x14ac:dyDescent="0.25">
      <c r="AG42" s="162"/>
    </row>
    <row r="43" spans="33:33" ht="15" customHeight="1" x14ac:dyDescent="0.25">
      <c r="AG43" s="162"/>
    </row>
    <row r="44" spans="33:33" ht="15" customHeight="1" x14ac:dyDescent="0.25">
      <c r="AG44" s="162"/>
    </row>
    <row r="45" spans="33:33" ht="15" customHeight="1" x14ac:dyDescent="0.25">
      <c r="AG45" s="162"/>
    </row>
    <row r="46" spans="33:33" ht="15" customHeight="1" x14ac:dyDescent="0.25">
      <c r="AG46" s="162"/>
    </row>
    <row r="47" spans="33:33" ht="15" customHeight="1" x14ac:dyDescent="0.25">
      <c r="AG47" s="162"/>
    </row>
    <row r="48" spans="33:33" ht="15" customHeight="1" x14ac:dyDescent="0.25">
      <c r="AG48" s="162"/>
    </row>
    <row r="49" spans="33:33" ht="15" customHeight="1" x14ac:dyDescent="0.25">
      <c r="AG49" s="162"/>
    </row>
    <row r="50" spans="33:33" ht="15" customHeight="1" x14ac:dyDescent="0.25">
      <c r="AG50" s="162"/>
    </row>
    <row r="51" spans="33:33" ht="15" customHeight="1" x14ac:dyDescent="0.25">
      <c r="AG51" s="162"/>
    </row>
    <row r="52" spans="33:33" ht="15" customHeight="1" x14ac:dyDescent="0.25">
      <c r="AG52" s="162"/>
    </row>
    <row r="53" spans="33:33" ht="15" customHeight="1" x14ac:dyDescent="0.25">
      <c r="AG53" s="162"/>
    </row>
    <row r="54" spans="33:33" ht="15" customHeight="1" x14ac:dyDescent="0.25">
      <c r="AG54" s="162"/>
    </row>
    <row r="55" spans="33:33" ht="15" customHeight="1" x14ac:dyDescent="0.25">
      <c r="AG55" s="162"/>
    </row>
    <row r="56" spans="33:33" ht="15" customHeight="1" x14ac:dyDescent="0.25">
      <c r="AG56" s="162"/>
    </row>
    <row r="57" spans="33:33" ht="15" customHeight="1" x14ac:dyDescent="0.25">
      <c r="AG57" s="162"/>
    </row>
    <row r="58" spans="33:33" ht="15" customHeight="1" x14ac:dyDescent="0.25">
      <c r="AG58" s="162"/>
    </row>
    <row r="59" spans="33:33" ht="15" customHeight="1" x14ac:dyDescent="0.25">
      <c r="AG59" s="162"/>
    </row>
    <row r="60" spans="33:33" ht="15" customHeight="1" x14ac:dyDescent="0.25">
      <c r="AG60" s="162"/>
    </row>
    <row r="61" spans="33:33" ht="15" customHeight="1" x14ac:dyDescent="0.25">
      <c r="AG61" s="162"/>
    </row>
    <row r="62" spans="33:33" ht="15" customHeight="1" x14ac:dyDescent="0.25">
      <c r="AG62" s="162"/>
    </row>
    <row r="63" spans="33:33" ht="15" customHeight="1" x14ac:dyDescent="0.25">
      <c r="AG63" s="162"/>
    </row>
    <row r="64" spans="33:33" ht="15" customHeight="1" x14ac:dyDescent="0.25">
      <c r="AG64" s="162"/>
    </row>
    <row r="65" spans="33:33" ht="15" customHeight="1" x14ac:dyDescent="0.25">
      <c r="AG65" s="162"/>
    </row>
    <row r="66" spans="33:33" ht="15" customHeight="1" x14ac:dyDescent="0.25">
      <c r="AG66" s="162"/>
    </row>
    <row r="67" spans="33:33" ht="15" customHeight="1" x14ac:dyDescent="0.25">
      <c r="AG67" s="162"/>
    </row>
    <row r="68" spans="33:33" ht="15" customHeight="1" x14ac:dyDescent="0.25">
      <c r="AG68" s="162"/>
    </row>
    <row r="69" spans="33:33" ht="15" customHeight="1" x14ac:dyDescent="0.25">
      <c r="AG69" s="162"/>
    </row>
    <row r="70" spans="33:33" ht="15" customHeight="1" x14ac:dyDescent="0.25">
      <c r="AG70" s="162"/>
    </row>
    <row r="71" spans="33:33" ht="15" customHeight="1" x14ac:dyDescent="0.25">
      <c r="AG71" s="162"/>
    </row>
    <row r="72" spans="33:33" ht="15" customHeight="1" x14ac:dyDescent="0.25">
      <c r="AG72" s="162"/>
    </row>
    <row r="73" spans="33:33" ht="15" customHeight="1" x14ac:dyDescent="0.25">
      <c r="AG73" s="162"/>
    </row>
    <row r="74" spans="33:33" ht="15" customHeight="1" x14ac:dyDescent="0.25">
      <c r="AG74" s="162"/>
    </row>
    <row r="75" spans="33:33" ht="15" customHeight="1" x14ac:dyDescent="0.25">
      <c r="AG75" s="162"/>
    </row>
    <row r="76" spans="33:33" ht="15" customHeight="1" x14ac:dyDescent="0.25">
      <c r="AG76" s="162"/>
    </row>
    <row r="77" spans="33:33" ht="15" customHeight="1" x14ac:dyDescent="0.25">
      <c r="AG77" s="162"/>
    </row>
    <row r="78" spans="33:33" ht="15" customHeight="1" x14ac:dyDescent="0.25">
      <c r="AG78" s="162"/>
    </row>
    <row r="79" spans="33:33" ht="15" customHeight="1" x14ac:dyDescent="0.25">
      <c r="AG79" s="162"/>
    </row>
    <row r="80" spans="33:33" ht="15" customHeight="1" x14ac:dyDescent="0.25">
      <c r="AG80" s="162"/>
    </row>
    <row r="81" spans="33:33" ht="15" customHeight="1" x14ac:dyDescent="0.25">
      <c r="AG81" s="162"/>
    </row>
    <row r="82" spans="33:33" ht="15" customHeight="1" x14ac:dyDescent="0.25">
      <c r="AG82" s="162"/>
    </row>
    <row r="83" spans="33:33" ht="15" customHeight="1" x14ac:dyDescent="0.25">
      <c r="AG83" s="162"/>
    </row>
    <row r="84" spans="33:33" ht="15" customHeight="1" x14ac:dyDescent="0.25">
      <c r="AG84" s="162"/>
    </row>
    <row r="85" spans="33:33" ht="15" customHeight="1" x14ac:dyDescent="0.25">
      <c r="AG85" s="162"/>
    </row>
    <row r="86" spans="33:33" ht="15" customHeight="1" x14ac:dyDescent="0.25">
      <c r="AG86" s="162"/>
    </row>
    <row r="87" spans="33:33" ht="15" customHeight="1" x14ac:dyDescent="0.25">
      <c r="AG87" s="162"/>
    </row>
    <row r="88" spans="33:33" ht="15" customHeight="1" x14ac:dyDescent="0.25">
      <c r="AG88" s="162"/>
    </row>
    <row r="89" spans="33:33" ht="15" customHeight="1" x14ac:dyDescent="0.25">
      <c r="AG89" s="162"/>
    </row>
    <row r="90" spans="33:33" ht="15" customHeight="1" x14ac:dyDescent="0.25">
      <c r="AG90" s="162"/>
    </row>
    <row r="91" spans="33:33" ht="15" customHeight="1" x14ac:dyDescent="0.25">
      <c r="AG91" s="162"/>
    </row>
    <row r="92" spans="33:33" ht="15" customHeight="1" x14ac:dyDescent="0.25">
      <c r="AG92" s="162"/>
    </row>
    <row r="93" spans="33:33" ht="15" customHeight="1" x14ac:dyDescent="0.25">
      <c r="AG93" s="162"/>
    </row>
    <row r="94" spans="33:33" ht="15" customHeight="1" x14ac:dyDescent="0.25">
      <c r="AG94" s="162"/>
    </row>
    <row r="95" spans="33:33" ht="15" customHeight="1" x14ac:dyDescent="0.25">
      <c r="AG95" s="162"/>
    </row>
    <row r="96" spans="33:33" ht="15" customHeight="1" x14ac:dyDescent="0.25">
      <c r="AG96" s="162"/>
    </row>
    <row r="97" spans="33:33" ht="15" customHeight="1" x14ac:dyDescent="0.25">
      <c r="AG97" s="162"/>
    </row>
    <row r="98" spans="33:33" ht="15" customHeight="1" x14ac:dyDescent="0.25">
      <c r="AG98" s="162"/>
    </row>
    <row r="99" spans="33:33" ht="15" customHeight="1" x14ac:dyDescent="0.25">
      <c r="AG99" s="162"/>
    </row>
    <row r="100" spans="33:33" ht="15" customHeight="1" x14ac:dyDescent="0.25">
      <c r="AG100" s="162"/>
    </row>
    <row r="101" spans="33:33" ht="15" customHeight="1" x14ac:dyDescent="0.25">
      <c r="AG101" s="162"/>
    </row>
    <row r="102" spans="33:33" ht="15" customHeight="1" x14ac:dyDescent="0.25">
      <c r="AG102" s="162"/>
    </row>
    <row r="103" spans="33:33" ht="15" customHeight="1" x14ac:dyDescent="0.25">
      <c r="AG103" s="162"/>
    </row>
    <row r="104" spans="33:33" ht="15" customHeight="1" x14ac:dyDescent="0.25">
      <c r="AG104" s="162"/>
    </row>
    <row r="105" spans="33:33" ht="15" customHeight="1" x14ac:dyDescent="0.25">
      <c r="AG105" s="162"/>
    </row>
    <row r="106" spans="33:33" ht="15" customHeight="1" x14ac:dyDescent="0.25">
      <c r="AG106" s="162"/>
    </row>
    <row r="107" spans="33:33" ht="15" customHeight="1" x14ac:dyDescent="0.25">
      <c r="AG107" s="162"/>
    </row>
    <row r="108" spans="33:33" ht="15" customHeight="1" x14ac:dyDescent="0.25">
      <c r="AG108" s="162"/>
    </row>
    <row r="109" spans="33:33" ht="15" customHeight="1" x14ac:dyDescent="0.25">
      <c r="AG109" s="162"/>
    </row>
    <row r="110" spans="33:33" ht="15" customHeight="1" x14ac:dyDescent="0.25">
      <c r="AG110" s="162"/>
    </row>
    <row r="111" spans="33:33" ht="15" customHeight="1" x14ac:dyDescent="0.25">
      <c r="AG111" s="162"/>
    </row>
    <row r="112" spans="33:33" ht="15" customHeight="1" x14ac:dyDescent="0.25">
      <c r="AG112" s="162"/>
    </row>
    <row r="113" spans="33:33" ht="15" customHeight="1" x14ac:dyDescent="0.25">
      <c r="AG113" s="162"/>
    </row>
    <row r="114" spans="33:33" ht="15" customHeight="1" x14ac:dyDescent="0.25">
      <c r="AG114" s="162"/>
    </row>
    <row r="115" spans="33:33" ht="15" customHeight="1" x14ac:dyDescent="0.25">
      <c r="AG115" s="162"/>
    </row>
    <row r="116" spans="33:33" ht="15" customHeight="1" x14ac:dyDescent="0.25">
      <c r="AG116" s="162"/>
    </row>
    <row r="117" spans="33:33" ht="15" customHeight="1" x14ac:dyDescent="0.25">
      <c r="AG117" s="162"/>
    </row>
    <row r="118" spans="33:33" ht="15" customHeight="1" x14ac:dyDescent="0.25">
      <c r="AG118" s="162"/>
    </row>
    <row r="119" spans="33:33" ht="15" customHeight="1" x14ac:dyDescent="0.25">
      <c r="AG119" s="162"/>
    </row>
    <row r="120" spans="33:33" ht="15" customHeight="1" x14ac:dyDescent="0.25">
      <c r="AG120" s="162"/>
    </row>
    <row r="121" spans="33:33" ht="15" customHeight="1" x14ac:dyDescent="0.25">
      <c r="AG121" s="162"/>
    </row>
    <row r="122" spans="33:33" ht="15" customHeight="1" x14ac:dyDescent="0.25">
      <c r="AG122" s="162"/>
    </row>
    <row r="123" spans="33:33" ht="15" customHeight="1" x14ac:dyDescent="0.25">
      <c r="AG123" s="162"/>
    </row>
    <row r="124" spans="33:33" ht="15" customHeight="1" x14ac:dyDescent="0.25">
      <c r="AG124" s="162"/>
    </row>
    <row r="125" spans="33:33" ht="15" customHeight="1" x14ac:dyDescent="0.25">
      <c r="AG125" s="162"/>
    </row>
    <row r="126" spans="33:33" ht="15" customHeight="1" x14ac:dyDescent="0.25">
      <c r="AG126" s="162"/>
    </row>
    <row r="127" spans="33:33" ht="15" customHeight="1" x14ac:dyDescent="0.25">
      <c r="AG127" s="162"/>
    </row>
    <row r="128" spans="33:33" ht="15" customHeight="1" x14ac:dyDescent="0.25">
      <c r="AG128" s="162"/>
    </row>
    <row r="129" spans="33:33" ht="15" customHeight="1" x14ac:dyDescent="0.25">
      <c r="AG129" s="162"/>
    </row>
    <row r="130" spans="33:33" ht="15" customHeight="1" x14ac:dyDescent="0.25">
      <c r="AG130" s="162"/>
    </row>
    <row r="131" spans="33:33" ht="15" customHeight="1" x14ac:dyDescent="0.25">
      <c r="AG131" s="162"/>
    </row>
    <row r="132" spans="33:33" ht="15" customHeight="1" x14ac:dyDescent="0.25">
      <c r="AG132" s="162"/>
    </row>
    <row r="133" spans="33:33" ht="15" customHeight="1" x14ac:dyDescent="0.25">
      <c r="AG133" s="162"/>
    </row>
    <row r="134" spans="33:33" ht="15" customHeight="1" x14ac:dyDescent="0.25">
      <c r="AG134" s="162"/>
    </row>
    <row r="135" spans="33:33" ht="15" customHeight="1" x14ac:dyDescent="0.25">
      <c r="AG135" s="162"/>
    </row>
    <row r="136" spans="33:33" ht="15" customHeight="1" x14ac:dyDescent="0.25">
      <c r="AG136" s="162"/>
    </row>
    <row r="137" spans="33:33" ht="15" customHeight="1" x14ac:dyDescent="0.25">
      <c r="AG137" s="162"/>
    </row>
    <row r="138" spans="33:33" ht="15" customHeight="1" x14ac:dyDescent="0.25">
      <c r="AG138" s="162"/>
    </row>
    <row r="139" spans="33:33" ht="15" customHeight="1" x14ac:dyDescent="0.25">
      <c r="AG139" s="162"/>
    </row>
    <row r="140" spans="33:33" ht="15" customHeight="1" x14ac:dyDescent="0.25">
      <c r="AG140" s="162"/>
    </row>
    <row r="141" spans="33:33" ht="15" customHeight="1" x14ac:dyDescent="0.25">
      <c r="AG141" s="162"/>
    </row>
    <row r="142" spans="33:33" ht="15" customHeight="1" x14ac:dyDescent="0.25">
      <c r="AG142" s="162"/>
    </row>
    <row r="143" spans="33:33" ht="15" customHeight="1" x14ac:dyDescent="0.25">
      <c r="AG143" s="162"/>
    </row>
    <row r="144" spans="33:33" ht="15" customHeight="1" x14ac:dyDescent="0.25">
      <c r="AG144" s="162"/>
    </row>
    <row r="145" spans="33:33" ht="15" customHeight="1" x14ac:dyDescent="0.25">
      <c r="AG145" s="162"/>
    </row>
    <row r="146" spans="33:33" ht="15" customHeight="1" x14ac:dyDescent="0.25">
      <c r="AG146" s="162"/>
    </row>
    <row r="147" spans="33:33" ht="15" customHeight="1" x14ac:dyDescent="0.25">
      <c r="AG147" s="162"/>
    </row>
    <row r="148" spans="33:33" ht="15" customHeight="1" x14ac:dyDescent="0.25">
      <c r="AG148" s="162"/>
    </row>
    <row r="149" spans="33:33" ht="15" customHeight="1" x14ac:dyDescent="0.25">
      <c r="AG149" s="162"/>
    </row>
    <row r="150" spans="33:33" ht="15" customHeight="1" x14ac:dyDescent="0.25">
      <c r="AG150" s="162"/>
    </row>
    <row r="151" spans="33:33" ht="15" customHeight="1" x14ac:dyDescent="0.25">
      <c r="AG151" s="162"/>
    </row>
    <row r="152" spans="33:33" ht="15" customHeight="1" x14ac:dyDescent="0.25">
      <c r="AG152" s="162"/>
    </row>
    <row r="153" spans="33:33" ht="15" customHeight="1" x14ac:dyDescent="0.25">
      <c r="AG153" s="162"/>
    </row>
    <row r="154" spans="33:33" ht="15" customHeight="1" x14ac:dyDescent="0.25">
      <c r="AG154" s="162"/>
    </row>
    <row r="155" spans="33:33" ht="15" customHeight="1" x14ac:dyDescent="0.25">
      <c r="AG155" s="162"/>
    </row>
    <row r="156" spans="33:33" ht="15" customHeight="1" x14ac:dyDescent="0.25">
      <c r="AG156" s="162"/>
    </row>
    <row r="157" spans="33:33" ht="15" customHeight="1" x14ac:dyDescent="0.25">
      <c r="AG157" s="162"/>
    </row>
    <row r="158" spans="33:33" ht="15" customHeight="1" x14ac:dyDescent="0.25">
      <c r="AG158" s="162"/>
    </row>
    <row r="159" spans="33:33" ht="15" customHeight="1" x14ac:dyDescent="0.25">
      <c r="AG159" s="162"/>
    </row>
    <row r="160" spans="33:33" ht="15" customHeight="1" x14ac:dyDescent="0.25">
      <c r="AG160" s="162"/>
    </row>
    <row r="161" spans="33:33" ht="15" customHeight="1" x14ac:dyDescent="0.25">
      <c r="AG161" s="162"/>
    </row>
    <row r="162" spans="33:33" ht="15" customHeight="1" x14ac:dyDescent="0.25">
      <c r="AG162" s="162"/>
    </row>
    <row r="163" spans="33:33" ht="15" customHeight="1" x14ac:dyDescent="0.25">
      <c r="AG163" s="162"/>
    </row>
    <row r="164" spans="33:33" ht="15" customHeight="1" x14ac:dyDescent="0.25">
      <c r="AG164" s="162"/>
    </row>
    <row r="165" spans="33:33" ht="15" customHeight="1" x14ac:dyDescent="0.25">
      <c r="AG165" s="162"/>
    </row>
    <row r="166" spans="33:33" ht="15" customHeight="1" x14ac:dyDescent="0.25">
      <c r="AG166" s="162"/>
    </row>
    <row r="167" spans="33:33" ht="15" customHeight="1" x14ac:dyDescent="0.25">
      <c r="AG167" s="162"/>
    </row>
    <row r="168" spans="33:33" ht="15" customHeight="1" x14ac:dyDescent="0.25">
      <c r="AG168" s="162"/>
    </row>
    <row r="169" spans="33:33" ht="15" customHeight="1" x14ac:dyDescent="0.25">
      <c r="AG169" s="162"/>
    </row>
    <row r="170" spans="33:33" ht="15" customHeight="1" x14ac:dyDescent="0.25">
      <c r="AG170" s="162"/>
    </row>
  </sheetData>
  <sheetProtection algorithmName="SHA-512" hashValue="0paFGv2nQQD+UVmnVUyIRKf01DzfJRaoF+ptbXZRoFfboeqLlm5Ds892BseoOoSDGXwybTefHQUCifzfo3j8vQ==" saltValue="iAdkxh0aUoepQzDLip3HXw==" spinCount="100000" sheet="1" objects="1" scenarios="1" selectLockedCells="1" selectUnlockedCells="1"/>
  <dataConsolidate link="1"/>
  <pageMargins left="0.7" right="0.7" top="0.75" bottom="0.75" header="0.3" footer="0.3"/>
  <pageSetup paperSize="11" orientation="portrait" r:id="rId1"/>
  <drawing r:id="rId2"/>
  <legacyDrawing r:id="rId3"/>
  <controls>
    <mc:AlternateContent xmlns:mc="http://schemas.openxmlformats.org/markup-compatibility/2006">
      <mc:Choice Requires="x14">
        <control shapeId="114459" r:id="rId4" name="Label21">
          <controlPr defaultSize="0" autoLine="0" r:id="rId5">
            <anchor moveWithCells="1">
              <from>
                <xdr:col>10</xdr:col>
                <xdr:colOff>133350</xdr:colOff>
                <xdr:row>26</xdr:row>
                <xdr:rowOff>123825</xdr:rowOff>
              </from>
              <to>
                <xdr:col>10</xdr:col>
                <xdr:colOff>180975</xdr:colOff>
                <xdr:row>26</xdr:row>
                <xdr:rowOff>171450</xdr:rowOff>
              </to>
            </anchor>
          </controlPr>
        </control>
      </mc:Choice>
      <mc:Fallback>
        <control shapeId="114459" r:id="rId4" name="Label21"/>
      </mc:Fallback>
    </mc:AlternateContent>
    <mc:AlternateContent xmlns:mc="http://schemas.openxmlformats.org/markup-compatibility/2006">
      <mc:Choice Requires="x14">
        <control shapeId="114457" r:id="rId6" name="Label20">
          <controlPr defaultSize="0" autoLine="0" autoPict="0" r:id="rId7">
            <anchor moveWithCells="1">
              <from>
                <xdr:col>19</xdr:col>
                <xdr:colOff>9525</xdr:colOff>
                <xdr:row>4</xdr:row>
                <xdr:rowOff>114300</xdr:rowOff>
              </from>
              <to>
                <xdr:col>22</xdr:col>
                <xdr:colOff>438150</xdr:colOff>
                <xdr:row>8</xdr:row>
                <xdr:rowOff>28575</xdr:rowOff>
              </to>
            </anchor>
          </controlPr>
        </control>
      </mc:Choice>
      <mc:Fallback>
        <control shapeId="114457" r:id="rId6" name="Label20"/>
      </mc:Fallback>
    </mc:AlternateContent>
    <mc:AlternateContent xmlns:mc="http://schemas.openxmlformats.org/markup-compatibility/2006">
      <mc:Choice Requires="x14">
        <control shapeId="114452" r:id="rId8" name="Label19">
          <controlPr defaultSize="0" autoLine="0" r:id="rId9">
            <anchor moveWithCells="1">
              <from>
                <xdr:col>2</xdr:col>
                <xdr:colOff>828675</xdr:colOff>
                <xdr:row>4</xdr:row>
                <xdr:rowOff>76200</xdr:rowOff>
              </from>
              <to>
                <xdr:col>3</xdr:col>
                <xdr:colOff>152400</xdr:colOff>
                <xdr:row>5</xdr:row>
                <xdr:rowOff>95250</xdr:rowOff>
              </to>
            </anchor>
          </controlPr>
        </control>
      </mc:Choice>
      <mc:Fallback>
        <control shapeId="114452" r:id="rId8" name="Label19"/>
      </mc:Fallback>
    </mc:AlternateContent>
    <mc:AlternateContent xmlns:mc="http://schemas.openxmlformats.org/markup-compatibility/2006">
      <mc:Choice Requires="x14">
        <control shapeId="114451" r:id="rId10" name="Label18">
          <controlPr defaultSize="0" autoLine="0" r:id="rId11">
            <anchor moveWithCells="1">
              <from>
                <xdr:col>2</xdr:col>
                <xdr:colOff>495300</xdr:colOff>
                <xdr:row>4</xdr:row>
                <xdr:rowOff>76200</xdr:rowOff>
              </from>
              <to>
                <xdr:col>2</xdr:col>
                <xdr:colOff>733425</xdr:colOff>
                <xdr:row>5</xdr:row>
                <xdr:rowOff>95250</xdr:rowOff>
              </to>
            </anchor>
          </controlPr>
        </control>
      </mc:Choice>
      <mc:Fallback>
        <control shapeId="114451" r:id="rId10" name="Label18"/>
      </mc:Fallback>
    </mc:AlternateContent>
    <mc:AlternateContent xmlns:mc="http://schemas.openxmlformats.org/markup-compatibility/2006">
      <mc:Choice Requires="x14">
        <control shapeId="114450" r:id="rId12" name="Label17">
          <controlPr defaultSize="0" autoLine="0" r:id="rId11">
            <anchor moveWithCells="1">
              <from>
                <xdr:col>2</xdr:col>
                <xdr:colOff>161925</xdr:colOff>
                <xdr:row>4</xdr:row>
                <xdr:rowOff>76200</xdr:rowOff>
              </from>
              <to>
                <xdr:col>2</xdr:col>
                <xdr:colOff>400050</xdr:colOff>
                <xdr:row>5</xdr:row>
                <xdr:rowOff>95250</xdr:rowOff>
              </to>
            </anchor>
          </controlPr>
        </control>
      </mc:Choice>
      <mc:Fallback>
        <control shapeId="114450" r:id="rId12" name="Label17"/>
      </mc:Fallback>
    </mc:AlternateContent>
    <mc:AlternateContent xmlns:mc="http://schemas.openxmlformats.org/markup-compatibility/2006">
      <mc:Choice Requires="x14">
        <control shapeId="114449" r:id="rId13" name="TextBox16">
          <controlPr defaultSize="0" autoLine="0" r:id="rId14">
            <anchor moveWithCells="1">
              <from>
                <xdr:col>2</xdr:col>
                <xdr:colOff>9525</xdr:colOff>
                <xdr:row>31</xdr:row>
                <xdr:rowOff>9525</xdr:rowOff>
              </from>
              <to>
                <xdr:col>7</xdr:col>
                <xdr:colOff>95250</xdr:colOff>
                <xdr:row>32</xdr:row>
                <xdr:rowOff>28575</xdr:rowOff>
              </to>
            </anchor>
          </controlPr>
        </control>
      </mc:Choice>
      <mc:Fallback>
        <control shapeId="114449" r:id="rId13" name="TextBox16"/>
      </mc:Fallback>
    </mc:AlternateContent>
    <mc:AlternateContent xmlns:mc="http://schemas.openxmlformats.org/markup-compatibility/2006">
      <mc:Choice Requires="x14">
        <control shapeId="114442" r:id="rId15" name="Label16">
          <controlPr defaultSize="0" autoLine="0" autoPict="0" r:id="rId16">
            <anchor moveWithCells="1">
              <from>
                <xdr:col>18</xdr:col>
                <xdr:colOff>457200</xdr:colOff>
                <xdr:row>10</xdr:row>
                <xdr:rowOff>142875</xdr:rowOff>
              </from>
              <to>
                <xdr:col>24</xdr:col>
                <xdr:colOff>28575</xdr:colOff>
                <xdr:row>12</xdr:row>
                <xdr:rowOff>9525</xdr:rowOff>
              </to>
            </anchor>
          </controlPr>
        </control>
      </mc:Choice>
      <mc:Fallback>
        <control shapeId="114442" r:id="rId15" name="Label16"/>
      </mc:Fallback>
    </mc:AlternateContent>
    <mc:AlternateContent xmlns:mc="http://schemas.openxmlformats.org/markup-compatibility/2006">
      <mc:Choice Requires="x14">
        <control shapeId="114441" r:id="rId17" name="Label15">
          <controlPr defaultSize="0" autoLine="0" autoPict="0" r:id="rId18">
            <anchor moveWithCells="1">
              <from>
                <xdr:col>18</xdr:col>
                <xdr:colOff>257175</xdr:colOff>
                <xdr:row>9</xdr:row>
                <xdr:rowOff>66675</xdr:rowOff>
              </from>
              <to>
                <xdr:col>24</xdr:col>
                <xdr:colOff>38100</xdr:colOff>
                <xdr:row>10</xdr:row>
                <xdr:rowOff>142875</xdr:rowOff>
              </to>
            </anchor>
          </controlPr>
        </control>
      </mc:Choice>
      <mc:Fallback>
        <control shapeId="114441" r:id="rId17" name="Label15"/>
      </mc:Fallback>
    </mc:AlternateContent>
    <mc:AlternateContent xmlns:mc="http://schemas.openxmlformats.org/markup-compatibility/2006">
      <mc:Choice Requires="x14">
        <control shapeId="114440" r:id="rId19" name="Label14">
          <controlPr defaultSize="0" autoLine="0" autoPict="0" r:id="rId20">
            <anchor moveWithCells="1">
              <from>
                <xdr:col>18</xdr:col>
                <xdr:colOff>19050</xdr:colOff>
                <xdr:row>8</xdr:row>
                <xdr:rowOff>0</xdr:rowOff>
              </from>
              <to>
                <xdr:col>23</xdr:col>
                <xdr:colOff>400050</xdr:colOff>
                <xdr:row>9</xdr:row>
                <xdr:rowOff>66675</xdr:rowOff>
              </to>
            </anchor>
          </controlPr>
        </control>
      </mc:Choice>
      <mc:Fallback>
        <control shapeId="114440" r:id="rId19" name="Label14"/>
      </mc:Fallback>
    </mc:AlternateContent>
    <mc:AlternateContent xmlns:mc="http://schemas.openxmlformats.org/markup-compatibility/2006">
      <mc:Choice Requires="x14">
        <control shapeId="114187" r:id="rId21" name="Label13">
          <controlPr defaultSize="0" autoLine="0" r:id="rId22">
            <anchor moveWithCells="1">
              <from>
                <xdr:col>11</xdr:col>
                <xdr:colOff>476250</xdr:colOff>
                <xdr:row>18</xdr:row>
                <xdr:rowOff>9525</xdr:rowOff>
              </from>
              <to>
                <xdr:col>14</xdr:col>
                <xdr:colOff>342900</xdr:colOff>
                <xdr:row>20</xdr:row>
                <xdr:rowOff>19050</xdr:rowOff>
              </to>
            </anchor>
          </controlPr>
        </control>
      </mc:Choice>
      <mc:Fallback>
        <control shapeId="114187" r:id="rId21" name="Label13"/>
      </mc:Fallback>
    </mc:AlternateContent>
    <mc:AlternateContent xmlns:mc="http://schemas.openxmlformats.org/markup-compatibility/2006">
      <mc:Choice Requires="x14">
        <control shapeId="114186" r:id="rId23" name="Label12">
          <controlPr defaultSize="0" autoLine="0" r:id="rId22">
            <anchor moveWithCells="1">
              <from>
                <xdr:col>11</xdr:col>
                <xdr:colOff>476250</xdr:colOff>
                <xdr:row>15</xdr:row>
                <xdr:rowOff>104775</xdr:rowOff>
              </from>
              <to>
                <xdr:col>14</xdr:col>
                <xdr:colOff>342900</xdr:colOff>
                <xdr:row>17</xdr:row>
                <xdr:rowOff>114300</xdr:rowOff>
              </to>
            </anchor>
          </controlPr>
        </control>
      </mc:Choice>
      <mc:Fallback>
        <control shapeId="114186" r:id="rId23" name="Label12"/>
      </mc:Fallback>
    </mc:AlternateContent>
    <mc:AlternateContent xmlns:mc="http://schemas.openxmlformats.org/markup-compatibility/2006">
      <mc:Choice Requires="x14">
        <control shapeId="114185" r:id="rId24" name="Label11">
          <controlPr defaultSize="0" autoLine="0" r:id="rId25">
            <anchor moveWithCells="1">
              <from>
                <xdr:col>6</xdr:col>
                <xdr:colOff>485775</xdr:colOff>
                <xdr:row>18</xdr:row>
                <xdr:rowOff>9525</xdr:rowOff>
              </from>
              <to>
                <xdr:col>10</xdr:col>
                <xdr:colOff>66675</xdr:colOff>
                <xdr:row>20</xdr:row>
                <xdr:rowOff>19050</xdr:rowOff>
              </to>
            </anchor>
          </controlPr>
        </control>
      </mc:Choice>
      <mc:Fallback>
        <control shapeId="114185" r:id="rId24" name="Label11"/>
      </mc:Fallback>
    </mc:AlternateContent>
    <mc:AlternateContent xmlns:mc="http://schemas.openxmlformats.org/markup-compatibility/2006">
      <mc:Choice Requires="x14">
        <control shapeId="114184" r:id="rId26" name="Label10">
          <controlPr defaultSize="0" autoLine="0" r:id="rId25">
            <anchor moveWithCells="1">
              <from>
                <xdr:col>6</xdr:col>
                <xdr:colOff>485775</xdr:colOff>
                <xdr:row>15</xdr:row>
                <xdr:rowOff>104775</xdr:rowOff>
              </from>
              <to>
                <xdr:col>10</xdr:col>
                <xdr:colOff>66675</xdr:colOff>
                <xdr:row>17</xdr:row>
                <xdr:rowOff>114300</xdr:rowOff>
              </to>
            </anchor>
          </controlPr>
        </control>
      </mc:Choice>
      <mc:Fallback>
        <control shapeId="114184" r:id="rId26" name="Label10"/>
      </mc:Fallback>
    </mc:AlternateContent>
    <mc:AlternateContent xmlns:mc="http://schemas.openxmlformats.org/markup-compatibility/2006">
      <mc:Choice Requires="x14">
        <control shapeId="114183" r:id="rId27" name="Label9">
          <controlPr defaultSize="0" autoLine="0" autoPict="0" r:id="rId28">
            <anchor moveWithCells="1">
              <from>
                <xdr:col>3</xdr:col>
                <xdr:colOff>390525</xdr:colOff>
                <xdr:row>13</xdr:row>
                <xdr:rowOff>123825</xdr:rowOff>
              </from>
              <to>
                <xdr:col>14</xdr:col>
                <xdr:colOff>276225</xdr:colOff>
                <xdr:row>15</xdr:row>
                <xdr:rowOff>57150</xdr:rowOff>
              </to>
            </anchor>
          </controlPr>
        </control>
      </mc:Choice>
      <mc:Fallback>
        <control shapeId="114183" r:id="rId27" name="Label9"/>
      </mc:Fallback>
    </mc:AlternateContent>
    <mc:AlternateContent xmlns:mc="http://schemas.openxmlformats.org/markup-compatibility/2006">
      <mc:Choice Requires="x14">
        <control shapeId="114176" r:id="rId29" name="Label8">
          <controlPr defaultSize="0" autoLine="0" r:id="rId30">
            <anchor moveWithCells="1">
              <from>
                <xdr:col>3</xdr:col>
                <xdr:colOff>161925</xdr:colOff>
                <xdr:row>17</xdr:row>
                <xdr:rowOff>19050</xdr:rowOff>
              </from>
              <to>
                <xdr:col>4</xdr:col>
                <xdr:colOff>38100</xdr:colOff>
                <xdr:row>18</xdr:row>
                <xdr:rowOff>152400</xdr:rowOff>
              </to>
            </anchor>
          </controlPr>
        </control>
      </mc:Choice>
      <mc:Fallback>
        <control shapeId="114176" r:id="rId29" name="Label8"/>
      </mc:Fallback>
    </mc:AlternateContent>
    <mc:AlternateContent xmlns:mc="http://schemas.openxmlformats.org/markup-compatibility/2006">
      <mc:Choice Requires="x14">
        <control shapeId="114175" r:id="rId31" name="Label7">
          <controlPr defaultSize="0" autoLine="0" r:id="rId32">
            <anchor moveWithCells="1">
              <from>
                <xdr:col>2</xdr:col>
                <xdr:colOff>0</xdr:colOff>
                <xdr:row>14</xdr:row>
                <xdr:rowOff>66675</xdr:rowOff>
              </from>
              <to>
                <xdr:col>2</xdr:col>
                <xdr:colOff>866775</xdr:colOff>
                <xdr:row>18</xdr:row>
                <xdr:rowOff>180975</xdr:rowOff>
              </to>
            </anchor>
          </controlPr>
        </control>
      </mc:Choice>
      <mc:Fallback>
        <control shapeId="114175" r:id="rId31" name="Label7"/>
      </mc:Fallback>
    </mc:AlternateContent>
    <mc:AlternateContent xmlns:mc="http://schemas.openxmlformats.org/markup-compatibility/2006">
      <mc:Choice Requires="x14">
        <control shapeId="114138" r:id="rId33" name="Label5">
          <controlPr defaultSize="0" autoLine="0" autoPict="0" r:id="rId34">
            <anchor moveWithCells="1">
              <from>
                <xdr:col>9</xdr:col>
                <xdr:colOff>257175</xdr:colOff>
                <xdr:row>8</xdr:row>
                <xdr:rowOff>190500</xdr:rowOff>
              </from>
              <to>
                <xdr:col>13</xdr:col>
                <xdr:colOff>542925</xdr:colOff>
                <xdr:row>11</xdr:row>
                <xdr:rowOff>28575</xdr:rowOff>
              </to>
            </anchor>
          </controlPr>
        </control>
      </mc:Choice>
      <mc:Fallback>
        <control shapeId="114138" r:id="rId33" name="Label5"/>
      </mc:Fallback>
    </mc:AlternateContent>
    <mc:AlternateContent xmlns:mc="http://schemas.openxmlformats.org/markup-compatibility/2006">
      <mc:Choice Requires="x14">
        <control shapeId="114137" r:id="rId35" name="Label4">
          <controlPr defaultSize="0" autoLine="0" autoPict="0" r:id="rId36">
            <anchor moveWithCells="1">
              <from>
                <xdr:col>4</xdr:col>
                <xdr:colOff>200025</xdr:colOff>
                <xdr:row>8</xdr:row>
                <xdr:rowOff>104775</xdr:rowOff>
              </from>
              <to>
                <xdr:col>8</xdr:col>
                <xdr:colOff>523875</xdr:colOff>
                <xdr:row>10</xdr:row>
                <xdr:rowOff>133350</xdr:rowOff>
              </to>
            </anchor>
          </controlPr>
        </control>
      </mc:Choice>
      <mc:Fallback>
        <control shapeId="114137" r:id="rId35" name="Label4"/>
      </mc:Fallback>
    </mc:AlternateContent>
    <mc:AlternateContent xmlns:mc="http://schemas.openxmlformats.org/markup-compatibility/2006">
      <mc:Choice Requires="x14">
        <control shapeId="114136" r:id="rId37" name="Label3">
          <controlPr defaultSize="0" autoLine="0" autoPict="0" r:id="rId38">
            <anchor moveWithCells="1">
              <from>
                <xdr:col>9</xdr:col>
                <xdr:colOff>257175</xdr:colOff>
                <xdr:row>6</xdr:row>
                <xdr:rowOff>0</xdr:rowOff>
              </from>
              <to>
                <xdr:col>14</xdr:col>
                <xdr:colOff>47625</xdr:colOff>
                <xdr:row>8</xdr:row>
                <xdr:rowOff>161925</xdr:rowOff>
              </to>
            </anchor>
          </controlPr>
        </control>
      </mc:Choice>
      <mc:Fallback>
        <control shapeId="114136" r:id="rId37" name="Label3"/>
      </mc:Fallback>
    </mc:AlternateContent>
    <mc:AlternateContent xmlns:mc="http://schemas.openxmlformats.org/markup-compatibility/2006">
      <mc:Choice Requires="x14">
        <control shapeId="45289" r:id="rId39" name="TextBox10">
          <controlPr defaultSize="0" autoLine="0" r:id="rId40">
            <anchor moveWithCells="1">
              <from>
                <xdr:col>12</xdr:col>
                <xdr:colOff>428625</xdr:colOff>
                <xdr:row>31</xdr:row>
                <xdr:rowOff>0</xdr:rowOff>
              </from>
              <to>
                <xdr:col>13</xdr:col>
                <xdr:colOff>581025</xdr:colOff>
                <xdr:row>32</xdr:row>
                <xdr:rowOff>38100</xdr:rowOff>
              </to>
            </anchor>
          </controlPr>
        </control>
      </mc:Choice>
      <mc:Fallback>
        <control shapeId="45289" r:id="rId39" name="TextBox10"/>
      </mc:Fallback>
    </mc:AlternateContent>
    <mc:AlternateContent xmlns:mc="http://schemas.openxmlformats.org/markup-compatibility/2006">
      <mc:Choice Requires="x14">
        <control shapeId="45288" r:id="rId41" name="TextBox9">
          <controlPr defaultSize="0" autoLine="0" r:id="rId42">
            <anchor moveWithCells="1">
              <from>
                <xdr:col>7</xdr:col>
                <xdr:colOff>561975</xdr:colOff>
                <xdr:row>35</xdr:row>
                <xdr:rowOff>28575</xdr:rowOff>
              </from>
              <to>
                <xdr:col>9</xdr:col>
                <xdr:colOff>104775</xdr:colOff>
                <xdr:row>36</xdr:row>
                <xdr:rowOff>66675</xdr:rowOff>
              </to>
            </anchor>
          </controlPr>
        </control>
      </mc:Choice>
      <mc:Fallback>
        <control shapeId="45288" r:id="rId41" name="TextBox9"/>
      </mc:Fallback>
    </mc:AlternateContent>
    <mc:AlternateContent xmlns:mc="http://schemas.openxmlformats.org/markup-compatibility/2006">
      <mc:Choice Requires="x14">
        <control shapeId="45287" r:id="rId43" name="TextBox8">
          <controlPr defaultSize="0" autoLine="0" r:id="rId44">
            <anchor moveWithCells="1">
              <from>
                <xdr:col>7</xdr:col>
                <xdr:colOff>561975</xdr:colOff>
                <xdr:row>27</xdr:row>
                <xdr:rowOff>180975</xdr:rowOff>
              </from>
              <to>
                <xdr:col>9</xdr:col>
                <xdr:colOff>104775</xdr:colOff>
                <xdr:row>29</xdr:row>
                <xdr:rowOff>19050</xdr:rowOff>
              </to>
            </anchor>
          </controlPr>
        </control>
      </mc:Choice>
      <mc:Fallback>
        <control shapeId="45287" r:id="rId43" name="TextBox8"/>
      </mc:Fallback>
    </mc:AlternateContent>
    <mc:AlternateContent xmlns:mc="http://schemas.openxmlformats.org/markup-compatibility/2006">
      <mc:Choice Requires="x14">
        <control shapeId="45286" r:id="rId45" name="TextBox7">
          <controlPr defaultSize="0" autoLine="0" r:id="rId46">
            <anchor moveWithCells="1">
              <from>
                <xdr:col>2</xdr:col>
                <xdr:colOff>895350</xdr:colOff>
                <xdr:row>35</xdr:row>
                <xdr:rowOff>28575</xdr:rowOff>
              </from>
              <to>
                <xdr:col>4</xdr:col>
                <xdr:colOff>142875</xdr:colOff>
                <xdr:row>36</xdr:row>
                <xdr:rowOff>66675</xdr:rowOff>
              </to>
            </anchor>
          </controlPr>
        </control>
      </mc:Choice>
      <mc:Fallback>
        <control shapeId="45286" r:id="rId45" name="TextBox7"/>
      </mc:Fallback>
    </mc:AlternateContent>
    <mc:AlternateContent xmlns:mc="http://schemas.openxmlformats.org/markup-compatibility/2006">
      <mc:Choice Requires="x14">
        <control shapeId="45285" r:id="rId47" name="TextBox6">
          <controlPr defaultSize="0" autoLine="0" r:id="rId48">
            <anchor moveWithCells="1">
              <from>
                <xdr:col>2</xdr:col>
                <xdr:colOff>895350</xdr:colOff>
                <xdr:row>27</xdr:row>
                <xdr:rowOff>171450</xdr:rowOff>
              </from>
              <to>
                <xdr:col>4</xdr:col>
                <xdr:colOff>142875</xdr:colOff>
                <xdr:row>29</xdr:row>
                <xdr:rowOff>9525</xdr:rowOff>
              </to>
            </anchor>
          </controlPr>
        </control>
      </mc:Choice>
      <mc:Fallback>
        <control shapeId="45285" r:id="rId47" name="TextBox6"/>
      </mc:Fallback>
    </mc:AlternateContent>
    <mc:AlternateContent xmlns:mc="http://schemas.openxmlformats.org/markup-compatibility/2006">
      <mc:Choice Requires="x14">
        <control shapeId="35468" r:id="rId49" name="TextBox1">
          <controlPr defaultSize="0" autoFill="0" autoLine="0" r:id="rId50">
            <anchor moveWithCells="1">
              <from>
                <xdr:col>2</xdr:col>
                <xdr:colOff>276225</xdr:colOff>
                <xdr:row>27</xdr:row>
                <xdr:rowOff>152400</xdr:rowOff>
              </from>
              <to>
                <xdr:col>3</xdr:col>
                <xdr:colOff>0</xdr:colOff>
                <xdr:row>29</xdr:row>
                <xdr:rowOff>38100</xdr:rowOff>
              </to>
            </anchor>
          </controlPr>
        </control>
      </mc:Choice>
      <mc:Fallback>
        <control shapeId="35468" r:id="rId49" name="TextBox1"/>
      </mc:Fallback>
    </mc:AlternateContent>
    <mc:AlternateContent xmlns:mc="http://schemas.openxmlformats.org/markup-compatibility/2006">
      <mc:Choice Requires="x14">
        <control shapeId="35469" r:id="rId51" name="TextBox2">
          <controlPr defaultSize="0" autoFill="0" autoLine="0" r:id="rId52">
            <anchor moveWithCells="1">
              <from>
                <xdr:col>2</xdr:col>
                <xdr:colOff>276225</xdr:colOff>
                <xdr:row>35</xdr:row>
                <xdr:rowOff>0</xdr:rowOff>
              </from>
              <to>
                <xdr:col>3</xdr:col>
                <xdr:colOff>0</xdr:colOff>
                <xdr:row>36</xdr:row>
                <xdr:rowOff>85725</xdr:rowOff>
              </to>
            </anchor>
          </controlPr>
        </control>
      </mc:Choice>
      <mc:Fallback>
        <control shapeId="35469" r:id="rId51" name="TextBox2"/>
      </mc:Fallback>
    </mc:AlternateContent>
    <mc:AlternateContent xmlns:mc="http://schemas.openxmlformats.org/markup-compatibility/2006">
      <mc:Choice Requires="x14">
        <control shapeId="35470" r:id="rId53" name="TextBox3">
          <controlPr defaultSize="0" autoLine="0" r:id="rId54">
            <anchor moveWithCells="1">
              <from>
                <xdr:col>6</xdr:col>
                <xdr:colOff>561975</xdr:colOff>
                <xdr:row>27</xdr:row>
                <xdr:rowOff>152400</xdr:rowOff>
              </from>
              <to>
                <xdr:col>7</xdr:col>
                <xdr:colOff>581025</xdr:colOff>
                <xdr:row>29</xdr:row>
                <xdr:rowOff>38100</xdr:rowOff>
              </to>
            </anchor>
          </controlPr>
        </control>
      </mc:Choice>
      <mc:Fallback>
        <control shapeId="35470" r:id="rId53" name="TextBox3"/>
      </mc:Fallback>
    </mc:AlternateContent>
    <mc:AlternateContent xmlns:mc="http://schemas.openxmlformats.org/markup-compatibility/2006">
      <mc:Choice Requires="x14">
        <control shapeId="35471" r:id="rId55" name="TextBox4">
          <controlPr defaultSize="0" autoLine="0" r:id="rId56">
            <anchor moveWithCells="1">
              <from>
                <xdr:col>6</xdr:col>
                <xdr:colOff>561975</xdr:colOff>
                <xdr:row>35</xdr:row>
                <xdr:rowOff>0</xdr:rowOff>
              </from>
              <to>
                <xdr:col>7</xdr:col>
                <xdr:colOff>581025</xdr:colOff>
                <xdr:row>36</xdr:row>
                <xdr:rowOff>85725</xdr:rowOff>
              </to>
            </anchor>
          </controlPr>
        </control>
      </mc:Choice>
      <mc:Fallback>
        <control shapeId="35471" r:id="rId55" name="TextBox4"/>
      </mc:Fallback>
    </mc:AlternateContent>
    <mc:AlternateContent xmlns:mc="http://schemas.openxmlformats.org/markup-compatibility/2006">
      <mc:Choice Requires="x14">
        <control shapeId="35472" r:id="rId57" name="TextBox5">
          <controlPr defaultSize="0" autoLine="0" r:id="rId58">
            <anchor moveWithCells="1">
              <from>
                <xdr:col>11</xdr:col>
                <xdr:colOff>419100</xdr:colOff>
                <xdr:row>30</xdr:row>
                <xdr:rowOff>171450</xdr:rowOff>
              </from>
              <to>
                <xdr:col>12</xdr:col>
                <xdr:colOff>438150</xdr:colOff>
                <xdr:row>32</xdr:row>
                <xdr:rowOff>66675</xdr:rowOff>
              </to>
            </anchor>
          </controlPr>
        </control>
      </mc:Choice>
      <mc:Fallback>
        <control shapeId="35472" r:id="rId57" name="TextBox5"/>
      </mc:Fallback>
    </mc:AlternateContent>
    <mc:AlternateContent xmlns:mc="http://schemas.openxmlformats.org/markup-compatibility/2006">
      <mc:Choice Requires="x14">
        <control shapeId="113872" r:id="rId59" name="Label1">
          <controlPr defaultSize="0" autoLine="0" autoPict="0" r:id="rId60">
            <anchor moveWithCells="1">
              <from>
                <xdr:col>3</xdr:col>
                <xdr:colOff>371475</xdr:colOff>
                <xdr:row>4</xdr:row>
                <xdr:rowOff>38100</xdr:rowOff>
              </from>
              <to>
                <xdr:col>14</xdr:col>
                <xdr:colOff>66675</xdr:colOff>
                <xdr:row>5</xdr:row>
                <xdr:rowOff>142875</xdr:rowOff>
              </to>
            </anchor>
          </controlPr>
        </control>
      </mc:Choice>
      <mc:Fallback>
        <control shapeId="113872" r:id="rId59" name="Label1"/>
      </mc:Fallback>
    </mc:AlternateContent>
    <mc:AlternateContent xmlns:mc="http://schemas.openxmlformats.org/markup-compatibility/2006">
      <mc:Choice Requires="x14">
        <control shapeId="114107" r:id="rId61" name="Label2">
          <controlPr defaultSize="0" autoLine="0" autoPict="0" r:id="rId62">
            <anchor moveWithCells="1">
              <from>
                <xdr:col>3</xdr:col>
                <xdr:colOff>371475</xdr:colOff>
                <xdr:row>5</xdr:row>
                <xdr:rowOff>142875</xdr:rowOff>
              </from>
              <to>
                <xdr:col>9</xdr:col>
                <xdr:colOff>200025</xdr:colOff>
                <xdr:row>8</xdr:row>
                <xdr:rowOff>47625</xdr:rowOff>
              </to>
            </anchor>
          </controlPr>
        </control>
      </mc:Choice>
      <mc:Fallback>
        <control shapeId="114107" r:id="rId61" name="Label2"/>
      </mc:Fallback>
    </mc:AlternateContent>
    <mc:AlternateContent xmlns:mc="http://schemas.openxmlformats.org/markup-compatibility/2006">
      <mc:Choice Requires="x14">
        <control shapeId="114443" r:id="rId63" name="Label6">
          <controlPr defaultSize="0" autoLine="0" r:id="rId9">
            <anchor moveWithCells="1">
              <from>
                <xdr:col>1</xdr:col>
                <xdr:colOff>76200</xdr:colOff>
                <xdr:row>4</xdr:row>
                <xdr:rowOff>76200</xdr:rowOff>
              </from>
              <to>
                <xdr:col>2</xdr:col>
                <xdr:colOff>57150</xdr:colOff>
                <xdr:row>5</xdr:row>
                <xdr:rowOff>95250</xdr:rowOff>
              </to>
            </anchor>
          </controlPr>
        </control>
      </mc:Choice>
      <mc:Fallback>
        <control shapeId="114443" r:id="rId63" name="Label6"/>
      </mc:Fallback>
    </mc:AlternateContent>
    <mc:AlternateContent xmlns:mc="http://schemas.openxmlformats.org/markup-compatibility/2006">
      <mc:Choice Requires="x14">
        <control shapeId="114444" r:id="rId64" name="TextBox11">
          <controlPr defaultSize="0" autoLine="0" r:id="rId65">
            <anchor moveWithCells="1">
              <from>
                <xdr:col>3</xdr:col>
                <xdr:colOff>361950</xdr:colOff>
                <xdr:row>29</xdr:row>
                <xdr:rowOff>95250</xdr:rowOff>
              </from>
              <to>
                <xdr:col>6</xdr:col>
                <xdr:colOff>9525</xdr:colOff>
                <xdr:row>31</xdr:row>
                <xdr:rowOff>133350</xdr:rowOff>
              </to>
            </anchor>
          </controlPr>
        </control>
      </mc:Choice>
      <mc:Fallback>
        <control shapeId="114444" r:id="rId64" name="TextBox11"/>
      </mc:Fallback>
    </mc:AlternateContent>
    <mc:AlternateContent xmlns:mc="http://schemas.openxmlformats.org/markup-compatibility/2006">
      <mc:Choice Requires="x14">
        <control shapeId="114445" r:id="rId66" name="TextBox12">
          <controlPr defaultSize="0" autoLine="0" r:id="rId67">
            <anchor moveWithCells="1">
              <from>
                <xdr:col>3</xdr:col>
                <xdr:colOff>228600</xdr:colOff>
                <xdr:row>36</xdr:row>
                <xdr:rowOff>152400</xdr:rowOff>
              </from>
              <to>
                <xdr:col>5</xdr:col>
                <xdr:colOff>590550</xdr:colOff>
                <xdr:row>37</xdr:row>
                <xdr:rowOff>142875</xdr:rowOff>
              </to>
            </anchor>
          </controlPr>
        </control>
      </mc:Choice>
      <mc:Fallback>
        <control shapeId="114445" r:id="rId66" name="TextBox12"/>
      </mc:Fallback>
    </mc:AlternateContent>
    <mc:AlternateContent xmlns:mc="http://schemas.openxmlformats.org/markup-compatibility/2006">
      <mc:Choice Requires="x14">
        <control shapeId="114446" r:id="rId68" name="TextBox13">
          <controlPr defaultSize="0" autoLine="0" r:id="rId69">
            <anchor moveWithCells="1">
              <from>
                <xdr:col>3</xdr:col>
                <xdr:colOff>28575</xdr:colOff>
                <xdr:row>27</xdr:row>
                <xdr:rowOff>180975</xdr:rowOff>
              </from>
              <to>
                <xdr:col>6</xdr:col>
                <xdr:colOff>514350</xdr:colOff>
                <xdr:row>29</xdr:row>
                <xdr:rowOff>9525</xdr:rowOff>
              </to>
            </anchor>
          </controlPr>
        </control>
      </mc:Choice>
      <mc:Fallback>
        <control shapeId="114446" r:id="rId68" name="TextBox13"/>
      </mc:Fallback>
    </mc:AlternateContent>
    <mc:AlternateContent xmlns:mc="http://schemas.openxmlformats.org/markup-compatibility/2006">
      <mc:Choice Requires="x14">
        <control shapeId="114447" r:id="rId70" name="TextBox14">
          <controlPr defaultSize="0" autoLine="0" r:id="rId71">
            <anchor moveWithCells="1">
              <from>
                <xdr:col>2</xdr:col>
                <xdr:colOff>857250</xdr:colOff>
                <xdr:row>35</xdr:row>
                <xdr:rowOff>28575</xdr:rowOff>
              </from>
              <to>
                <xdr:col>6</xdr:col>
                <xdr:colOff>542925</xdr:colOff>
                <xdr:row>36</xdr:row>
                <xdr:rowOff>47625</xdr:rowOff>
              </to>
            </anchor>
          </controlPr>
        </control>
      </mc:Choice>
      <mc:Fallback>
        <control shapeId="114447" r:id="rId70" name="TextBox14"/>
      </mc:Fallback>
    </mc:AlternateContent>
    <mc:AlternateContent xmlns:mc="http://schemas.openxmlformats.org/markup-compatibility/2006">
      <mc:Choice Requires="x14">
        <control shapeId="114448" r:id="rId72" name="TextBox15">
          <controlPr defaultSize="0" autoLine="0" r:id="rId73">
            <anchor moveWithCells="1">
              <from>
                <xdr:col>7</xdr:col>
                <xdr:colOff>0</xdr:colOff>
                <xdr:row>31</xdr:row>
                <xdr:rowOff>0</xdr:rowOff>
              </from>
              <to>
                <xdr:col>11</xdr:col>
                <xdr:colOff>495300</xdr:colOff>
                <xdr:row>32</xdr:row>
                <xdr:rowOff>19050</xdr:rowOff>
              </to>
            </anchor>
          </controlPr>
        </control>
      </mc:Choice>
      <mc:Fallback>
        <control shapeId="114448" r:id="rId72" name="TextBox15"/>
      </mc:Fallback>
    </mc:AlternateContent>
    <mc:AlternateContent xmlns:mc="http://schemas.openxmlformats.org/markup-compatibility/2006">
      <mc:Choice Requires="x14">
        <control shapeId="114460" r:id="rId74" name="Label22">
          <controlPr defaultSize="0" autoLine="0" r:id="rId75">
            <anchor moveWithCells="1">
              <from>
                <xdr:col>20</xdr:col>
                <xdr:colOff>400050</xdr:colOff>
                <xdr:row>12</xdr:row>
                <xdr:rowOff>28575</xdr:rowOff>
              </from>
              <to>
                <xdr:col>24</xdr:col>
                <xdr:colOff>66675</xdr:colOff>
                <xdr:row>13</xdr:row>
                <xdr:rowOff>85725</xdr:rowOff>
              </to>
            </anchor>
          </controlPr>
        </control>
      </mc:Choice>
      <mc:Fallback>
        <control shapeId="114460" r:id="rId74" name="Label2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BAAD3-9EE3-4A35-B430-577D5F223E96}">
  <sheetPr codeName="shVitesse">
    <tabColor rgb="FFFFC000"/>
    <outlinePr summaryRight="0"/>
    <pageSetUpPr autoPageBreaks="0"/>
  </sheetPr>
  <dimension ref="A1:K57"/>
  <sheetViews>
    <sheetView showGridLines="0" showRowColHeaders="0" showRuler="0" view="pageLayout" zoomScaleNormal="70" zoomScaleSheetLayoutView="100" workbookViewId="0"/>
  </sheetViews>
  <sheetFormatPr baseColWidth="10" defaultColWidth="11.42578125" defaultRowHeight="15" x14ac:dyDescent="0.25"/>
  <cols>
    <col min="1" max="1" width="3.140625" style="2" customWidth="1"/>
    <col min="2" max="2" width="3.140625" style="3" customWidth="1"/>
    <col min="3" max="3" width="20.28515625" style="2" customWidth="1"/>
    <col min="4" max="4" width="21.7109375" style="2" customWidth="1"/>
    <col min="5" max="5" width="20.140625" style="2" customWidth="1"/>
    <col min="6" max="6" width="5.42578125" style="3" customWidth="1"/>
    <col min="7" max="7" width="8.7109375" style="3" customWidth="1"/>
    <col min="8" max="8" width="4.42578125" style="3" customWidth="1"/>
    <col min="9" max="10" width="4.42578125" style="2" customWidth="1"/>
    <col min="11" max="11" width="11.42578125" hidden="1" customWidth="1"/>
  </cols>
  <sheetData>
    <row r="1" spans="1:11" ht="28.15" customHeight="1" x14ac:dyDescent="0.25">
      <c r="K1" t="str" cm="1">
        <f t="array" ref="K1:K20">_xlfn.UNIQUE('Vitesses de coupe'!$A$4:$A$50&amp;" - "&amp;'Vitesses de coupe'!$C$4:$C$50)</f>
        <v>P - Acier non allié</v>
      </c>
    </row>
    <row r="2" spans="1:11" s="7" customFormat="1" ht="22.5" customHeight="1" x14ac:dyDescent="0.2">
      <c r="A2" s="83" t="s">
        <v>331</v>
      </c>
      <c r="B2" s="82"/>
      <c r="C2" s="71"/>
      <c r="D2" s="72"/>
      <c r="E2" s="72"/>
      <c r="F2" s="72"/>
      <c r="G2" s="72"/>
      <c r="H2" s="207" t="s">
        <v>327</v>
      </c>
      <c r="I2" s="208"/>
      <c r="J2" s="209"/>
      <c r="K2" s="7" t="str">
        <v>P - Acier faiblement allié</v>
      </c>
    </row>
    <row r="3" spans="1:11" s="7" customFormat="1" ht="63.75" customHeight="1" x14ac:dyDescent="0.2">
      <c r="A3" s="73" t="s">
        <v>332</v>
      </c>
      <c r="B3" s="74" t="s">
        <v>333</v>
      </c>
      <c r="C3" s="75" t="s">
        <v>0</v>
      </c>
      <c r="D3" s="75" t="s">
        <v>140</v>
      </c>
      <c r="E3" s="75" t="s">
        <v>141</v>
      </c>
      <c r="F3" s="74" t="s">
        <v>325</v>
      </c>
      <c r="G3" s="74" t="s">
        <v>330</v>
      </c>
      <c r="H3" s="114" t="s">
        <v>5</v>
      </c>
      <c r="I3" s="76" t="s">
        <v>172</v>
      </c>
      <c r="J3" s="77" t="s">
        <v>173</v>
      </c>
      <c r="K3" s="7" t="str">
        <v>P - Acier fortement allié et acier à outils</v>
      </c>
    </row>
    <row r="4" spans="1:11" s="8" customFormat="1" ht="11.85" customHeight="1" x14ac:dyDescent="0.25">
      <c r="A4" s="38" t="s">
        <v>1</v>
      </c>
      <c r="B4" s="38">
        <v>1</v>
      </c>
      <c r="C4" s="39" t="s">
        <v>137</v>
      </c>
      <c r="D4" s="40" t="s">
        <v>142</v>
      </c>
      <c r="E4" s="39" t="s">
        <v>130</v>
      </c>
      <c r="F4" s="41">
        <v>125</v>
      </c>
      <c r="G4" s="41">
        <v>1020</v>
      </c>
      <c r="H4" s="42">
        <v>100</v>
      </c>
      <c r="I4" s="42">
        <v>200</v>
      </c>
      <c r="J4" s="42">
        <v>400</v>
      </c>
      <c r="K4" s="8" t="str">
        <v>M - Acier inoxidable</v>
      </c>
    </row>
    <row r="5" spans="1:11" s="8" customFormat="1" ht="11.85" customHeight="1" x14ac:dyDescent="0.25">
      <c r="A5" s="9" t="s">
        <v>1</v>
      </c>
      <c r="B5" s="9">
        <v>2</v>
      </c>
      <c r="C5" s="10" t="s">
        <v>137</v>
      </c>
      <c r="D5" s="11" t="s">
        <v>143</v>
      </c>
      <c r="E5" s="11" t="s">
        <v>130</v>
      </c>
      <c r="F5" s="12">
        <v>190</v>
      </c>
      <c r="G5" s="12">
        <v>1045</v>
      </c>
      <c r="H5" s="13">
        <v>95</v>
      </c>
      <c r="I5" s="13">
        <v>195</v>
      </c>
      <c r="J5" s="13">
        <v>390</v>
      </c>
      <c r="K5" s="8" t="str">
        <v>K - Fonte grise</v>
      </c>
    </row>
    <row r="6" spans="1:11" s="8" customFormat="1" ht="11.85" customHeight="1" x14ac:dyDescent="0.25">
      <c r="A6" s="9" t="s">
        <v>1</v>
      </c>
      <c r="B6" s="9">
        <v>3</v>
      </c>
      <c r="C6" s="10" t="s">
        <v>137</v>
      </c>
      <c r="D6" s="11" t="s">
        <v>143</v>
      </c>
      <c r="E6" s="10" t="s">
        <v>145</v>
      </c>
      <c r="F6" s="12">
        <v>250</v>
      </c>
      <c r="G6" s="12">
        <v>1045</v>
      </c>
      <c r="H6" s="13">
        <v>90</v>
      </c>
      <c r="I6" s="13">
        <v>190</v>
      </c>
      <c r="J6" s="13">
        <v>380</v>
      </c>
      <c r="K6" s="8" t="str">
        <v>K - Fonte à graphite lamellaire</v>
      </c>
    </row>
    <row r="7" spans="1:11" s="8" customFormat="1" ht="11.85" customHeight="1" x14ac:dyDescent="0.25">
      <c r="A7" s="9" t="s">
        <v>1</v>
      </c>
      <c r="B7" s="9">
        <v>4</v>
      </c>
      <c r="C7" s="10" t="s">
        <v>137</v>
      </c>
      <c r="D7" s="11" t="s">
        <v>144</v>
      </c>
      <c r="E7" s="10" t="s">
        <v>130</v>
      </c>
      <c r="F7" s="12">
        <v>220</v>
      </c>
      <c r="G7" s="12">
        <v>1095</v>
      </c>
      <c r="H7" s="13">
        <v>85</v>
      </c>
      <c r="I7" s="13">
        <v>185</v>
      </c>
      <c r="J7" s="13">
        <v>370</v>
      </c>
      <c r="K7" s="8" t="str">
        <v>K - Fonte à graphite sphéroidal</v>
      </c>
    </row>
    <row r="8" spans="1:11" s="8" customFormat="1" ht="11.85" customHeight="1" x14ac:dyDescent="0.25">
      <c r="A8" s="9" t="s">
        <v>1</v>
      </c>
      <c r="B8" s="9">
        <v>5</v>
      </c>
      <c r="C8" s="10" t="s">
        <v>137</v>
      </c>
      <c r="D8" s="11" t="s">
        <v>144</v>
      </c>
      <c r="E8" s="10" t="s">
        <v>145</v>
      </c>
      <c r="F8" s="12">
        <v>300</v>
      </c>
      <c r="G8" s="12">
        <v>1095</v>
      </c>
      <c r="H8" s="13">
        <v>80</v>
      </c>
      <c r="I8" s="13">
        <v>180</v>
      </c>
      <c r="J8" s="13">
        <v>360</v>
      </c>
      <c r="K8" s="8" t="str">
        <v>N - Aluminium de corroyage</v>
      </c>
    </row>
    <row r="9" spans="1:11" s="8" customFormat="1" ht="11.85" customHeight="1" x14ac:dyDescent="0.25">
      <c r="A9" s="38" t="s">
        <v>1</v>
      </c>
      <c r="B9" s="38">
        <v>6</v>
      </c>
      <c r="C9" s="39" t="s">
        <v>138</v>
      </c>
      <c r="D9" s="39"/>
      <c r="E9" s="39" t="s">
        <v>130</v>
      </c>
      <c r="F9" s="41">
        <v>200</v>
      </c>
      <c r="G9" s="41">
        <v>52100</v>
      </c>
      <c r="H9" s="42">
        <v>75</v>
      </c>
      <c r="I9" s="42">
        <v>175</v>
      </c>
      <c r="J9" s="42">
        <v>350</v>
      </c>
      <c r="K9" s="8" t="str">
        <v>N - Aluminium de coulée</v>
      </c>
    </row>
    <row r="10" spans="1:11" s="8" customFormat="1" ht="11.85" customHeight="1" x14ac:dyDescent="0.25">
      <c r="A10" s="9" t="s">
        <v>1</v>
      </c>
      <c r="B10" s="9">
        <v>7</v>
      </c>
      <c r="C10" s="10" t="s">
        <v>138</v>
      </c>
      <c r="D10" s="10"/>
      <c r="E10" s="10" t="s">
        <v>145</v>
      </c>
      <c r="F10" s="12">
        <v>275</v>
      </c>
      <c r="G10" s="12">
        <v>52100</v>
      </c>
      <c r="H10" s="13">
        <v>70</v>
      </c>
      <c r="I10" s="13">
        <v>170</v>
      </c>
      <c r="J10" s="13">
        <v>340</v>
      </c>
      <c r="K10" s="8" t="str">
        <v>N - Cuivre et alliages de cuivre</v>
      </c>
    </row>
    <row r="11" spans="1:11" s="8" customFormat="1" ht="11.85" customHeight="1" x14ac:dyDescent="0.25">
      <c r="A11" s="9" t="s">
        <v>1</v>
      </c>
      <c r="B11" s="9">
        <v>8</v>
      </c>
      <c r="C11" s="10" t="s">
        <v>138</v>
      </c>
      <c r="D11" s="10"/>
      <c r="E11" s="10" t="s">
        <v>145</v>
      </c>
      <c r="F11" s="12">
        <v>300</v>
      </c>
      <c r="G11" s="12">
        <v>52100</v>
      </c>
      <c r="H11" s="13">
        <v>65</v>
      </c>
      <c r="I11" s="13">
        <v>165</v>
      </c>
      <c r="J11" s="13">
        <v>330</v>
      </c>
      <c r="K11" s="8" t="str">
        <v>S - Alliages résistant à la chaleur</v>
      </c>
    </row>
    <row r="12" spans="1:11" s="8" customFormat="1" ht="11.85" customHeight="1" x14ac:dyDescent="0.25">
      <c r="A12" s="9" t="s">
        <v>1</v>
      </c>
      <c r="B12" s="9">
        <v>9</v>
      </c>
      <c r="C12" s="10" t="s">
        <v>138</v>
      </c>
      <c r="D12" s="10"/>
      <c r="E12" s="10" t="s">
        <v>145</v>
      </c>
      <c r="F12" s="12">
        <v>350</v>
      </c>
      <c r="G12" s="12">
        <v>52100</v>
      </c>
      <c r="H12" s="13">
        <v>60</v>
      </c>
      <c r="I12" s="13">
        <v>160</v>
      </c>
      <c r="J12" s="13">
        <v>320</v>
      </c>
      <c r="K12" s="8" t="str">
        <v>S - Alliages de titane</v>
      </c>
    </row>
    <row r="13" spans="1:11" s="8" customFormat="1" ht="11.85" customHeight="1" x14ac:dyDescent="0.25">
      <c r="A13" s="38" t="s">
        <v>1</v>
      </c>
      <c r="B13" s="38">
        <v>10</v>
      </c>
      <c r="C13" s="39" t="s">
        <v>139</v>
      </c>
      <c r="D13" s="39"/>
      <c r="E13" s="39" t="s">
        <v>130</v>
      </c>
      <c r="F13" s="41">
        <v>220</v>
      </c>
      <c r="G13" s="41">
        <v>4340</v>
      </c>
      <c r="H13" s="42">
        <v>60</v>
      </c>
      <c r="I13" s="42">
        <v>120</v>
      </c>
      <c r="J13" s="42">
        <v>240</v>
      </c>
      <c r="K13" s="8" t="str">
        <v>H - Acier durci</v>
      </c>
    </row>
    <row r="14" spans="1:11" s="8" customFormat="1" ht="11.85" customHeight="1" x14ac:dyDescent="0.25">
      <c r="A14" s="9" t="s">
        <v>1</v>
      </c>
      <c r="B14" s="9">
        <v>11</v>
      </c>
      <c r="C14" s="10" t="s">
        <v>139</v>
      </c>
      <c r="D14" s="10"/>
      <c r="E14" s="10" t="s">
        <v>146</v>
      </c>
      <c r="F14" s="12">
        <v>325</v>
      </c>
      <c r="G14" s="12">
        <v>4340</v>
      </c>
      <c r="H14" s="13">
        <v>50</v>
      </c>
      <c r="I14" s="13">
        <v>100</v>
      </c>
      <c r="J14" s="13">
        <v>200</v>
      </c>
      <c r="K14" s="8" t="str">
        <v>H - Fonte durcie</v>
      </c>
    </row>
    <row r="15" spans="1:11" s="8" customFormat="1" ht="11.85" customHeight="1" x14ac:dyDescent="0.25">
      <c r="A15" s="43" t="s">
        <v>20</v>
      </c>
      <c r="B15" s="43">
        <v>12</v>
      </c>
      <c r="C15" s="44" t="s">
        <v>128</v>
      </c>
      <c r="D15" s="44" t="s">
        <v>131</v>
      </c>
      <c r="E15" s="44" t="s">
        <v>130</v>
      </c>
      <c r="F15" s="45">
        <v>200</v>
      </c>
      <c r="G15" s="45" t="s">
        <v>328</v>
      </c>
      <c r="H15" s="46">
        <v>50</v>
      </c>
      <c r="I15" s="46">
        <v>100</v>
      </c>
      <c r="J15" s="46">
        <v>200</v>
      </c>
      <c r="K15" s="8" t="str">
        <v>O - Plastique thermoformable</v>
      </c>
    </row>
    <row r="16" spans="1:11" s="8" customFormat="1" ht="11.85" customHeight="1" x14ac:dyDescent="0.25">
      <c r="A16" s="14" t="s">
        <v>20</v>
      </c>
      <c r="B16" s="14">
        <v>13</v>
      </c>
      <c r="C16" s="15" t="s">
        <v>128</v>
      </c>
      <c r="D16" s="15" t="s">
        <v>132</v>
      </c>
      <c r="E16" s="15" t="s">
        <v>176</v>
      </c>
      <c r="F16" s="16">
        <v>240</v>
      </c>
      <c r="G16" s="16">
        <v>420</v>
      </c>
      <c r="H16" s="17">
        <v>45</v>
      </c>
      <c r="I16" s="17">
        <v>90</v>
      </c>
      <c r="J16" s="17">
        <v>180</v>
      </c>
      <c r="K16" s="8" t="str">
        <v>O - Plastique thermodurcissable</v>
      </c>
    </row>
    <row r="17" spans="1:11" s="8" customFormat="1" ht="11.85" customHeight="1" x14ac:dyDescent="0.25">
      <c r="A17" s="14" t="s">
        <v>20</v>
      </c>
      <c r="B17" s="14">
        <v>14</v>
      </c>
      <c r="C17" s="15" t="s">
        <v>128</v>
      </c>
      <c r="D17" s="15" t="s">
        <v>147</v>
      </c>
      <c r="E17" s="15"/>
      <c r="F17" s="16">
        <v>230</v>
      </c>
      <c r="G17" s="16" t="s">
        <v>329</v>
      </c>
      <c r="H17" s="17">
        <v>55</v>
      </c>
      <c r="I17" s="17">
        <v>110</v>
      </c>
      <c r="J17" s="17">
        <v>210</v>
      </c>
      <c r="K17" s="8" t="str">
        <v>O - Plastique renforci de fibre de verre</v>
      </c>
    </row>
    <row r="18" spans="1:11" s="8" customFormat="1" ht="11.85" customHeight="1" x14ac:dyDescent="0.25">
      <c r="A18" s="47" t="s">
        <v>18</v>
      </c>
      <c r="B18" s="47">
        <v>15</v>
      </c>
      <c r="C18" s="48" t="s">
        <v>148</v>
      </c>
      <c r="D18" s="48" t="s">
        <v>177</v>
      </c>
      <c r="E18" s="48"/>
      <c r="F18" s="49">
        <v>180</v>
      </c>
      <c r="G18" s="49"/>
      <c r="H18" s="50">
        <v>80</v>
      </c>
      <c r="I18" s="50">
        <v>100</v>
      </c>
      <c r="J18" s="50">
        <v>240</v>
      </c>
      <c r="K18" s="8" t="str">
        <v>O - Plastique renforci de fibre de carbone</v>
      </c>
    </row>
    <row r="19" spans="1:11" s="8" customFormat="1" ht="11.85" customHeight="1" x14ac:dyDescent="0.25">
      <c r="A19" s="18" t="s">
        <v>18</v>
      </c>
      <c r="B19" s="18">
        <v>16</v>
      </c>
      <c r="C19" s="19" t="s">
        <v>148</v>
      </c>
      <c r="D19" s="19" t="s">
        <v>178</v>
      </c>
      <c r="E19" s="19"/>
      <c r="F19" s="20">
        <v>260</v>
      </c>
      <c r="G19" s="20"/>
      <c r="H19" s="21">
        <v>70</v>
      </c>
      <c r="I19" s="21">
        <v>90</v>
      </c>
      <c r="J19" s="21">
        <v>220</v>
      </c>
      <c r="K19" s="8" t="str">
        <v>O - Plastique renforci d'aramid</v>
      </c>
    </row>
    <row r="20" spans="1:11" s="8" customFormat="1" ht="11.85" customHeight="1" x14ac:dyDescent="0.25">
      <c r="A20" s="47" t="s">
        <v>18</v>
      </c>
      <c r="B20" s="47">
        <v>17</v>
      </c>
      <c r="C20" s="48" t="s">
        <v>180</v>
      </c>
      <c r="D20" s="48" t="s">
        <v>134</v>
      </c>
      <c r="E20" s="48"/>
      <c r="F20" s="49">
        <v>160</v>
      </c>
      <c r="G20" s="49"/>
      <c r="H20" s="50">
        <v>90</v>
      </c>
      <c r="I20" s="50">
        <v>110</v>
      </c>
      <c r="J20" s="50">
        <v>260</v>
      </c>
      <c r="K20" s="8" t="str">
        <v>O - Graphite</v>
      </c>
    </row>
    <row r="21" spans="1:11" s="8" customFormat="1" ht="11.85" customHeight="1" x14ac:dyDescent="0.25">
      <c r="A21" s="18" t="s">
        <v>18</v>
      </c>
      <c r="B21" s="18">
        <v>18</v>
      </c>
      <c r="C21" s="19" t="s">
        <v>180</v>
      </c>
      <c r="D21" s="19" t="s">
        <v>133</v>
      </c>
      <c r="E21" s="19"/>
      <c r="F21" s="20">
        <v>250</v>
      </c>
      <c r="G21" s="20"/>
      <c r="H21" s="21">
        <v>85</v>
      </c>
      <c r="I21" s="21">
        <v>105</v>
      </c>
      <c r="J21" s="21">
        <v>250</v>
      </c>
    </row>
    <row r="22" spans="1:11" s="8" customFormat="1" ht="11.85" customHeight="1" x14ac:dyDescent="0.25">
      <c r="A22" s="47" t="s">
        <v>18</v>
      </c>
      <c r="B22" s="47">
        <v>19</v>
      </c>
      <c r="C22" s="48" t="s">
        <v>179</v>
      </c>
      <c r="D22" s="48" t="s">
        <v>134</v>
      </c>
      <c r="E22" s="48"/>
      <c r="F22" s="49">
        <v>130</v>
      </c>
      <c r="G22" s="49"/>
      <c r="H22" s="50">
        <v>100</v>
      </c>
      <c r="I22" s="50">
        <v>120</v>
      </c>
      <c r="J22" s="50">
        <v>300</v>
      </c>
    </row>
    <row r="23" spans="1:11" s="8" customFormat="1" ht="11.85" customHeight="1" x14ac:dyDescent="0.25">
      <c r="A23" s="18" t="s">
        <v>18</v>
      </c>
      <c r="B23" s="18">
        <v>20</v>
      </c>
      <c r="C23" s="19" t="s">
        <v>179</v>
      </c>
      <c r="D23" s="19" t="s">
        <v>133</v>
      </c>
      <c r="E23" s="19"/>
      <c r="F23" s="20">
        <v>230</v>
      </c>
      <c r="G23" s="20"/>
      <c r="H23" s="21">
        <v>90</v>
      </c>
      <c r="I23" s="21">
        <v>110</v>
      </c>
      <c r="J23" s="21">
        <v>280</v>
      </c>
    </row>
    <row r="24" spans="1:11" s="8" customFormat="1" ht="11.85" customHeight="1" x14ac:dyDescent="0.25">
      <c r="A24" s="51" t="s">
        <v>2</v>
      </c>
      <c r="B24" s="51">
        <v>21</v>
      </c>
      <c r="C24" s="52" t="s">
        <v>191</v>
      </c>
      <c r="D24" s="52"/>
      <c r="E24" s="52" t="s">
        <v>150</v>
      </c>
      <c r="F24" s="53">
        <v>30</v>
      </c>
      <c r="G24" s="53" t="s">
        <v>693</v>
      </c>
      <c r="H24" s="54">
        <v>200</v>
      </c>
      <c r="I24" s="54">
        <v>400</v>
      </c>
      <c r="J24" s="54">
        <v>800</v>
      </c>
    </row>
    <row r="25" spans="1:11" s="8" customFormat="1" ht="11.85" customHeight="1" x14ac:dyDescent="0.25">
      <c r="A25" s="22" t="s">
        <v>2</v>
      </c>
      <c r="B25" s="22">
        <v>22</v>
      </c>
      <c r="C25" s="23" t="s">
        <v>191</v>
      </c>
      <c r="D25" s="23"/>
      <c r="E25" s="23" t="s">
        <v>151</v>
      </c>
      <c r="F25" s="24">
        <v>100</v>
      </c>
      <c r="G25" s="24" t="s">
        <v>324</v>
      </c>
      <c r="H25" s="25">
        <v>180</v>
      </c>
      <c r="I25" s="25">
        <v>380</v>
      </c>
      <c r="J25" s="25">
        <v>700</v>
      </c>
    </row>
    <row r="26" spans="1:11" s="8" customFormat="1" ht="11.85" customHeight="1" x14ac:dyDescent="0.25">
      <c r="A26" s="51" t="s">
        <v>2</v>
      </c>
      <c r="B26" s="51">
        <v>23</v>
      </c>
      <c r="C26" s="52" t="s">
        <v>192</v>
      </c>
      <c r="D26" s="52" t="s">
        <v>182</v>
      </c>
      <c r="E26" s="52" t="s">
        <v>150</v>
      </c>
      <c r="F26" s="53">
        <v>75</v>
      </c>
      <c r="G26" s="53"/>
      <c r="H26" s="54">
        <v>170</v>
      </c>
      <c r="I26" s="54">
        <v>250</v>
      </c>
      <c r="J26" s="54">
        <v>480</v>
      </c>
    </row>
    <row r="27" spans="1:11" s="8" customFormat="1" ht="11.85" customHeight="1" x14ac:dyDescent="0.25">
      <c r="A27" s="22" t="s">
        <v>2</v>
      </c>
      <c r="B27" s="22">
        <v>24</v>
      </c>
      <c r="C27" s="23" t="s">
        <v>192</v>
      </c>
      <c r="D27" s="23" t="s">
        <v>182</v>
      </c>
      <c r="E27" s="23" t="s">
        <v>151</v>
      </c>
      <c r="F27" s="24">
        <v>90</v>
      </c>
      <c r="G27" s="24"/>
      <c r="H27" s="25">
        <v>165</v>
      </c>
      <c r="I27" s="25">
        <v>220</v>
      </c>
      <c r="J27" s="25">
        <v>460</v>
      </c>
    </row>
    <row r="28" spans="1:11" s="8" customFormat="1" ht="11.85" customHeight="1" x14ac:dyDescent="0.25">
      <c r="A28" s="22" t="s">
        <v>2</v>
      </c>
      <c r="B28" s="22">
        <v>25</v>
      </c>
      <c r="C28" s="23" t="s">
        <v>192</v>
      </c>
      <c r="D28" s="23" t="s">
        <v>181</v>
      </c>
      <c r="E28" s="23"/>
      <c r="F28" s="24">
        <v>130</v>
      </c>
      <c r="G28" s="24"/>
      <c r="H28" s="25">
        <v>160</v>
      </c>
      <c r="I28" s="25">
        <v>210</v>
      </c>
      <c r="J28" s="25">
        <v>440</v>
      </c>
    </row>
    <row r="29" spans="1:11" s="8" customFormat="1" ht="11.85" customHeight="1" x14ac:dyDescent="0.25">
      <c r="A29" s="51" t="s">
        <v>2</v>
      </c>
      <c r="B29" s="51">
        <v>26</v>
      </c>
      <c r="C29" s="52" t="s">
        <v>149</v>
      </c>
      <c r="D29" s="52" t="s">
        <v>326</v>
      </c>
      <c r="E29" s="52"/>
      <c r="F29" s="53">
        <v>70</v>
      </c>
      <c r="G29" s="53"/>
      <c r="H29" s="54">
        <v>215</v>
      </c>
      <c r="I29" s="54">
        <v>450</v>
      </c>
      <c r="J29" s="54">
        <v>690</v>
      </c>
    </row>
    <row r="30" spans="1:11" s="8" customFormat="1" ht="11.85" customHeight="1" x14ac:dyDescent="0.25">
      <c r="A30" s="22" t="s">
        <v>2</v>
      </c>
      <c r="B30" s="22">
        <v>27</v>
      </c>
      <c r="C30" s="23" t="s">
        <v>149</v>
      </c>
      <c r="D30" s="23" t="s">
        <v>183</v>
      </c>
      <c r="E30" s="23"/>
      <c r="F30" s="24">
        <v>100</v>
      </c>
      <c r="G30" s="24"/>
      <c r="H30" s="25">
        <v>200</v>
      </c>
      <c r="I30" s="25">
        <v>400</v>
      </c>
      <c r="J30" s="25">
        <v>650</v>
      </c>
    </row>
    <row r="31" spans="1:11" s="8" customFormat="1" ht="11.85" customHeight="1" x14ac:dyDescent="0.25">
      <c r="A31" s="22" t="s">
        <v>2</v>
      </c>
      <c r="B31" s="22">
        <v>28</v>
      </c>
      <c r="C31" s="23" t="s">
        <v>149</v>
      </c>
      <c r="D31" s="23" t="s">
        <v>184</v>
      </c>
      <c r="E31" s="23"/>
      <c r="F31" s="24">
        <v>90</v>
      </c>
      <c r="G31" s="24"/>
      <c r="H31" s="25">
        <v>195</v>
      </c>
      <c r="I31" s="25">
        <v>385</v>
      </c>
      <c r="J31" s="25">
        <v>625</v>
      </c>
    </row>
    <row r="32" spans="1:11" s="8" customFormat="1" ht="11.85" customHeight="1" x14ac:dyDescent="0.25">
      <c r="A32" s="22" t="s">
        <v>2</v>
      </c>
      <c r="B32" s="22">
        <v>29</v>
      </c>
      <c r="C32" s="23" t="s">
        <v>149</v>
      </c>
      <c r="D32" s="23"/>
      <c r="E32" s="23" t="s">
        <v>152</v>
      </c>
      <c r="F32" s="24">
        <v>110</v>
      </c>
      <c r="G32" s="24"/>
      <c r="H32" s="25">
        <v>190</v>
      </c>
      <c r="I32" s="25">
        <v>320</v>
      </c>
      <c r="J32" s="25">
        <v>600</v>
      </c>
    </row>
    <row r="33" spans="1:10" s="8" customFormat="1" ht="11.85" customHeight="1" x14ac:dyDescent="0.25">
      <c r="A33" s="22" t="s">
        <v>2</v>
      </c>
      <c r="B33" s="22">
        <v>30</v>
      </c>
      <c r="C33" s="23" t="s">
        <v>149</v>
      </c>
      <c r="D33" s="23"/>
      <c r="E33" s="23" t="s">
        <v>152</v>
      </c>
      <c r="F33" s="24">
        <v>300</v>
      </c>
      <c r="G33" s="24"/>
      <c r="H33" s="25">
        <v>185</v>
      </c>
      <c r="I33" s="25">
        <v>305</v>
      </c>
      <c r="J33" s="25">
        <v>570</v>
      </c>
    </row>
    <row r="34" spans="1:10" s="8" customFormat="1" ht="11.85" customHeight="1" x14ac:dyDescent="0.25">
      <c r="A34" s="55" t="s">
        <v>24</v>
      </c>
      <c r="B34" s="55">
        <v>31</v>
      </c>
      <c r="C34" s="56" t="s">
        <v>153</v>
      </c>
      <c r="D34" s="56" t="s">
        <v>154</v>
      </c>
      <c r="E34" s="56" t="s">
        <v>130</v>
      </c>
      <c r="F34" s="57">
        <v>200</v>
      </c>
      <c r="G34" s="57"/>
      <c r="H34" s="58">
        <v>30</v>
      </c>
      <c r="I34" s="58">
        <v>45</v>
      </c>
      <c r="J34" s="58">
        <v>80</v>
      </c>
    </row>
    <row r="35" spans="1:10" s="8" customFormat="1" ht="11.85" customHeight="1" x14ac:dyDescent="0.25">
      <c r="A35" s="26" t="s">
        <v>24</v>
      </c>
      <c r="B35" s="26">
        <v>32</v>
      </c>
      <c r="C35" s="27" t="s">
        <v>153</v>
      </c>
      <c r="D35" s="27" t="s">
        <v>154</v>
      </c>
      <c r="E35" s="27" t="s">
        <v>135</v>
      </c>
      <c r="F35" s="28">
        <v>280</v>
      </c>
      <c r="G35" s="28"/>
      <c r="H35" s="29">
        <v>28</v>
      </c>
      <c r="I35" s="29">
        <v>42</v>
      </c>
      <c r="J35" s="29">
        <v>74</v>
      </c>
    </row>
    <row r="36" spans="1:10" s="8" customFormat="1" ht="11.85" customHeight="1" x14ac:dyDescent="0.25">
      <c r="A36" s="26" t="s">
        <v>24</v>
      </c>
      <c r="B36" s="26">
        <v>33</v>
      </c>
      <c r="C36" s="27" t="s">
        <v>153</v>
      </c>
      <c r="D36" s="27" t="s">
        <v>155</v>
      </c>
      <c r="E36" s="27" t="s">
        <v>130</v>
      </c>
      <c r="F36" s="28">
        <v>250</v>
      </c>
      <c r="G36" s="28"/>
      <c r="H36" s="29">
        <v>26</v>
      </c>
      <c r="I36" s="29">
        <v>40</v>
      </c>
      <c r="J36" s="29">
        <v>70</v>
      </c>
    </row>
    <row r="37" spans="1:10" s="8" customFormat="1" ht="11.85" customHeight="1" x14ac:dyDescent="0.25">
      <c r="A37" s="26" t="s">
        <v>24</v>
      </c>
      <c r="B37" s="26">
        <v>34</v>
      </c>
      <c r="C37" s="27" t="s">
        <v>153</v>
      </c>
      <c r="D37" s="27" t="s">
        <v>155</v>
      </c>
      <c r="E37" s="27" t="s">
        <v>135</v>
      </c>
      <c r="F37" s="28">
        <v>350</v>
      </c>
      <c r="G37" s="28"/>
      <c r="H37" s="29">
        <v>23</v>
      </c>
      <c r="I37" s="29">
        <v>38</v>
      </c>
      <c r="J37" s="29">
        <v>64</v>
      </c>
    </row>
    <row r="38" spans="1:10" s="8" customFormat="1" ht="11.85" customHeight="1" x14ac:dyDescent="0.25">
      <c r="A38" s="26" t="s">
        <v>24</v>
      </c>
      <c r="B38" s="26">
        <v>35</v>
      </c>
      <c r="C38" s="27" t="s">
        <v>153</v>
      </c>
      <c r="D38" s="27" t="s">
        <v>155</v>
      </c>
      <c r="E38" s="27" t="s">
        <v>136</v>
      </c>
      <c r="F38" s="28">
        <v>320</v>
      </c>
      <c r="G38" s="28"/>
      <c r="H38" s="29">
        <v>30</v>
      </c>
      <c r="I38" s="29">
        <v>45</v>
      </c>
      <c r="J38" s="29">
        <v>80</v>
      </c>
    </row>
    <row r="39" spans="1:10" s="8" customFormat="1" ht="11.85" customHeight="1" x14ac:dyDescent="0.25">
      <c r="A39" s="55" t="s">
        <v>24</v>
      </c>
      <c r="B39" s="55">
        <v>36</v>
      </c>
      <c r="C39" s="56" t="s">
        <v>158</v>
      </c>
      <c r="D39" s="56" t="s">
        <v>156</v>
      </c>
      <c r="E39" s="56"/>
      <c r="F39" s="57">
        <v>200</v>
      </c>
      <c r="G39" s="57"/>
      <c r="H39" s="58">
        <v>35</v>
      </c>
      <c r="I39" s="58">
        <v>52</v>
      </c>
      <c r="J39" s="58">
        <v>95</v>
      </c>
    </row>
    <row r="40" spans="1:10" s="8" customFormat="1" ht="11.85" customHeight="1" x14ac:dyDescent="0.25">
      <c r="A40" s="26" t="s">
        <v>24</v>
      </c>
      <c r="B40" s="26">
        <v>37</v>
      </c>
      <c r="C40" s="27" t="s">
        <v>158</v>
      </c>
      <c r="D40" s="27" t="s">
        <v>157</v>
      </c>
      <c r="E40" s="27"/>
      <c r="F40" s="28">
        <v>375</v>
      </c>
      <c r="G40" s="28"/>
      <c r="H40" s="29">
        <v>30</v>
      </c>
      <c r="I40" s="29">
        <v>45</v>
      </c>
      <c r="J40" s="29">
        <v>80</v>
      </c>
    </row>
    <row r="41" spans="1:10" s="8" customFormat="1" ht="11.85" customHeight="1" x14ac:dyDescent="0.25">
      <c r="A41" s="59" t="s">
        <v>15</v>
      </c>
      <c r="B41" s="59">
        <v>38</v>
      </c>
      <c r="C41" s="60" t="s">
        <v>129</v>
      </c>
      <c r="D41" s="60"/>
      <c r="E41" s="60" t="s">
        <v>146</v>
      </c>
      <c r="F41" s="61" t="s">
        <v>159</v>
      </c>
      <c r="G41" s="61" t="s">
        <v>694</v>
      </c>
      <c r="H41" s="62">
        <v>25</v>
      </c>
      <c r="I41" s="62">
        <v>35</v>
      </c>
      <c r="J41" s="62">
        <v>50</v>
      </c>
    </row>
    <row r="42" spans="1:10" s="8" customFormat="1" ht="11.85" customHeight="1" x14ac:dyDescent="0.25">
      <c r="A42" s="30" t="s">
        <v>15</v>
      </c>
      <c r="B42" s="30">
        <v>39</v>
      </c>
      <c r="C42" s="31" t="s">
        <v>129</v>
      </c>
      <c r="D42" s="31"/>
      <c r="E42" s="31" t="s">
        <v>146</v>
      </c>
      <c r="F42" s="32" t="s">
        <v>160</v>
      </c>
      <c r="G42" s="32" t="s">
        <v>694</v>
      </c>
      <c r="H42" s="33">
        <v>20</v>
      </c>
      <c r="I42" s="33">
        <v>30</v>
      </c>
      <c r="J42" s="33">
        <v>40</v>
      </c>
    </row>
    <row r="43" spans="1:10" s="8" customFormat="1" ht="11.85" customHeight="1" x14ac:dyDescent="0.25">
      <c r="A43" s="30" t="s">
        <v>15</v>
      </c>
      <c r="B43" s="30">
        <v>40</v>
      </c>
      <c r="C43" s="31" t="s">
        <v>129</v>
      </c>
      <c r="D43" s="31"/>
      <c r="E43" s="31" t="s">
        <v>146</v>
      </c>
      <c r="F43" s="32" t="s">
        <v>161</v>
      </c>
      <c r="G43" s="32" t="s">
        <v>695</v>
      </c>
      <c r="H43" s="33">
        <v>15</v>
      </c>
      <c r="I43" s="33">
        <v>20</v>
      </c>
      <c r="J43" s="33">
        <v>35</v>
      </c>
    </row>
    <row r="44" spans="1:10" s="8" customFormat="1" ht="11.85" customHeight="1" x14ac:dyDescent="0.25">
      <c r="A44" s="67" t="s">
        <v>15</v>
      </c>
      <c r="B44" s="67">
        <v>41</v>
      </c>
      <c r="C44" s="68" t="s">
        <v>299</v>
      </c>
      <c r="D44" s="68"/>
      <c r="E44" s="68" t="s">
        <v>300</v>
      </c>
      <c r="F44" s="69" t="s">
        <v>160</v>
      </c>
      <c r="G44" s="69"/>
      <c r="H44" s="70">
        <v>20</v>
      </c>
      <c r="I44" s="70">
        <v>30</v>
      </c>
      <c r="J44" s="70">
        <v>40</v>
      </c>
    </row>
    <row r="45" spans="1:10" s="8" customFormat="1" ht="11.85" customHeight="1" x14ac:dyDescent="0.25">
      <c r="A45" s="63" t="s">
        <v>21</v>
      </c>
      <c r="B45" s="63">
        <v>42</v>
      </c>
      <c r="C45" s="64" t="s">
        <v>162</v>
      </c>
      <c r="D45" s="64" t="s">
        <v>167</v>
      </c>
      <c r="E45" s="64"/>
      <c r="F45" s="65"/>
      <c r="G45" s="65"/>
      <c r="H45" s="66">
        <v>80</v>
      </c>
      <c r="I45" s="66">
        <v>130</v>
      </c>
      <c r="J45" s="66">
        <v>400</v>
      </c>
    </row>
    <row r="46" spans="1:10" s="8" customFormat="1" ht="11.85" customHeight="1" x14ac:dyDescent="0.25">
      <c r="A46" s="34" t="s">
        <v>21</v>
      </c>
      <c r="B46" s="34">
        <v>43</v>
      </c>
      <c r="C46" s="35" t="s">
        <v>163</v>
      </c>
      <c r="D46" s="35" t="s">
        <v>167</v>
      </c>
      <c r="E46" s="35"/>
      <c r="F46" s="36"/>
      <c r="G46" s="36"/>
      <c r="H46" s="37">
        <v>70</v>
      </c>
      <c r="I46" s="37">
        <v>115</v>
      </c>
      <c r="J46" s="37">
        <v>390</v>
      </c>
    </row>
    <row r="47" spans="1:10" s="8" customFormat="1" ht="11.85" customHeight="1" x14ac:dyDescent="0.25">
      <c r="A47" s="34" t="s">
        <v>21</v>
      </c>
      <c r="B47" s="34">
        <v>44</v>
      </c>
      <c r="C47" s="35" t="s">
        <v>451</v>
      </c>
      <c r="D47" s="35" t="s">
        <v>168</v>
      </c>
      <c r="E47" s="35"/>
      <c r="F47" s="36"/>
      <c r="G47" s="36"/>
      <c r="H47" s="37">
        <v>60</v>
      </c>
      <c r="I47" s="37">
        <v>100</v>
      </c>
      <c r="J47" s="37">
        <v>375</v>
      </c>
    </row>
    <row r="48" spans="1:10" s="8" customFormat="1" ht="11.85" customHeight="1" x14ac:dyDescent="0.25">
      <c r="A48" s="34" t="s">
        <v>21</v>
      </c>
      <c r="B48" s="34">
        <v>45</v>
      </c>
      <c r="C48" s="35" t="s">
        <v>165</v>
      </c>
      <c r="D48" s="35" t="s">
        <v>169</v>
      </c>
      <c r="E48" s="35"/>
      <c r="F48" s="36"/>
      <c r="G48" s="36"/>
      <c r="H48" s="37">
        <v>50</v>
      </c>
      <c r="I48" s="37">
        <v>90</v>
      </c>
      <c r="J48" s="37">
        <v>275</v>
      </c>
    </row>
    <row r="49" spans="1:10" s="8" customFormat="1" ht="11.85" customHeight="1" x14ac:dyDescent="0.25">
      <c r="A49" s="34" t="s">
        <v>21</v>
      </c>
      <c r="B49" s="34">
        <v>46</v>
      </c>
      <c r="C49" s="35" t="s">
        <v>164</v>
      </c>
      <c r="D49" s="35" t="s">
        <v>170</v>
      </c>
      <c r="E49" s="35"/>
      <c r="F49" s="36"/>
      <c r="G49" s="36"/>
      <c r="H49" s="37">
        <v>50</v>
      </c>
      <c r="I49" s="37">
        <v>90</v>
      </c>
      <c r="J49" s="37">
        <v>275</v>
      </c>
    </row>
    <row r="50" spans="1:10" s="8" customFormat="1" ht="11.85" customHeight="1" x14ac:dyDescent="0.25">
      <c r="A50" s="78" t="s">
        <v>21</v>
      </c>
      <c r="B50" s="78">
        <v>47</v>
      </c>
      <c r="C50" s="79" t="s">
        <v>166</v>
      </c>
      <c r="D50" s="79"/>
      <c r="E50" s="79"/>
      <c r="F50" s="80" t="s">
        <v>171</v>
      </c>
      <c r="G50" s="80"/>
      <c r="H50" s="81">
        <v>100</v>
      </c>
      <c r="I50" s="81">
        <v>180</v>
      </c>
      <c r="J50" s="81">
        <v>450</v>
      </c>
    </row>
    <row r="51" spans="1:10" s="1" customFormat="1" ht="20.100000000000001" customHeight="1" x14ac:dyDescent="0.2">
      <c r="A51" s="2"/>
      <c r="B51" s="3"/>
      <c r="C51" s="2"/>
      <c r="D51" s="2"/>
      <c r="E51" s="2"/>
      <c r="F51" s="3"/>
      <c r="G51" s="3"/>
      <c r="H51" s="3"/>
      <c r="I51" s="6"/>
      <c r="J51" s="2"/>
    </row>
    <row r="52" spans="1:10" s="1" customFormat="1" ht="20.100000000000001" customHeight="1" x14ac:dyDescent="0.2">
      <c r="A52" s="2"/>
      <c r="B52" s="3"/>
      <c r="C52" s="2"/>
      <c r="D52" s="2"/>
      <c r="E52" s="2"/>
      <c r="F52" s="3"/>
      <c r="G52" s="3"/>
      <c r="H52" s="3"/>
      <c r="I52" s="6"/>
      <c r="J52" s="2"/>
    </row>
    <row r="53" spans="1:10" s="1" customFormat="1" ht="20.100000000000001" customHeight="1" x14ac:dyDescent="0.2">
      <c r="A53" s="2"/>
      <c r="B53" s="3"/>
      <c r="C53" s="2"/>
      <c r="D53" s="2"/>
      <c r="E53" s="2"/>
      <c r="F53" s="3"/>
      <c r="G53" s="3"/>
      <c r="H53" s="3"/>
      <c r="I53" s="6"/>
      <c r="J53" s="2"/>
    </row>
    <row r="54" spans="1:10" s="1" customFormat="1" ht="20.100000000000001" customHeight="1" x14ac:dyDescent="0.2">
      <c r="A54" s="2"/>
      <c r="B54" s="3"/>
      <c r="C54" s="2"/>
      <c r="D54" s="2"/>
      <c r="E54" s="2"/>
      <c r="F54" s="3"/>
      <c r="G54" s="3"/>
      <c r="H54" s="3"/>
      <c r="I54" s="6"/>
      <c r="J54" s="2"/>
    </row>
    <row r="55" spans="1:10" s="1" customFormat="1" ht="20.100000000000001" customHeight="1" x14ac:dyDescent="0.2">
      <c r="A55" s="2"/>
      <c r="B55" s="3"/>
      <c r="C55" s="2"/>
      <c r="D55" s="2"/>
      <c r="E55" s="2"/>
      <c r="F55" s="3"/>
      <c r="G55" s="3"/>
      <c r="H55" s="3"/>
      <c r="I55" s="6"/>
      <c r="J55" s="2"/>
    </row>
    <row r="56" spans="1:10" s="1" customFormat="1" ht="20.100000000000001" customHeight="1" x14ac:dyDescent="0.2">
      <c r="A56" s="2"/>
      <c r="B56" s="3"/>
      <c r="C56" s="2"/>
      <c r="D56" s="2"/>
      <c r="E56" s="2"/>
      <c r="F56" s="3"/>
      <c r="G56" s="3"/>
      <c r="H56" s="3"/>
      <c r="I56" s="6"/>
      <c r="J56" s="2"/>
    </row>
    <row r="57" spans="1:10" s="1" customFormat="1" ht="20.100000000000001" customHeight="1" x14ac:dyDescent="0.2">
      <c r="A57" s="2"/>
      <c r="B57" s="3"/>
      <c r="C57" s="2"/>
      <c r="D57" s="2"/>
      <c r="E57" s="2"/>
      <c r="F57" s="3"/>
      <c r="G57" s="3"/>
      <c r="H57" s="3"/>
      <c r="I57" s="6"/>
      <c r="J57" s="2"/>
    </row>
  </sheetData>
  <sheetProtection algorithmName="SHA-512" hashValue="Vj2w2Cz7SU46tjryjLpWiKaQ9h2CpgT/6acuyWoJ3jh3HuLeUGwNpnRIITXkUmKCefjpHW2bpGfFes5AQmVJfw==" saltValue="haiJt+FJVgQ06b6iB48fow==" spinCount="100000" sheet="1" objects="1" scenarios="1" selectLockedCells="1" selectUnlockedCells="1"/>
  <mergeCells count="1">
    <mergeCell ref="H2:J2"/>
  </mergeCells>
  <phoneticPr fontId="2" type="noConversion"/>
  <pageMargins left="0.55118110236220474" right="0.39370078740157483" top="0.86614173228346458" bottom="0.74803149606299213" header="0.31496062992125984" footer="0.31496062992125984"/>
  <pageSetup fitToWidth="0" fitToHeight="0" orientation="portrait" r:id="rId1"/>
  <headerFooter>
    <oddHeader xml:space="preserve">&amp;L&amp;8&amp;G&amp;C&amp;14
Paramètres de coupe
&amp;10valeurs de départ&amp;R&amp;7Techniques de génie mécanique
Technique du génie de la maintenance industrielle
(fiabilité des systèmes de production) </oddHeader>
    <oddFooter>&amp;L&amp;8&amp;D&amp;C&amp;8révision H2025_r0&amp;R&amp;8 Page &amp;P de &amp;N</oddFooter>
  </headerFooter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6A728-A8B1-474C-AD7A-E31E859B05F7}">
  <sheetPr codeName="shAvance">
    <tabColor rgb="FFFFC000"/>
  </sheetPr>
  <dimension ref="A1:H31"/>
  <sheetViews>
    <sheetView showGridLines="0" showRowColHeaders="0" showRuler="0" view="pageLayout" zoomScaleNormal="100" workbookViewId="0">
      <selection activeCell="C15" sqref="C15"/>
    </sheetView>
  </sheetViews>
  <sheetFormatPr baseColWidth="10" defaultColWidth="11.42578125" defaultRowHeight="15.75" x14ac:dyDescent="0.25"/>
  <cols>
    <col min="1" max="1" width="13" style="85" customWidth="1"/>
    <col min="2" max="2" width="4.42578125" style="86" customWidth="1"/>
    <col min="3" max="3" width="30.7109375" style="87" customWidth="1"/>
    <col min="4" max="4" width="19.28515625" style="88" customWidth="1"/>
    <col min="5" max="5" width="19.42578125" style="88" hidden="1" customWidth="1"/>
    <col min="6" max="6" width="15" style="88" hidden="1" customWidth="1"/>
    <col min="7" max="7" width="14.85546875" style="88" hidden="1" customWidth="1"/>
    <col min="8" max="8" width="28.5703125" style="88" customWidth="1" collapsed="1"/>
    <col min="9" max="16384" width="11.42578125" style="4"/>
  </cols>
  <sheetData>
    <row r="1" spans="1:8" ht="9.75" customHeight="1" x14ac:dyDescent="0.25"/>
    <row r="2" spans="1:8" ht="21" customHeight="1" x14ac:dyDescent="0.25">
      <c r="E2" s="89"/>
      <c r="G2" s="89"/>
    </row>
    <row r="3" spans="1:8" ht="21.95" customHeight="1" x14ac:dyDescent="0.2">
      <c r="A3" s="91" t="s">
        <v>343</v>
      </c>
      <c r="B3" s="92"/>
      <c r="C3" s="93" t="s">
        <v>6</v>
      </c>
      <c r="D3" s="94" t="s">
        <v>345</v>
      </c>
      <c r="E3" s="115" t="s">
        <v>445</v>
      </c>
      <c r="F3" s="116" t="s">
        <v>444</v>
      </c>
      <c r="G3" s="117" t="s">
        <v>443</v>
      </c>
      <c r="H3" s="1"/>
    </row>
    <row r="4" spans="1:8" ht="21.95" hidden="1" customHeight="1" x14ac:dyDescent="0.2">
      <c r="A4" s="113"/>
      <c r="B4" s="92"/>
      <c r="C4" s="93" t="s">
        <v>6</v>
      </c>
      <c r="D4" s="94" t="s">
        <v>347</v>
      </c>
      <c r="E4" s="95" t="s">
        <v>348</v>
      </c>
      <c r="F4" s="96" t="s">
        <v>685</v>
      </c>
      <c r="G4" s="96" t="s">
        <v>349</v>
      </c>
      <c r="H4" s="1"/>
    </row>
    <row r="5" spans="1:8" ht="28.7" customHeight="1" x14ac:dyDescent="0.2">
      <c r="A5" s="218" t="s">
        <v>342</v>
      </c>
      <c r="B5" s="221" t="s">
        <v>339</v>
      </c>
      <c r="C5" s="97" t="s">
        <v>336</v>
      </c>
      <c r="D5" s="171">
        <v>6.0000000000000001E-3</v>
      </c>
      <c r="E5" s="174">
        <v>0.01</v>
      </c>
      <c r="F5" s="98">
        <v>0</v>
      </c>
      <c r="G5" s="98">
        <v>1</v>
      </c>
      <c r="H5" s="216" t="s">
        <v>697</v>
      </c>
    </row>
    <row r="6" spans="1:8" ht="28.7" customHeight="1" x14ac:dyDescent="0.2">
      <c r="A6" s="219"/>
      <c r="B6" s="222"/>
      <c r="C6" s="99" t="s">
        <v>337</v>
      </c>
      <c r="D6" s="172">
        <v>4.0000000000000001E-3</v>
      </c>
      <c r="E6" s="175">
        <v>0.01</v>
      </c>
      <c r="F6" s="101">
        <v>0</v>
      </c>
      <c r="G6" s="101">
        <v>1</v>
      </c>
      <c r="H6" s="217"/>
    </row>
    <row r="7" spans="1:8" ht="28.7" customHeight="1" x14ac:dyDescent="0.2">
      <c r="A7" s="219"/>
      <c r="B7" s="222"/>
      <c r="C7" s="99" t="s">
        <v>338</v>
      </c>
      <c r="D7" s="172">
        <v>4.0000000000000001E-3</v>
      </c>
      <c r="E7" s="175">
        <v>0.01</v>
      </c>
      <c r="F7" s="101">
        <v>0</v>
      </c>
      <c r="G7" s="101">
        <v>1</v>
      </c>
      <c r="H7" s="217"/>
    </row>
    <row r="8" spans="1:8" ht="28.7" customHeight="1" x14ac:dyDescent="0.2">
      <c r="A8" s="220"/>
      <c r="B8" s="223"/>
      <c r="C8" s="102" t="s">
        <v>344</v>
      </c>
      <c r="D8" s="173">
        <v>2E-3</v>
      </c>
      <c r="E8" s="175">
        <v>0.01</v>
      </c>
      <c r="F8" s="101">
        <v>0</v>
      </c>
      <c r="G8" s="101">
        <v>1</v>
      </c>
      <c r="H8" s="217"/>
    </row>
    <row r="9" spans="1:8" ht="28.7" customHeight="1" x14ac:dyDescent="0.2">
      <c r="A9" s="224" t="s">
        <v>346</v>
      </c>
      <c r="B9" s="221" t="s">
        <v>340</v>
      </c>
      <c r="C9" s="97" t="s">
        <v>3</v>
      </c>
      <c r="D9" s="171">
        <v>6.0000000000000001E-3</v>
      </c>
      <c r="E9" s="175">
        <v>0.01</v>
      </c>
      <c r="F9" s="101">
        <v>0</v>
      </c>
      <c r="G9" s="101">
        <v>1</v>
      </c>
      <c r="H9" s="217"/>
    </row>
    <row r="10" spans="1:8" ht="28.7" customHeight="1" x14ac:dyDescent="0.2">
      <c r="A10" s="219"/>
      <c r="B10" s="222"/>
      <c r="C10" s="99" t="s">
        <v>311</v>
      </c>
      <c r="D10" s="172">
        <v>4.0000000000000001E-3</v>
      </c>
      <c r="E10" s="175">
        <v>0.01</v>
      </c>
      <c r="F10" s="101">
        <v>0</v>
      </c>
      <c r="G10" s="101">
        <v>1</v>
      </c>
      <c r="H10" s="217"/>
    </row>
    <row r="11" spans="1:8" ht="28.7" customHeight="1" x14ac:dyDescent="0.2">
      <c r="A11" s="219"/>
      <c r="B11" s="222"/>
      <c r="C11" s="99" t="s">
        <v>312</v>
      </c>
      <c r="D11" s="172">
        <v>2E-3</v>
      </c>
      <c r="E11" s="175">
        <v>0.01</v>
      </c>
      <c r="F11" s="101">
        <v>0</v>
      </c>
      <c r="G11" s="101">
        <v>1</v>
      </c>
      <c r="H11" s="217"/>
    </row>
    <row r="12" spans="1:8" ht="28.7" customHeight="1" thickBot="1" x14ac:dyDescent="0.25">
      <c r="A12" s="219"/>
      <c r="B12" s="222"/>
      <c r="C12" s="103" t="s">
        <v>313</v>
      </c>
      <c r="D12" s="104">
        <v>1E-3</v>
      </c>
      <c r="E12" s="100">
        <f>'Avances d''usinage'!$D12</f>
        <v>1E-3</v>
      </c>
      <c r="F12" s="101">
        <v>0</v>
      </c>
      <c r="G12" s="101">
        <v>0</v>
      </c>
      <c r="H12" s="105"/>
    </row>
    <row r="13" spans="1:8" ht="28.7" customHeight="1" thickTop="1" x14ac:dyDescent="0.25">
      <c r="A13" s="220"/>
      <c r="B13" s="223"/>
      <c r="C13" s="106" t="s">
        <v>4</v>
      </c>
      <c r="D13" s="107" t="s">
        <v>686</v>
      </c>
      <c r="E13" s="177" t="str">
        <f>'Avances d''usinage'!$D13</f>
        <v>pas du filetage</v>
      </c>
      <c r="F13" s="178">
        <v>1</v>
      </c>
      <c r="G13" s="178">
        <v>0</v>
      </c>
      <c r="H13" s="179"/>
    </row>
    <row r="14" spans="1:8" ht="28.7" customHeight="1" thickBot="1" x14ac:dyDescent="0.25">
      <c r="A14" s="213" t="s">
        <v>341</v>
      </c>
      <c r="B14" s="210" t="s">
        <v>334</v>
      </c>
      <c r="C14" s="109" t="s">
        <v>317</v>
      </c>
      <c r="D14" s="176" t="s">
        <v>686</v>
      </c>
      <c r="E14" s="100" t="str">
        <f>'Avances d''usinage'!$D14</f>
        <v>pas du filetage</v>
      </c>
      <c r="F14" s="101">
        <v>1</v>
      </c>
      <c r="G14" s="101">
        <v>0</v>
      </c>
      <c r="H14" s="110"/>
    </row>
    <row r="15" spans="1:8" ht="28.7" customHeight="1" thickTop="1" thickBot="1" x14ac:dyDescent="0.25">
      <c r="A15" s="214"/>
      <c r="B15" s="211"/>
      <c r="C15" s="109" t="s">
        <v>318</v>
      </c>
      <c r="D15" s="183" t="s">
        <v>686</v>
      </c>
      <c r="E15" s="100" t="str">
        <f>'Avances d''usinage'!$D15</f>
        <v>pas du filetage</v>
      </c>
      <c r="F15" s="101">
        <v>1</v>
      </c>
      <c r="G15" s="101">
        <v>0</v>
      </c>
      <c r="H15" s="105"/>
    </row>
    <row r="16" spans="1:8" ht="28.7" customHeight="1" thickTop="1" thickBot="1" x14ac:dyDescent="0.3">
      <c r="A16" s="214"/>
      <c r="B16" s="211"/>
      <c r="C16" s="109" t="s">
        <v>7</v>
      </c>
      <c r="D16" s="111">
        <v>0.01</v>
      </c>
      <c r="E16" s="100">
        <f>'Avances d''usinage'!$D16</f>
        <v>0.01</v>
      </c>
      <c r="F16" s="101">
        <v>0</v>
      </c>
      <c r="G16" s="101">
        <v>0</v>
      </c>
      <c r="H16" s="108"/>
    </row>
    <row r="17" spans="1:8" s="5" customFormat="1" ht="28.7" customHeight="1" thickTop="1" thickBot="1" x14ac:dyDescent="0.3">
      <c r="A17" s="214"/>
      <c r="B17" s="211"/>
      <c r="C17" s="109" t="s">
        <v>174</v>
      </c>
      <c r="D17" s="111">
        <v>5.0000000000000001E-3</v>
      </c>
      <c r="E17" s="100">
        <f>'Avances d''usinage'!$D17</f>
        <v>5.0000000000000001E-3</v>
      </c>
      <c r="F17" s="101">
        <v>0</v>
      </c>
      <c r="G17" s="101">
        <v>0</v>
      </c>
      <c r="H17" s="101"/>
    </row>
    <row r="18" spans="1:8" s="5" customFormat="1" ht="28.7" customHeight="1" thickTop="1" thickBot="1" x14ac:dyDescent="0.3">
      <c r="A18" s="214"/>
      <c r="B18" s="211"/>
      <c r="C18" s="109" t="s">
        <v>315</v>
      </c>
      <c r="D18" s="111">
        <v>2E-3</v>
      </c>
      <c r="E18" s="100">
        <f>'Avances d''usinage'!$D18</f>
        <v>2E-3</v>
      </c>
      <c r="F18" s="101">
        <v>0</v>
      </c>
      <c r="G18" s="101">
        <v>0</v>
      </c>
      <c r="H18" s="101"/>
    </row>
    <row r="19" spans="1:8" s="5" customFormat="1" ht="28.7" customHeight="1" thickTop="1" thickBot="1" x14ac:dyDescent="0.3">
      <c r="A19" s="214"/>
      <c r="B19" s="212"/>
      <c r="C19" s="112" t="s">
        <v>316</v>
      </c>
      <c r="D19" s="182">
        <v>6.0000000000000001E-3</v>
      </c>
      <c r="E19" s="180">
        <f>'Avances d''usinage'!$D19</f>
        <v>6.0000000000000001E-3</v>
      </c>
      <c r="F19" s="178">
        <v>0</v>
      </c>
      <c r="G19" s="178">
        <v>1</v>
      </c>
      <c r="H19" s="181" t="s">
        <v>696</v>
      </c>
    </row>
    <row r="20" spans="1:8" s="5" customFormat="1" ht="28.7" customHeight="1" thickTop="1" thickBot="1" x14ac:dyDescent="0.3">
      <c r="A20" s="214"/>
      <c r="B20" s="210" t="s">
        <v>335</v>
      </c>
      <c r="C20" s="109" t="s">
        <v>314</v>
      </c>
      <c r="D20" s="111">
        <v>5.0000000000000001E-3</v>
      </c>
      <c r="E20" s="100">
        <f>'Avances d''usinage'!$D20</f>
        <v>5.0000000000000001E-3</v>
      </c>
      <c r="F20" s="101">
        <v>0</v>
      </c>
      <c r="G20" s="101">
        <v>0</v>
      </c>
      <c r="H20" s="101"/>
    </row>
    <row r="21" spans="1:8" s="5" customFormat="1" ht="28.7" customHeight="1" thickTop="1" thickBot="1" x14ac:dyDescent="0.3">
      <c r="A21" s="214"/>
      <c r="B21" s="211"/>
      <c r="C21" s="109" t="s">
        <v>175</v>
      </c>
      <c r="D21" s="111">
        <v>4.0000000000000001E-3</v>
      </c>
      <c r="E21" s="100">
        <f>'Avances d''usinage'!$D21</f>
        <v>4.0000000000000001E-3</v>
      </c>
      <c r="F21" s="101">
        <v>0</v>
      </c>
      <c r="G21" s="101">
        <v>0</v>
      </c>
      <c r="H21" s="101"/>
    </row>
    <row r="22" spans="1:8" s="5" customFormat="1" ht="28.7" customHeight="1" thickTop="1" thickBot="1" x14ac:dyDescent="0.3">
      <c r="A22" s="214"/>
      <c r="B22" s="211"/>
      <c r="C22" s="109" t="s">
        <v>323</v>
      </c>
      <c r="D22" s="111">
        <v>3.0000000000000001E-3</v>
      </c>
      <c r="E22" s="100">
        <f>'Avances d''usinage'!$D22</f>
        <v>3.0000000000000001E-3</v>
      </c>
      <c r="F22" s="101">
        <v>0</v>
      </c>
      <c r="G22" s="101">
        <v>0</v>
      </c>
      <c r="H22" s="101"/>
    </row>
    <row r="23" spans="1:8" s="5" customFormat="1" ht="28.7" customHeight="1" thickTop="1" x14ac:dyDescent="0.25">
      <c r="A23" s="215"/>
      <c r="B23" s="212"/>
      <c r="C23" s="112" t="s">
        <v>322</v>
      </c>
      <c r="D23" s="176">
        <v>3.0000000000000001E-3</v>
      </c>
      <c r="E23" s="177">
        <f>'Avances d''usinage'!$D23</f>
        <v>3.0000000000000001E-3</v>
      </c>
      <c r="F23" s="178">
        <v>0</v>
      </c>
      <c r="G23" s="178">
        <v>0</v>
      </c>
      <c r="H23" s="178"/>
    </row>
    <row r="24" spans="1:8" s="5" customFormat="1" ht="45" customHeight="1" x14ac:dyDescent="0.25">
      <c r="A24" s="90"/>
      <c r="B24" s="84"/>
      <c r="C24" s="89"/>
      <c r="D24" s="89"/>
      <c r="E24" s="89"/>
      <c r="F24" s="89"/>
      <c r="G24" s="89"/>
      <c r="H24" s="88"/>
    </row>
    <row r="25" spans="1:8" s="5" customFormat="1" ht="45" customHeight="1" x14ac:dyDescent="0.25">
      <c r="A25" s="90"/>
      <c r="B25" s="84"/>
      <c r="C25" s="87"/>
      <c r="D25" s="88"/>
      <c r="E25" s="88"/>
      <c r="F25" s="88"/>
      <c r="G25" s="88"/>
      <c r="H25" s="88"/>
    </row>
    <row r="26" spans="1:8" s="5" customFormat="1" ht="45" customHeight="1" x14ac:dyDescent="0.25">
      <c r="A26" s="90"/>
      <c r="B26" s="84"/>
      <c r="C26" s="87"/>
      <c r="D26" s="88"/>
      <c r="E26" s="88"/>
      <c r="F26" s="88"/>
      <c r="G26" s="88"/>
      <c r="H26" s="88"/>
    </row>
    <row r="27" spans="1:8" ht="45" customHeight="1" x14ac:dyDescent="0.25"/>
    <row r="28" spans="1:8" ht="45" customHeight="1" x14ac:dyDescent="0.25"/>
    <row r="29" spans="1:8" ht="45" customHeight="1" x14ac:dyDescent="0.25"/>
    <row r="30" spans="1:8" ht="45" customHeight="1" x14ac:dyDescent="0.25"/>
    <row r="31" spans="1:8" ht="45" customHeight="1" x14ac:dyDescent="0.25"/>
  </sheetData>
  <sheetProtection algorithmName="SHA-512" hashValue="s9dxFDOhtlki0S2TC+3fPhOWqglp2K7DQDWyKodjBMDBBVl/u0y/wQVaba0YNtKg+LTJKcjUQ2z5+lY2lelqAg==" saltValue="CBKsn9o0SrguAGKb+CkO0Q==" spinCount="100000" sheet="1" objects="1" scenarios="1" selectLockedCells="1" selectUnlockedCells="1"/>
  <mergeCells count="8">
    <mergeCell ref="B14:B19"/>
    <mergeCell ref="B20:B23"/>
    <mergeCell ref="A14:A23"/>
    <mergeCell ref="H5:H11"/>
    <mergeCell ref="A5:A8"/>
    <mergeCell ref="B5:B8"/>
    <mergeCell ref="B9:B13"/>
    <mergeCell ref="A9:A13"/>
  </mergeCells>
  <phoneticPr fontId="2" type="noConversion"/>
  <conditionalFormatting sqref="H12:H18 D5:D23 H20:H23">
    <cfRule type="dataBar" priority="37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{895D5908-075C-4484-8E7E-FDF4BDC2E787}</x14:id>
        </ext>
      </extLst>
    </cfRule>
  </conditionalFormatting>
  <conditionalFormatting sqref="F5:G23">
    <cfRule type="iconSet" priority="42">
      <iconSet iconSet="3Symbols2" showValue="0">
        <cfvo type="percent" val="0"/>
        <cfvo type="num" val="0" gte="0"/>
        <cfvo type="num" val="1"/>
      </iconSet>
    </cfRule>
  </conditionalFormatting>
  <conditionalFormatting sqref="H5">
    <cfRule type="dataBar" priority="2">
      <dataBar>
        <cfvo type="min"/>
        <cfvo type="formula" val="MAX($D$5:$D$19)"/>
        <color rgb="FFFFC000"/>
      </dataBar>
      <extLst>
        <ext xmlns:x14="http://schemas.microsoft.com/office/spreadsheetml/2009/9/main" uri="{B025F937-C7B1-47D3-B67F-A62EFF666E3E}">
          <x14:id>{222221D5-DDC3-4152-903E-9D5E4159AC8A}</x14:id>
        </ext>
      </extLst>
    </cfRule>
  </conditionalFormatting>
  <conditionalFormatting sqref="H19">
    <cfRule type="dataBar" priority="1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{5874C2AA-51E4-45E9-BB5E-81588977F71E}</x14:id>
        </ext>
      </extLst>
    </cfRule>
  </conditionalFormatting>
  <dataValidations disablePrompts="1" count="1">
    <dataValidation type="whole" allowBlank="1" showInputMessage="1" showErrorMessage="1" sqref="F5:G23" xr:uid="{EC1A9DF5-3D84-4DC1-873C-F0520BDF7750}">
      <formula1>0</formula1>
      <formula2>1</formula2>
    </dataValidation>
  </dataValidations>
  <pageMargins left="0.55118110236220474" right="0.39370078740157483" top="0.86614173228346458" bottom="0.74803149606299213" header="0.31496062992125984" footer="0.31496062992125984"/>
  <pageSetup orientation="portrait" r:id="rId1"/>
  <headerFooter>
    <oddHeader xml:space="preserve">&amp;L&amp;G&amp;C&amp;14
Paramètres de coupe&amp;11
&amp;10valeurs de départ&amp;R&amp;7Techniques de génie mécanique
Technique du génie de la maintenance industrielle
(fiabilité des systèmes de production) </oddHeader>
    <oddFooter>&amp;L&amp;8&amp;D&amp;C&amp;8révision H2025_r0&amp;R&amp;8 Page &amp;P de &amp;N</oddFooter>
  </headerFooter>
  <drawing r:id="rId2"/>
  <legacyDrawingHF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5D5908-075C-4484-8E7E-FDF4BDC2E78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H12:H18 D5:D23 H20:H23</xm:sqref>
        </x14:conditionalFormatting>
        <x14:conditionalFormatting xmlns:xm="http://schemas.microsoft.com/office/excel/2006/main">
          <x14:cfRule type="dataBar" id="{222221D5-DDC3-4152-903E-9D5E4159AC8A}">
            <x14:dataBar minLength="0" maxLength="100" direction="rightToLeft">
              <x14:cfvo type="autoMin"/>
              <x14:cfvo type="formula">
                <xm:f>MAX($D$5:$D$19)</xm:f>
              </x14:cfvo>
              <x14:negativeFillColor rgb="FFFF0000"/>
              <x14:axisColor rgb="FF000000"/>
            </x14:dataBar>
          </x14:cfRule>
          <xm:sqref>H5</xm:sqref>
        </x14:conditionalFormatting>
        <x14:conditionalFormatting xmlns:xm="http://schemas.microsoft.com/office/excel/2006/main">
          <x14:cfRule type="dataBar" id="{5874C2AA-51E4-45E9-BB5E-81588977F71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98E27-6911-491C-940F-EEB5C611EF4C}">
  <sheetPr codeName="shOutil">
    <tabColor rgb="FF0070C0"/>
    <outlinePr summaryBelow="0" summaryRight="0"/>
  </sheetPr>
  <dimension ref="A1:AC356"/>
  <sheetViews>
    <sheetView zoomScaleNormal="100" workbookViewId="0">
      <pane ySplit="2" topLeftCell="A3" activePane="bottomLeft" state="frozen"/>
      <selection pane="bottomLeft" activeCell="A3" sqref="A3"/>
    </sheetView>
  </sheetViews>
  <sheetFormatPr baseColWidth="10" defaultColWidth="35.7109375" defaultRowHeight="15" x14ac:dyDescent="0.25"/>
  <cols>
    <col min="1" max="16384" width="35.7109375" style="124"/>
  </cols>
  <sheetData>
    <row r="1" spans="1:29" s="185" customFormat="1" ht="69.95" customHeight="1" thickBot="1" x14ac:dyDescent="0.3">
      <c r="A1" s="185" t="s">
        <v>114</v>
      </c>
      <c r="B1" s="185" t="s">
        <v>114</v>
      </c>
      <c r="C1" s="185" t="s">
        <v>112</v>
      </c>
      <c r="D1" s="185" t="s">
        <v>113</v>
      </c>
      <c r="E1" s="185" t="s">
        <v>484</v>
      </c>
      <c r="F1" s="185" t="s">
        <v>484</v>
      </c>
      <c r="G1" s="185" t="s">
        <v>115</v>
      </c>
      <c r="H1" s="185" t="s">
        <v>207</v>
      </c>
      <c r="I1" s="185" t="s">
        <v>207</v>
      </c>
      <c r="J1" s="185" t="s">
        <v>647</v>
      </c>
      <c r="K1" s="185" t="s">
        <v>459</v>
      </c>
      <c r="L1" s="185" t="s">
        <v>111</v>
      </c>
      <c r="M1" s="185" t="s">
        <v>690</v>
      </c>
      <c r="N1" s="185" t="s">
        <v>690</v>
      </c>
      <c r="O1" s="185" t="s">
        <v>689</v>
      </c>
      <c r="P1" s="185" t="s">
        <v>423</v>
      </c>
      <c r="Q1" s="185" t="s">
        <v>424</v>
      </c>
      <c r="R1" s="185" t="s">
        <v>319</v>
      </c>
      <c r="S1" s="185" t="s">
        <v>460</v>
      </c>
      <c r="T1" s="185" t="s">
        <v>460</v>
      </c>
      <c r="U1" s="185" t="s">
        <v>461</v>
      </c>
      <c r="V1" s="185" t="s">
        <v>462</v>
      </c>
      <c r="W1" s="185" t="s">
        <v>463</v>
      </c>
      <c r="X1" s="185" t="s">
        <v>648</v>
      </c>
      <c r="Y1" s="185" t="s">
        <v>464</v>
      </c>
      <c r="Z1" s="185" t="s">
        <v>464</v>
      </c>
      <c r="AA1" s="185" t="s">
        <v>465</v>
      </c>
      <c r="AB1" s="185" t="s">
        <v>642</v>
      </c>
      <c r="AC1" s="185" t="s">
        <v>643</v>
      </c>
    </row>
    <row r="2" spans="1:29" s="196" customFormat="1" ht="99.95" customHeight="1" thickBot="1" x14ac:dyDescent="0.3"/>
    <row r="3" spans="1:29" s="186" customFormat="1" ht="24.75" customHeight="1" x14ac:dyDescent="0.25">
      <c r="A3" s="186">
        <v>0</v>
      </c>
      <c r="B3" s="186">
        <v>0</v>
      </c>
      <c r="C3" s="186">
        <v>0</v>
      </c>
      <c r="D3" s="186">
        <v>0</v>
      </c>
      <c r="E3" s="186">
        <v>0</v>
      </c>
      <c r="F3" s="186">
        <v>0</v>
      </c>
      <c r="G3" s="186">
        <v>0</v>
      </c>
      <c r="H3" s="186">
        <v>0</v>
      </c>
      <c r="I3" s="186">
        <v>0</v>
      </c>
      <c r="J3" s="186">
        <v>0</v>
      </c>
      <c r="K3" s="186">
        <v>0</v>
      </c>
      <c r="L3" s="186">
        <v>0</v>
      </c>
      <c r="M3" s="186">
        <v>0</v>
      </c>
      <c r="N3" s="186">
        <v>0</v>
      </c>
      <c r="O3" s="186">
        <v>0</v>
      </c>
      <c r="P3" s="186">
        <v>1</v>
      </c>
      <c r="Q3" s="186">
        <v>3</v>
      </c>
      <c r="R3" s="186">
        <v>3</v>
      </c>
      <c r="S3" s="186">
        <v>1</v>
      </c>
      <c r="T3" s="186">
        <v>1</v>
      </c>
      <c r="U3" s="186">
        <v>3</v>
      </c>
      <c r="V3" s="186">
        <v>1</v>
      </c>
      <c r="W3" s="186">
        <v>0</v>
      </c>
      <c r="X3" s="186">
        <v>0</v>
      </c>
      <c r="Y3" s="186">
        <v>1</v>
      </c>
      <c r="Z3" s="186">
        <v>1</v>
      </c>
      <c r="AA3" s="186">
        <v>0</v>
      </c>
      <c r="AB3" s="186">
        <v>0</v>
      </c>
      <c r="AC3" s="186">
        <v>0</v>
      </c>
    </row>
    <row r="4" spans="1:29" s="187" customFormat="1" ht="30" customHeight="1" x14ac:dyDescent="0.25">
      <c r="A4" s="187" t="s">
        <v>652</v>
      </c>
      <c r="B4" s="187" t="s">
        <v>652</v>
      </c>
      <c r="C4" s="187" t="s">
        <v>652</v>
      </c>
      <c r="D4" s="187" t="s">
        <v>652</v>
      </c>
      <c r="E4" s="187" t="s">
        <v>652</v>
      </c>
      <c r="F4" s="187" t="s">
        <v>652</v>
      </c>
      <c r="G4" s="187" t="s">
        <v>457</v>
      </c>
      <c r="H4" s="187" t="s">
        <v>418</v>
      </c>
      <c r="I4" s="187" t="s">
        <v>418</v>
      </c>
      <c r="J4" s="187" t="s">
        <v>419</v>
      </c>
      <c r="K4" s="187" t="s">
        <v>420</v>
      </c>
      <c r="L4" s="187" t="s">
        <v>421</v>
      </c>
      <c r="M4" s="187" t="s">
        <v>422</v>
      </c>
      <c r="N4" s="187" t="s">
        <v>422</v>
      </c>
      <c r="O4" s="187" t="s">
        <v>422</v>
      </c>
      <c r="P4" s="187" t="s">
        <v>455</v>
      </c>
      <c r="Q4" s="187" t="s">
        <v>456</v>
      </c>
      <c r="R4" s="187" t="s">
        <v>454</v>
      </c>
      <c r="S4" s="187" t="s">
        <v>651</v>
      </c>
      <c r="T4" s="187" t="s">
        <v>651</v>
      </c>
      <c r="U4" s="187" t="s">
        <v>482</v>
      </c>
      <c r="V4" s="187" t="s">
        <v>467</v>
      </c>
      <c r="W4" s="187" t="s">
        <v>480</v>
      </c>
      <c r="X4" s="187" t="s">
        <v>468</v>
      </c>
      <c r="Y4" s="187" t="s">
        <v>469</v>
      </c>
      <c r="Z4" s="187" t="s">
        <v>469</v>
      </c>
      <c r="AA4" s="187" t="s">
        <v>481</v>
      </c>
      <c r="AB4" s="187" t="s">
        <v>653</v>
      </c>
      <c r="AC4" s="187" t="s">
        <v>645</v>
      </c>
    </row>
    <row r="5" spans="1:29" s="188" customFormat="1" ht="30" customHeight="1" x14ac:dyDescent="0.25">
      <c r="A5" s="188" t="s">
        <v>217</v>
      </c>
      <c r="B5" s="188" t="s">
        <v>681</v>
      </c>
      <c r="C5" s="188" t="s">
        <v>208</v>
      </c>
      <c r="D5" s="188" t="s">
        <v>218</v>
      </c>
      <c r="E5" s="188" t="s">
        <v>217</v>
      </c>
      <c r="F5" s="188" t="s">
        <v>691</v>
      </c>
      <c r="G5" s="188" t="s">
        <v>458</v>
      </c>
      <c r="H5" s="188" t="s">
        <v>216</v>
      </c>
      <c r="I5" s="188" t="s">
        <v>216</v>
      </c>
      <c r="J5" s="188" t="s">
        <v>215</v>
      </c>
      <c r="K5" s="188" t="s">
        <v>214</v>
      </c>
      <c r="L5" s="188" t="s">
        <v>213</v>
      </c>
      <c r="M5" s="188" t="s">
        <v>211</v>
      </c>
      <c r="N5" s="188" t="s">
        <v>212</v>
      </c>
      <c r="O5" s="188" t="s">
        <v>687</v>
      </c>
      <c r="P5" s="188" t="s">
        <v>209</v>
      </c>
      <c r="Q5" s="188" t="s">
        <v>210</v>
      </c>
      <c r="R5" s="188" t="s">
        <v>320</v>
      </c>
      <c r="S5" s="188" t="s">
        <v>649</v>
      </c>
      <c r="T5" s="188" t="s">
        <v>688</v>
      </c>
      <c r="W5" s="188" t="s">
        <v>650</v>
      </c>
      <c r="X5" s="188" t="s">
        <v>458</v>
      </c>
      <c r="Y5" s="188" t="s">
        <v>483</v>
      </c>
      <c r="Z5" s="188" t="s">
        <v>692</v>
      </c>
      <c r="AA5" s="188" t="s">
        <v>466</v>
      </c>
      <c r="AB5" s="188" t="s">
        <v>644</v>
      </c>
      <c r="AC5" s="188" t="s">
        <v>646</v>
      </c>
    </row>
    <row r="6" spans="1:29" s="189" customFormat="1" ht="24.75" customHeight="1" x14ac:dyDescent="0.25">
      <c r="A6" s="189" t="s">
        <v>3</v>
      </c>
      <c r="B6" s="189" t="s">
        <v>3</v>
      </c>
      <c r="C6" s="189" t="s">
        <v>3</v>
      </c>
      <c r="D6" s="189" t="s">
        <v>3</v>
      </c>
      <c r="E6" s="189" t="s">
        <v>3</v>
      </c>
      <c r="F6" s="189" t="s">
        <v>3</v>
      </c>
      <c r="G6" s="189" t="s">
        <v>3</v>
      </c>
      <c r="H6" s="189" t="s">
        <v>312</v>
      </c>
      <c r="I6" s="189" t="s">
        <v>312</v>
      </c>
      <c r="J6" s="189" t="s">
        <v>336</v>
      </c>
      <c r="K6" s="189" t="s">
        <v>337</v>
      </c>
      <c r="L6" s="189" t="s">
        <v>338</v>
      </c>
      <c r="M6" s="189" t="s">
        <v>4</v>
      </c>
      <c r="N6" s="189" t="s">
        <v>4</v>
      </c>
      <c r="O6" s="189" t="s">
        <v>4</v>
      </c>
      <c r="P6" s="189" t="s">
        <v>7</v>
      </c>
      <c r="Q6" s="189" t="s">
        <v>174</v>
      </c>
      <c r="R6" s="189" t="s">
        <v>175</v>
      </c>
      <c r="S6" s="189" t="s">
        <v>318</v>
      </c>
      <c r="T6" s="189" t="s">
        <v>318</v>
      </c>
      <c r="U6" s="189" t="s">
        <v>322</v>
      </c>
      <c r="V6" s="189" t="s">
        <v>316</v>
      </c>
      <c r="W6" s="189" t="s">
        <v>315</v>
      </c>
      <c r="X6" s="189" t="s">
        <v>311</v>
      </c>
      <c r="Y6" s="189" t="s">
        <v>317</v>
      </c>
      <c r="Z6" s="189" t="s">
        <v>317</v>
      </c>
      <c r="AA6" s="189" t="s">
        <v>313</v>
      </c>
      <c r="AB6" s="189" t="s">
        <v>311</v>
      </c>
      <c r="AC6" s="189" t="s">
        <v>311</v>
      </c>
    </row>
    <row r="7" spans="1:29" s="190" customFormat="1" ht="30" customHeight="1" x14ac:dyDescent="0.25">
      <c r="A7" s="190">
        <v>1</v>
      </c>
      <c r="B7" s="190">
        <v>1</v>
      </c>
      <c r="C7" s="190">
        <v>1</v>
      </c>
      <c r="D7" s="190">
        <v>1</v>
      </c>
      <c r="E7" s="190">
        <v>1</v>
      </c>
      <c r="F7" s="190">
        <v>1</v>
      </c>
      <c r="G7" s="190">
        <v>1</v>
      </c>
      <c r="H7" s="190">
        <v>0.25</v>
      </c>
      <c r="I7" s="190">
        <v>0.25</v>
      </c>
      <c r="J7" s="190">
        <v>1</v>
      </c>
      <c r="K7" s="190">
        <v>1</v>
      </c>
      <c r="L7" s="190">
        <v>1</v>
      </c>
      <c r="M7" s="190">
        <v>1</v>
      </c>
      <c r="N7" s="190">
        <v>1</v>
      </c>
      <c r="O7" s="190">
        <v>1</v>
      </c>
      <c r="P7" s="190">
        <v>1</v>
      </c>
      <c r="Q7" s="190">
        <v>1</v>
      </c>
      <c r="R7" s="190">
        <v>0.125</v>
      </c>
      <c r="S7" s="190">
        <v>1</v>
      </c>
      <c r="T7" s="190">
        <v>1</v>
      </c>
      <c r="U7" s="190">
        <v>0.25</v>
      </c>
      <c r="V7" s="190">
        <v>1</v>
      </c>
      <c r="W7" s="190">
        <v>1</v>
      </c>
      <c r="X7" s="190">
        <v>1</v>
      </c>
      <c r="Y7" s="190">
        <v>1</v>
      </c>
      <c r="Z7" s="190">
        <v>1</v>
      </c>
      <c r="AA7" s="190">
        <v>1</v>
      </c>
      <c r="AB7" s="190">
        <v>0.25</v>
      </c>
      <c r="AC7" s="190">
        <v>1</v>
      </c>
    </row>
    <row r="8" spans="1:29" s="191" customFormat="1" x14ac:dyDescent="0.25">
      <c r="A8" s="191">
        <v>1</v>
      </c>
      <c r="B8" s="191">
        <v>1</v>
      </c>
      <c r="C8" s="191">
        <v>1</v>
      </c>
      <c r="D8" s="191">
        <v>1</v>
      </c>
      <c r="E8" s="191">
        <v>1</v>
      </c>
      <c r="F8" s="191">
        <v>1</v>
      </c>
      <c r="G8" s="191">
        <v>1</v>
      </c>
      <c r="H8" s="191">
        <v>1</v>
      </c>
      <c r="I8" s="191">
        <v>1</v>
      </c>
      <c r="J8" s="191">
        <v>1</v>
      </c>
      <c r="K8" s="191">
        <v>1</v>
      </c>
      <c r="L8" s="191">
        <v>1</v>
      </c>
      <c r="M8" s="191">
        <v>1</v>
      </c>
      <c r="N8" s="191">
        <v>1</v>
      </c>
      <c r="O8" s="191">
        <v>1</v>
      </c>
      <c r="P8" s="191">
        <v>1</v>
      </c>
      <c r="Q8" s="191">
        <v>1</v>
      </c>
      <c r="R8" s="191">
        <v>1</v>
      </c>
      <c r="S8" s="191">
        <v>1</v>
      </c>
      <c r="T8" s="191">
        <v>1</v>
      </c>
      <c r="U8" s="191">
        <v>1</v>
      </c>
      <c r="V8" s="191">
        <v>1</v>
      </c>
      <c r="W8" s="191">
        <v>1</v>
      </c>
      <c r="X8" s="191">
        <v>1</v>
      </c>
      <c r="Y8" s="191">
        <v>1</v>
      </c>
      <c r="Z8" s="191">
        <v>1</v>
      </c>
      <c r="AA8" s="191">
        <v>1</v>
      </c>
      <c r="AB8" s="191">
        <v>1</v>
      </c>
      <c r="AC8" s="191">
        <v>1</v>
      </c>
    </row>
    <row r="9" spans="1:29" s="192" customFormat="1" x14ac:dyDescent="0.25">
      <c r="A9" s="192">
        <v>10000</v>
      </c>
      <c r="B9" s="192">
        <v>10000</v>
      </c>
      <c r="C9" s="192">
        <v>10000</v>
      </c>
      <c r="D9" s="192">
        <v>10000</v>
      </c>
      <c r="E9" s="192">
        <v>10000</v>
      </c>
      <c r="F9" s="192">
        <v>10000</v>
      </c>
      <c r="G9" s="192">
        <v>10000</v>
      </c>
      <c r="H9" s="192">
        <v>10000</v>
      </c>
      <c r="I9" s="192">
        <v>10000</v>
      </c>
      <c r="J9" s="192">
        <v>10000</v>
      </c>
      <c r="K9" s="192">
        <v>10000</v>
      </c>
      <c r="L9" s="192">
        <v>10000</v>
      </c>
      <c r="M9" s="192">
        <v>1000</v>
      </c>
      <c r="N9" s="192">
        <v>1000</v>
      </c>
      <c r="O9" s="192">
        <v>1000</v>
      </c>
      <c r="P9" s="192">
        <v>3000</v>
      </c>
      <c r="Q9" s="192">
        <v>3000</v>
      </c>
      <c r="R9" s="192">
        <v>3000</v>
      </c>
      <c r="S9" s="192">
        <v>3000</v>
      </c>
      <c r="T9" s="192">
        <v>3000</v>
      </c>
      <c r="U9" s="192">
        <v>3000</v>
      </c>
      <c r="V9" s="192">
        <v>3000</v>
      </c>
      <c r="W9" s="192">
        <v>10000</v>
      </c>
      <c r="X9" s="192">
        <v>10000</v>
      </c>
      <c r="Y9" s="192">
        <v>3000</v>
      </c>
      <c r="Z9" s="192">
        <v>3000</v>
      </c>
      <c r="AA9" s="192">
        <v>10000</v>
      </c>
      <c r="AB9" s="192">
        <v>10000</v>
      </c>
      <c r="AC9" s="192">
        <v>10000</v>
      </c>
    </row>
    <row r="10" spans="1:29" s="193" customFormat="1" ht="15" customHeight="1" x14ac:dyDescent="0.25">
      <c r="A10" s="193">
        <v>0.01</v>
      </c>
      <c r="B10" s="193">
        <v>0.01</v>
      </c>
      <c r="C10" s="193">
        <v>0.01</v>
      </c>
      <c r="D10" s="193">
        <v>0.01</v>
      </c>
      <c r="E10" s="193">
        <v>0.01</v>
      </c>
      <c r="F10" s="193">
        <v>0.01</v>
      </c>
      <c r="G10" s="193">
        <v>0.01</v>
      </c>
      <c r="H10" s="193">
        <v>0.01</v>
      </c>
      <c r="I10" s="193">
        <v>0.01</v>
      </c>
      <c r="J10" s="193">
        <v>0.01</v>
      </c>
      <c r="K10" s="193">
        <v>0.01</v>
      </c>
      <c r="L10" s="193">
        <v>0.01</v>
      </c>
      <c r="P10" s="193">
        <v>0.01</v>
      </c>
      <c r="Q10" s="193">
        <v>0.01</v>
      </c>
      <c r="R10" s="193">
        <v>0.01</v>
      </c>
      <c r="S10" s="193">
        <v>0.01</v>
      </c>
      <c r="T10" s="193">
        <v>0.01</v>
      </c>
      <c r="U10" s="193">
        <v>0.01</v>
      </c>
      <c r="V10" s="193">
        <v>0.01</v>
      </c>
      <c r="W10" s="193">
        <v>0.01</v>
      </c>
      <c r="X10" s="193">
        <v>0.01</v>
      </c>
      <c r="Y10" s="193">
        <v>0.01</v>
      </c>
      <c r="Z10" s="193">
        <v>0.01</v>
      </c>
      <c r="AA10" s="193">
        <v>0.01</v>
      </c>
      <c r="AB10" s="193">
        <v>0.01</v>
      </c>
      <c r="AC10" s="193">
        <v>0.01</v>
      </c>
    </row>
    <row r="11" spans="1:29" s="194" customFormat="1" ht="30" customHeight="1" x14ac:dyDescent="0.25">
      <c r="A11" s="194">
        <v>2</v>
      </c>
      <c r="B11" s="194">
        <v>2</v>
      </c>
      <c r="C11" s="194">
        <v>2</v>
      </c>
      <c r="D11" s="194">
        <v>2</v>
      </c>
      <c r="E11" s="194">
        <v>2</v>
      </c>
      <c r="F11" s="194">
        <v>2</v>
      </c>
      <c r="G11" s="194">
        <v>1</v>
      </c>
      <c r="H11" s="194">
        <v>6</v>
      </c>
      <c r="I11" s="194">
        <v>8</v>
      </c>
      <c r="J11" s="194">
        <v>2</v>
      </c>
      <c r="K11" s="194">
        <v>3</v>
      </c>
      <c r="L11" s="194">
        <v>3</v>
      </c>
      <c r="M11" s="194">
        <v>1</v>
      </c>
      <c r="N11" s="194">
        <v>1</v>
      </c>
      <c r="O11" s="194">
        <v>1</v>
      </c>
      <c r="P11" s="194">
        <v>1</v>
      </c>
      <c r="Q11" s="194">
        <v>1</v>
      </c>
      <c r="R11" s="194">
        <v>1</v>
      </c>
      <c r="S11" s="194">
        <v>1</v>
      </c>
      <c r="T11" s="194">
        <v>1</v>
      </c>
      <c r="U11" s="194">
        <v>1</v>
      </c>
      <c r="V11" s="194">
        <v>1</v>
      </c>
      <c r="W11" s="194">
        <v>1</v>
      </c>
      <c r="X11" s="194">
        <v>1</v>
      </c>
      <c r="Y11" s="194">
        <v>1</v>
      </c>
      <c r="Z11" s="194">
        <v>1</v>
      </c>
      <c r="AA11" s="194">
        <v>2</v>
      </c>
      <c r="AB11" s="194">
        <v>3</v>
      </c>
      <c r="AC11" s="194">
        <v>2</v>
      </c>
    </row>
    <row r="12" spans="1:29" s="195" customFormat="1" ht="50.1" customHeight="1" x14ac:dyDescent="0.25">
      <c r="A12" s="195">
        <v>2</v>
      </c>
      <c r="B12" s="195">
        <v>2</v>
      </c>
      <c r="C12" s="195">
        <v>2</v>
      </c>
      <c r="D12" s="195">
        <v>2</v>
      </c>
      <c r="E12" s="195">
        <v>2</v>
      </c>
      <c r="F12" s="195">
        <v>2</v>
      </c>
      <c r="G12" s="195">
        <v>1</v>
      </c>
      <c r="H12" s="195">
        <v>6</v>
      </c>
      <c r="I12" s="195">
        <v>8</v>
      </c>
      <c r="J12" s="195">
        <v>5</v>
      </c>
      <c r="K12" s="195">
        <v>3</v>
      </c>
      <c r="L12" s="195">
        <v>5</v>
      </c>
      <c r="M12" s="195">
        <v>1</v>
      </c>
      <c r="N12" s="195">
        <v>1</v>
      </c>
      <c r="O12" s="195">
        <v>1</v>
      </c>
      <c r="P12" s="195">
        <v>1</v>
      </c>
      <c r="Q12" s="195">
        <v>1</v>
      </c>
      <c r="R12" s="195">
        <v>1</v>
      </c>
      <c r="S12" s="195">
        <v>1</v>
      </c>
      <c r="T12" s="195">
        <v>1</v>
      </c>
      <c r="U12" s="195">
        <v>1</v>
      </c>
      <c r="V12" s="195">
        <v>1</v>
      </c>
      <c r="W12" s="195">
        <v>1</v>
      </c>
      <c r="X12" s="195">
        <v>1</v>
      </c>
      <c r="Y12" s="195">
        <v>1</v>
      </c>
      <c r="Z12" s="195">
        <v>1</v>
      </c>
      <c r="AA12" s="195">
        <v>2</v>
      </c>
      <c r="AB12" s="195">
        <v>3</v>
      </c>
      <c r="AC12" s="195">
        <v>2</v>
      </c>
    </row>
    <row r="13" spans="1:29" s="169" customFormat="1" ht="15" customHeight="1" x14ac:dyDescent="0.25">
      <c r="A13" s="169" t="s">
        <v>5</v>
      </c>
      <c r="B13" s="169" t="s">
        <v>5</v>
      </c>
      <c r="C13" s="169" t="s">
        <v>5</v>
      </c>
      <c r="D13" s="169" t="s">
        <v>5</v>
      </c>
      <c r="E13" s="169" t="s">
        <v>5</v>
      </c>
      <c r="F13" s="169" t="s">
        <v>5</v>
      </c>
      <c r="G13" s="169" t="s">
        <v>173</v>
      </c>
      <c r="H13" s="169" t="s">
        <v>5</v>
      </c>
      <c r="I13" s="169" t="s">
        <v>5</v>
      </c>
      <c r="J13" s="169" t="s">
        <v>5</v>
      </c>
      <c r="K13" s="169" t="s">
        <v>173</v>
      </c>
      <c r="L13" s="169" t="s">
        <v>173</v>
      </c>
      <c r="M13" s="169" t="s">
        <v>5</v>
      </c>
      <c r="N13" s="169" t="s">
        <v>5</v>
      </c>
      <c r="O13" s="169" t="s">
        <v>5</v>
      </c>
      <c r="P13" s="169" t="s">
        <v>173</v>
      </c>
      <c r="Q13" s="169" t="s">
        <v>173</v>
      </c>
      <c r="R13" s="169" t="s">
        <v>173</v>
      </c>
      <c r="S13" s="169" t="s">
        <v>173</v>
      </c>
      <c r="T13" s="169" t="s">
        <v>173</v>
      </c>
      <c r="U13" s="169" t="s">
        <v>173</v>
      </c>
      <c r="V13" s="169" t="s">
        <v>173</v>
      </c>
      <c r="W13" s="169" t="s">
        <v>5</v>
      </c>
      <c r="X13" s="169" t="s">
        <v>173</v>
      </c>
      <c r="Y13" s="169" t="s">
        <v>173</v>
      </c>
      <c r="Z13" s="169" t="s">
        <v>173</v>
      </c>
      <c r="AA13" s="169" t="s">
        <v>5</v>
      </c>
      <c r="AB13" s="169" t="s">
        <v>5</v>
      </c>
      <c r="AC13" s="169" t="s">
        <v>5</v>
      </c>
    </row>
    <row r="14" spans="1:29" s="169" customFormat="1" ht="15" customHeight="1" x14ac:dyDescent="0.25">
      <c r="A14" s="169" t="s">
        <v>172</v>
      </c>
      <c r="B14" s="169" t="s">
        <v>172</v>
      </c>
      <c r="C14" s="169" t="s">
        <v>172</v>
      </c>
      <c r="D14" s="169" t="s">
        <v>172</v>
      </c>
      <c r="E14" s="169" t="s">
        <v>172</v>
      </c>
      <c r="F14" s="169" t="s">
        <v>172</v>
      </c>
      <c r="H14" s="169" t="s">
        <v>172</v>
      </c>
      <c r="J14" s="169" t="s">
        <v>172</v>
      </c>
      <c r="M14" s="169" t="s">
        <v>172</v>
      </c>
      <c r="N14" s="169" t="s">
        <v>172</v>
      </c>
      <c r="O14" s="169" t="s">
        <v>172</v>
      </c>
      <c r="W14" s="169" t="s">
        <v>172</v>
      </c>
      <c r="AA14" s="169" t="s">
        <v>172</v>
      </c>
      <c r="AB14" s="169" t="s">
        <v>172</v>
      </c>
      <c r="AC14" s="169" t="s">
        <v>172</v>
      </c>
    </row>
    <row r="15" spans="1:29" s="169" customFormat="1" ht="15" customHeight="1" x14ac:dyDescent="0.25">
      <c r="B15" s="169" t="s">
        <v>173</v>
      </c>
    </row>
    <row r="16" spans="1:29" s="169" customFormat="1" ht="15" customHeight="1" x14ac:dyDescent="0.25"/>
    <row r="17" spans="1:29" s="169" customFormat="1" ht="15" customHeight="1" x14ac:dyDescent="0.25"/>
    <row r="18" spans="1:29" s="169" customFormat="1" ht="15" customHeight="1" x14ac:dyDescent="0.25"/>
    <row r="19" spans="1:29" s="169" customFormat="1" ht="15" customHeight="1" x14ac:dyDescent="0.25"/>
    <row r="20" spans="1:29" s="169" customFormat="1" ht="15" customHeight="1" x14ac:dyDescent="0.25"/>
    <row r="21" spans="1:29" s="169" customFormat="1" ht="15" customHeight="1" x14ac:dyDescent="0.25"/>
    <row r="22" spans="1:29" s="170" customFormat="1" ht="30" customHeight="1" thickBot="1" x14ac:dyDescent="0.3"/>
    <row r="23" spans="1:29" s="125" customFormat="1" ht="15" customHeight="1" thickTop="1" x14ac:dyDescent="0.25">
      <c r="A23" s="125" t="s">
        <v>185</v>
      </c>
      <c r="B23" s="125" t="s">
        <v>185</v>
      </c>
      <c r="C23" s="125" t="s">
        <v>185</v>
      </c>
      <c r="D23" s="125" t="s">
        <v>185</v>
      </c>
      <c r="E23" s="125" t="s">
        <v>185</v>
      </c>
      <c r="F23" s="125" t="s">
        <v>185</v>
      </c>
      <c r="G23" s="125" t="s">
        <v>185</v>
      </c>
      <c r="H23" s="125" t="s">
        <v>185</v>
      </c>
      <c r="I23" s="125" t="s">
        <v>185</v>
      </c>
      <c r="J23" s="125" t="s">
        <v>185</v>
      </c>
      <c r="K23" s="125" t="s">
        <v>185</v>
      </c>
      <c r="L23" s="125" t="s">
        <v>185</v>
      </c>
      <c r="M23" s="125" t="s">
        <v>185</v>
      </c>
      <c r="N23" s="125" t="s">
        <v>185</v>
      </c>
      <c r="O23" s="125" t="s">
        <v>185</v>
      </c>
      <c r="P23" s="125" t="s">
        <v>185</v>
      </c>
      <c r="Q23" s="125" t="s">
        <v>185</v>
      </c>
      <c r="R23" s="125" t="s">
        <v>185</v>
      </c>
      <c r="S23" s="125" t="s">
        <v>185</v>
      </c>
      <c r="T23" s="125" t="s">
        <v>185</v>
      </c>
      <c r="U23" s="125" t="s">
        <v>185</v>
      </c>
      <c r="V23" s="125" t="s">
        <v>185</v>
      </c>
      <c r="W23" s="125" t="s">
        <v>185</v>
      </c>
      <c r="X23" s="125" t="s">
        <v>185</v>
      </c>
      <c r="Y23" s="125" t="s">
        <v>185</v>
      </c>
      <c r="Z23" s="125" t="s">
        <v>185</v>
      </c>
      <c r="AA23" s="125" t="s">
        <v>185</v>
      </c>
      <c r="AB23" s="125" t="s">
        <v>185</v>
      </c>
      <c r="AC23" s="125" t="s">
        <v>185</v>
      </c>
    </row>
    <row r="24" spans="1:29" s="126" customFormat="1" x14ac:dyDescent="0.25">
      <c r="A24" s="126" t="s">
        <v>188</v>
      </c>
      <c r="B24" s="126" t="s">
        <v>188</v>
      </c>
      <c r="C24" s="126" t="s">
        <v>188</v>
      </c>
      <c r="D24" s="126" t="s">
        <v>188</v>
      </c>
      <c r="E24" s="126" t="s">
        <v>188</v>
      </c>
      <c r="F24" s="126" t="s">
        <v>188</v>
      </c>
      <c r="G24" s="126" t="s">
        <v>188</v>
      </c>
      <c r="H24" s="126" t="s">
        <v>188</v>
      </c>
      <c r="I24" s="126" t="s">
        <v>188</v>
      </c>
      <c r="J24" s="126" t="s">
        <v>188</v>
      </c>
      <c r="K24" s="126" t="s">
        <v>188</v>
      </c>
      <c r="L24" s="126" t="s">
        <v>188</v>
      </c>
      <c r="M24" s="126" t="s">
        <v>188</v>
      </c>
      <c r="N24" s="126" t="s">
        <v>188</v>
      </c>
      <c r="O24" s="126" t="s">
        <v>188</v>
      </c>
      <c r="P24" s="126" t="s">
        <v>188</v>
      </c>
      <c r="Q24" s="126" t="s">
        <v>188</v>
      </c>
      <c r="R24" s="126" t="s">
        <v>188</v>
      </c>
      <c r="S24" s="126" t="s">
        <v>188</v>
      </c>
      <c r="T24" s="126" t="s">
        <v>188</v>
      </c>
      <c r="U24" s="126" t="s">
        <v>188</v>
      </c>
      <c r="V24" s="126" t="s">
        <v>188</v>
      </c>
      <c r="W24" s="126" t="s">
        <v>188</v>
      </c>
      <c r="X24" s="126" t="s">
        <v>188</v>
      </c>
      <c r="Y24" s="126" t="s">
        <v>188</v>
      </c>
      <c r="Z24" s="126" t="s">
        <v>188</v>
      </c>
      <c r="AA24" s="126" t="s">
        <v>188</v>
      </c>
      <c r="AB24" s="126" t="s">
        <v>188</v>
      </c>
      <c r="AC24" s="126" t="s">
        <v>188</v>
      </c>
    </row>
    <row r="25" spans="1:29" s="126" customFormat="1" x14ac:dyDescent="0.25">
      <c r="A25" s="126" t="s">
        <v>195</v>
      </c>
      <c r="C25" s="126" t="s">
        <v>195</v>
      </c>
      <c r="D25" s="126" t="s">
        <v>195</v>
      </c>
      <c r="E25" s="126" t="s">
        <v>195</v>
      </c>
      <c r="G25" s="126" t="s">
        <v>195</v>
      </c>
      <c r="H25" s="126" t="s">
        <v>195</v>
      </c>
      <c r="I25" s="126" t="s">
        <v>195</v>
      </c>
      <c r="J25" s="126" t="s">
        <v>195</v>
      </c>
      <c r="K25" s="126" t="s">
        <v>195</v>
      </c>
      <c r="L25" s="126" t="s">
        <v>195</v>
      </c>
      <c r="M25" s="126" t="s">
        <v>195</v>
      </c>
      <c r="N25" s="126" t="s">
        <v>195</v>
      </c>
      <c r="O25" s="126" t="s">
        <v>195</v>
      </c>
      <c r="P25" s="126" t="s">
        <v>195</v>
      </c>
      <c r="Q25" s="126" t="s">
        <v>195</v>
      </c>
      <c r="R25" s="126" t="s">
        <v>195</v>
      </c>
      <c r="S25" s="126" t="s">
        <v>195</v>
      </c>
      <c r="T25" s="126" t="s">
        <v>195</v>
      </c>
      <c r="U25" s="126" t="s">
        <v>195</v>
      </c>
      <c r="V25" s="126" t="s">
        <v>195</v>
      </c>
      <c r="W25" s="126" t="s">
        <v>195</v>
      </c>
      <c r="X25" s="126" t="s">
        <v>195</v>
      </c>
      <c r="Y25" s="126" t="s">
        <v>195</v>
      </c>
      <c r="Z25" s="126" t="s">
        <v>195</v>
      </c>
      <c r="AA25" s="126" t="s">
        <v>195</v>
      </c>
      <c r="AB25" s="126" t="s">
        <v>195</v>
      </c>
      <c r="AC25" s="126" t="s">
        <v>195</v>
      </c>
    </row>
    <row r="26" spans="1:29" s="126" customFormat="1" x14ac:dyDescent="0.25">
      <c r="A26" s="126" t="s">
        <v>186</v>
      </c>
      <c r="B26" s="126" t="s">
        <v>186</v>
      </c>
      <c r="C26" s="126" t="s">
        <v>186</v>
      </c>
      <c r="D26" s="126" t="s">
        <v>186</v>
      </c>
      <c r="E26" s="126" t="s">
        <v>186</v>
      </c>
      <c r="F26" s="126" t="s">
        <v>186</v>
      </c>
      <c r="G26" s="126" t="s">
        <v>186</v>
      </c>
      <c r="H26" s="126" t="s">
        <v>186</v>
      </c>
      <c r="I26" s="126" t="s">
        <v>186</v>
      </c>
      <c r="J26" s="126" t="s">
        <v>186</v>
      </c>
      <c r="K26" s="126" t="s">
        <v>186</v>
      </c>
      <c r="L26" s="126" t="s">
        <v>186</v>
      </c>
      <c r="M26" s="126" t="s">
        <v>186</v>
      </c>
      <c r="N26" s="126" t="s">
        <v>186</v>
      </c>
      <c r="O26" s="126" t="s">
        <v>186</v>
      </c>
      <c r="P26" s="126" t="s">
        <v>186</v>
      </c>
      <c r="Q26" s="126" t="s">
        <v>186</v>
      </c>
      <c r="R26" s="126" t="s">
        <v>186</v>
      </c>
      <c r="S26" s="126" t="s">
        <v>186</v>
      </c>
      <c r="T26" s="126" t="s">
        <v>186</v>
      </c>
      <c r="U26" s="126" t="s">
        <v>186</v>
      </c>
      <c r="V26" s="126" t="s">
        <v>186</v>
      </c>
      <c r="W26" s="126" t="s">
        <v>186</v>
      </c>
      <c r="X26" s="126" t="s">
        <v>186</v>
      </c>
      <c r="Y26" s="126" t="s">
        <v>186</v>
      </c>
      <c r="Z26" s="126" t="s">
        <v>186</v>
      </c>
      <c r="AA26" s="126" t="s">
        <v>186</v>
      </c>
      <c r="AB26" s="126" t="s">
        <v>186</v>
      </c>
      <c r="AC26" s="126" t="s">
        <v>186</v>
      </c>
    </row>
    <row r="27" spans="1:29" s="126" customFormat="1" x14ac:dyDescent="0.25">
      <c r="A27" s="126" t="s">
        <v>187</v>
      </c>
      <c r="B27" s="126" t="s">
        <v>187</v>
      </c>
      <c r="C27" s="126" t="s">
        <v>187</v>
      </c>
      <c r="D27" s="126" t="s">
        <v>187</v>
      </c>
      <c r="E27" s="126" t="s">
        <v>187</v>
      </c>
      <c r="F27" s="126" t="s">
        <v>187</v>
      </c>
      <c r="G27" s="126" t="s">
        <v>187</v>
      </c>
      <c r="H27" s="126" t="s">
        <v>187</v>
      </c>
      <c r="I27" s="126" t="s">
        <v>187</v>
      </c>
      <c r="J27" s="126" t="s">
        <v>187</v>
      </c>
      <c r="K27" s="126" t="s">
        <v>187</v>
      </c>
      <c r="L27" s="126" t="s">
        <v>187</v>
      </c>
      <c r="M27" s="126" t="s">
        <v>187</v>
      </c>
      <c r="N27" s="126" t="s">
        <v>187</v>
      </c>
      <c r="O27" s="126" t="s">
        <v>187</v>
      </c>
      <c r="P27" s="126" t="s">
        <v>187</v>
      </c>
      <c r="Q27" s="126" t="s">
        <v>187</v>
      </c>
      <c r="R27" s="126" t="s">
        <v>187</v>
      </c>
      <c r="S27" s="126" t="s">
        <v>187</v>
      </c>
      <c r="T27" s="126" t="s">
        <v>187</v>
      </c>
      <c r="U27" s="126" t="s">
        <v>187</v>
      </c>
      <c r="V27" s="126" t="s">
        <v>187</v>
      </c>
      <c r="W27" s="126" t="s">
        <v>187</v>
      </c>
      <c r="X27" s="126" t="s">
        <v>187</v>
      </c>
      <c r="Y27" s="126" t="s">
        <v>187</v>
      </c>
      <c r="Z27" s="126" t="s">
        <v>187</v>
      </c>
      <c r="AA27" s="126" t="s">
        <v>187</v>
      </c>
      <c r="AB27" s="126" t="s">
        <v>187</v>
      </c>
      <c r="AC27" s="126" t="s">
        <v>187</v>
      </c>
    </row>
    <row r="28" spans="1:29" s="126" customFormat="1" x14ac:dyDescent="0.25">
      <c r="A28" s="126" t="s">
        <v>189</v>
      </c>
      <c r="B28" s="126" t="s">
        <v>189</v>
      </c>
      <c r="C28" s="126" t="s">
        <v>189</v>
      </c>
      <c r="D28" s="126" t="s">
        <v>189</v>
      </c>
      <c r="E28" s="126" t="s">
        <v>189</v>
      </c>
      <c r="F28" s="126" t="s">
        <v>189</v>
      </c>
      <c r="G28" s="126" t="s">
        <v>189</v>
      </c>
      <c r="H28" s="126" t="s">
        <v>189</v>
      </c>
      <c r="I28" s="126" t="s">
        <v>189</v>
      </c>
      <c r="J28" s="126" t="s">
        <v>189</v>
      </c>
      <c r="K28" s="126" t="s">
        <v>189</v>
      </c>
      <c r="L28" s="126" t="s">
        <v>189</v>
      </c>
      <c r="M28" s="126" t="s">
        <v>189</v>
      </c>
      <c r="N28" s="126" t="s">
        <v>189</v>
      </c>
      <c r="O28" s="126" t="s">
        <v>189</v>
      </c>
      <c r="P28" s="126" t="s">
        <v>189</v>
      </c>
      <c r="Q28" s="126" t="s">
        <v>189</v>
      </c>
      <c r="R28" s="126" t="s">
        <v>189</v>
      </c>
      <c r="S28" s="126" t="s">
        <v>189</v>
      </c>
      <c r="T28" s="126" t="s">
        <v>189</v>
      </c>
      <c r="U28" s="126" t="s">
        <v>189</v>
      </c>
      <c r="V28" s="126" t="s">
        <v>189</v>
      </c>
      <c r="W28" s="126" t="s">
        <v>189</v>
      </c>
      <c r="X28" s="126" t="s">
        <v>189</v>
      </c>
      <c r="Y28" s="126" t="s">
        <v>189</v>
      </c>
      <c r="Z28" s="126" t="s">
        <v>189</v>
      </c>
      <c r="AA28" s="126" t="s">
        <v>189</v>
      </c>
      <c r="AB28" s="126" t="s">
        <v>189</v>
      </c>
      <c r="AC28" s="126" t="s">
        <v>189</v>
      </c>
    </row>
    <row r="29" spans="1:29" s="126" customFormat="1" x14ac:dyDescent="0.25">
      <c r="A29" s="126" t="s">
        <v>301</v>
      </c>
      <c r="B29" s="126" t="s">
        <v>301</v>
      </c>
      <c r="C29" s="126" t="s">
        <v>301</v>
      </c>
      <c r="D29" s="126" t="s">
        <v>301</v>
      </c>
      <c r="E29" s="126" t="s">
        <v>301</v>
      </c>
      <c r="F29" s="126" t="s">
        <v>301</v>
      </c>
      <c r="G29" s="126" t="s">
        <v>301</v>
      </c>
      <c r="H29" s="126" t="s">
        <v>301</v>
      </c>
      <c r="I29" s="126" t="s">
        <v>301</v>
      </c>
      <c r="J29" s="126" t="s">
        <v>301</v>
      </c>
      <c r="K29" s="126" t="s">
        <v>301</v>
      </c>
      <c r="L29" s="126" t="s">
        <v>301</v>
      </c>
      <c r="M29" s="126" t="s">
        <v>301</v>
      </c>
      <c r="N29" s="126" t="s">
        <v>301</v>
      </c>
      <c r="O29" s="126" t="s">
        <v>301</v>
      </c>
      <c r="P29" s="126" t="s">
        <v>301</v>
      </c>
      <c r="Q29" s="126" t="s">
        <v>301</v>
      </c>
      <c r="R29" s="126" t="s">
        <v>301</v>
      </c>
      <c r="S29" s="126" t="s">
        <v>301</v>
      </c>
      <c r="T29" s="126" t="s">
        <v>301</v>
      </c>
      <c r="U29" s="126" t="s">
        <v>301</v>
      </c>
      <c r="V29" s="126" t="s">
        <v>301</v>
      </c>
      <c r="W29" s="126" t="s">
        <v>301</v>
      </c>
      <c r="X29" s="126" t="s">
        <v>301</v>
      </c>
      <c r="Y29" s="126" t="s">
        <v>301</v>
      </c>
      <c r="Z29" s="126" t="s">
        <v>301</v>
      </c>
      <c r="AA29" s="126" t="s">
        <v>301</v>
      </c>
      <c r="AB29" s="126" t="s">
        <v>301</v>
      </c>
      <c r="AC29" s="126" t="s">
        <v>301</v>
      </c>
    </row>
    <row r="30" spans="1:29" s="126" customFormat="1" x14ac:dyDescent="0.25">
      <c r="A30" s="126" t="s">
        <v>193</v>
      </c>
      <c r="B30" s="126" t="s">
        <v>193</v>
      </c>
      <c r="C30" s="126" t="s">
        <v>193</v>
      </c>
      <c r="D30" s="126" t="s">
        <v>193</v>
      </c>
      <c r="E30" s="126" t="s">
        <v>193</v>
      </c>
      <c r="F30" s="126" t="s">
        <v>193</v>
      </c>
      <c r="G30" s="126" t="s">
        <v>193</v>
      </c>
      <c r="H30" s="126" t="s">
        <v>193</v>
      </c>
      <c r="I30" s="126" t="s">
        <v>193</v>
      </c>
      <c r="J30" s="126" t="s">
        <v>193</v>
      </c>
      <c r="K30" s="126" t="s">
        <v>193</v>
      </c>
      <c r="L30" s="126" t="s">
        <v>193</v>
      </c>
      <c r="M30" s="126" t="s">
        <v>193</v>
      </c>
      <c r="N30" s="126" t="s">
        <v>193</v>
      </c>
      <c r="O30" s="126" t="s">
        <v>193</v>
      </c>
      <c r="P30" s="126" t="s">
        <v>193</v>
      </c>
      <c r="Q30" s="126" t="s">
        <v>193</v>
      </c>
      <c r="R30" s="126" t="s">
        <v>193</v>
      </c>
      <c r="S30" s="126" t="s">
        <v>193</v>
      </c>
      <c r="T30" s="126" t="s">
        <v>193</v>
      </c>
      <c r="U30" s="126" t="s">
        <v>193</v>
      </c>
      <c r="V30" s="126" t="s">
        <v>193</v>
      </c>
      <c r="W30" s="126" t="s">
        <v>193</v>
      </c>
      <c r="X30" s="126" t="s">
        <v>193</v>
      </c>
      <c r="Y30" s="126" t="s">
        <v>193</v>
      </c>
      <c r="Z30" s="126" t="s">
        <v>193</v>
      </c>
      <c r="AA30" s="126" t="s">
        <v>193</v>
      </c>
      <c r="AB30" s="126" t="s">
        <v>193</v>
      </c>
      <c r="AC30" s="126" t="s">
        <v>193</v>
      </c>
    </row>
    <row r="31" spans="1:29" s="126" customFormat="1" x14ac:dyDescent="0.25">
      <c r="A31" s="126" t="s">
        <v>194</v>
      </c>
      <c r="B31" s="126" t="s">
        <v>194</v>
      </c>
      <c r="C31" s="126" t="s">
        <v>194</v>
      </c>
      <c r="D31" s="126" t="s">
        <v>194</v>
      </c>
      <c r="E31" s="126" t="s">
        <v>194</v>
      </c>
      <c r="F31" s="126" t="s">
        <v>194</v>
      </c>
      <c r="G31" s="126" t="s">
        <v>194</v>
      </c>
      <c r="H31" s="126" t="s">
        <v>194</v>
      </c>
      <c r="I31" s="126" t="s">
        <v>194</v>
      </c>
      <c r="J31" s="126" t="s">
        <v>194</v>
      </c>
      <c r="K31" s="126" t="s">
        <v>194</v>
      </c>
      <c r="L31" s="126" t="s">
        <v>194</v>
      </c>
      <c r="M31" s="126" t="s">
        <v>194</v>
      </c>
      <c r="N31" s="126" t="s">
        <v>194</v>
      </c>
      <c r="O31" s="126" t="s">
        <v>194</v>
      </c>
      <c r="P31" s="126" t="s">
        <v>194</v>
      </c>
      <c r="Q31" s="126" t="s">
        <v>194</v>
      </c>
      <c r="R31" s="126" t="s">
        <v>194</v>
      </c>
      <c r="S31" s="126" t="s">
        <v>194</v>
      </c>
      <c r="T31" s="126" t="s">
        <v>194</v>
      </c>
      <c r="U31" s="126" t="s">
        <v>194</v>
      </c>
      <c r="V31" s="126" t="s">
        <v>194</v>
      </c>
      <c r="W31" s="126" t="s">
        <v>194</v>
      </c>
      <c r="X31" s="126" t="s">
        <v>194</v>
      </c>
      <c r="Y31" s="126" t="s">
        <v>194</v>
      </c>
      <c r="Z31" s="126" t="s">
        <v>194</v>
      </c>
      <c r="AA31" s="126" t="s">
        <v>194</v>
      </c>
      <c r="AB31" s="126" t="s">
        <v>194</v>
      </c>
      <c r="AC31" s="126" t="s">
        <v>194</v>
      </c>
    </row>
    <row r="32" spans="1:29" s="126" customFormat="1" x14ac:dyDescent="0.25">
      <c r="A32" s="126" t="s">
        <v>302</v>
      </c>
      <c r="B32" s="126" t="s">
        <v>302</v>
      </c>
      <c r="C32" s="126" t="s">
        <v>302</v>
      </c>
      <c r="D32" s="126" t="s">
        <v>302</v>
      </c>
      <c r="E32" s="126" t="s">
        <v>302</v>
      </c>
      <c r="F32" s="126" t="s">
        <v>302</v>
      </c>
      <c r="G32" s="126" t="s">
        <v>302</v>
      </c>
      <c r="H32" s="126" t="s">
        <v>302</v>
      </c>
      <c r="I32" s="126" t="s">
        <v>302</v>
      </c>
      <c r="J32" s="126" t="s">
        <v>302</v>
      </c>
      <c r="K32" s="126" t="s">
        <v>302</v>
      </c>
      <c r="L32" s="126" t="s">
        <v>302</v>
      </c>
      <c r="M32" s="126" t="s">
        <v>302</v>
      </c>
      <c r="N32" s="126" t="s">
        <v>302</v>
      </c>
      <c r="O32" s="126" t="s">
        <v>302</v>
      </c>
      <c r="P32" s="126" t="s">
        <v>302</v>
      </c>
      <c r="Q32" s="126" t="s">
        <v>302</v>
      </c>
      <c r="R32" s="126" t="s">
        <v>302</v>
      </c>
      <c r="S32" s="126" t="s">
        <v>302</v>
      </c>
      <c r="T32" s="126" t="s">
        <v>302</v>
      </c>
      <c r="U32" s="126" t="s">
        <v>302</v>
      </c>
      <c r="V32" s="126" t="s">
        <v>302</v>
      </c>
      <c r="W32" s="126" t="s">
        <v>302</v>
      </c>
      <c r="X32" s="126" t="s">
        <v>302</v>
      </c>
      <c r="Y32" s="126" t="s">
        <v>302</v>
      </c>
      <c r="Z32" s="126" t="s">
        <v>302</v>
      </c>
      <c r="AA32" s="126" t="s">
        <v>302</v>
      </c>
      <c r="AB32" s="126" t="s">
        <v>302</v>
      </c>
      <c r="AC32" s="126" t="s">
        <v>302</v>
      </c>
    </row>
    <row r="33" spans="1:29" s="126" customFormat="1" x14ac:dyDescent="0.25">
      <c r="A33" s="126" t="s">
        <v>303</v>
      </c>
      <c r="C33" s="126" t="s">
        <v>303</v>
      </c>
      <c r="D33" s="126" t="s">
        <v>303</v>
      </c>
      <c r="E33" s="126" t="s">
        <v>303</v>
      </c>
      <c r="G33" s="126" t="s">
        <v>303</v>
      </c>
      <c r="H33" s="126" t="s">
        <v>303</v>
      </c>
      <c r="I33" s="126" t="s">
        <v>303</v>
      </c>
      <c r="J33" s="126" t="s">
        <v>303</v>
      </c>
      <c r="K33" s="126" t="s">
        <v>303</v>
      </c>
      <c r="L33" s="126" t="s">
        <v>303</v>
      </c>
      <c r="M33" s="126" t="s">
        <v>303</v>
      </c>
      <c r="N33" s="126" t="s">
        <v>303</v>
      </c>
      <c r="O33" s="126" t="s">
        <v>303</v>
      </c>
      <c r="P33" s="126" t="s">
        <v>303</v>
      </c>
      <c r="Q33" s="126" t="s">
        <v>303</v>
      </c>
      <c r="R33" s="126" t="s">
        <v>303</v>
      </c>
      <c r="S33" s="126" t="s">
        <v>303</v>
      </c>
      <c r="T33" s="126" t="s">
        <v>303</v>
      </c>
      <c r="U33" s="126" t="s">
        <v>303</v>
      </c>
      <c r="V33" s="126" t="s">
        <v>303</v>
      </c>
      <c r="W33" s="126" t="s">
        <v>303</v>
      </c>
      <c r="X33" s="126" t="s">
        <v>303</v>
      </c>
      <c r="Y33" s="126" t="s">
        <v>303</v>
      </c>
      <c r="Z33" s="126" t="s">
        <v>303</v>
      </c>
      <c r="AA33" s="126" t="s">
        <v>303</v>
      </c>
      <c r="AB33" s="126" t="s">
        <v>303</v>
      </c>
      <c r="AC33" s="126" t="s">
        <v>303</v>
      </c>
    </row>
    <row r="34" spans="1:29" s="126" customFormat="1" x14ac:dyDescent="0.25">
      <c r="A34" s="126" t="s">
        <v>304</v>
      </c>
      <c r="B34" s="126" t="s">
        <v>193</v>
      </c>
      <c r="C34" s="126" t="s">
        <v>304</v>
      </c>
      <c r="D34" s="126" t="s">
        <v>304</v>
      </c>
      <c r="E34" s="126" t="s">
        <v>304</v>
      </c>
      <c r="G34" s="126" t="s">
        <v>304</v>
      </c>
      <c r="H34" s="126" t="s">
        <v>304</v>
      </c>
      <c r="I34" s="126" t="s">
        <v>304</v>
      </c>
      <c r="J34" s="126" t="s">
        <v>304</v>
      </c>
      <c r="K34" s="126" t="s">
        <v>304</v>
      </c>
      <c r="L34" s="126" t="s">
        <v>304</v>
      </c>
      <c r="M34" s="126" t="s">
        <v>304</v>
      </c>
      <c r="N34" s="126" t="s">
        <v>304</v>
      </c>
      <c r="O34" s="126" t="s">
        <v>304</v>
      </c>
      <c r="P34" s="126" t="s">
        <v>304</v>
      </c>
      <c r="Q34" s="126" t="s">
        <v>304</v>
      </c>
      <c r="R34" s="126" t="s">
        <v>304</v>
      </c>
      <c r="S34" s="126" t="s">
        <v>304</v>
      </c>
      <c r="T34" s="126" t="s">
        <v>304</v>
      </c>
      <c r="U34" s="126" t="s">
        <v>304</v>
      </c>
      <c r="V34" s="126" t="s">
        <v>304</v>
      </c>
      <c r="W34" s="126" t="s">
        <v>304</v>
      </c>
      <c r="X34" s="126" t="s">
        <v>304</v>
      </c>
      <c r="Y34" s="126" t="s">
        <v>304</v>
      </c>
      <c r="Z34" s="126" t="s">
        <v>304</v>
      </c>
      <c r="AA34" s="126" t="s">
        <v>304</v>
      </c>
      <c r="AB34" s="126" t="s">
        <v>304</v>
      </c>
      <c r="AC34" s="126" t="s">
        <v>304</v>
      </c>
    </row>
    <row r="35" spans="1:29" s="126" customFormat="1" x14ac:dyDescent="0.25">
      <c r="A35" s="126" t="s">
        <v>190</v>
      </c>
      <c r="B35" s="126" t="s">
        <v>193</v>
      </c>
      <c r="C35" s="126" t="s">
        <v>190</v>
      </c>
      <c r="D35" s="126" t="s">
        <v>190</v>
      </c>
      <c r="E35" s="126" t="s">
        <v>190</v>
      </c>
      <c r="G35" s="126" t="s">
        <v>190</v>
      </c>
      <c r="H35" s="126" t="s">
        <v>190</v>
      </c>
      <c r="I35" s="126" t="s">
        <v>190</v>
      </c>
      <c r="J35" s="126" t="s">
        <v>190</v>
      </c>
      <c r="K35" s="126" t="s">
        <v>190</v>
      </c>
      <c r="L35" s="126" t="s">
        <v>190</v>
      </c>
      <c r="M35" s="126" t="s">
        <v>190</v>
      </c>
      <c r="N35" s="126" t="s">
        <v>190</v>
      </c>
      <c r="O35" s="126" t="s">
        <v>190</v>
      </c>
      <c r="P35" s="126" t="s">
        <v>190</v>
      </c>
      <c r="Q35" s="126" t="s">
        <v>190</v>
      </c>
      <c r="R35" s="126" t="s">
        <v>190</v>
      </c>
      <c r="S35" s="126" t="s">
        <v>190</v>
      </c>
      <c r="T35" s="126" t="s">
        <v>190</v>
      </c>
      <c r="U35" s="126" t="s">
        <v>190</v>
      </c>
      <c r="V35" s="126" t="s">
        <v>190</v>
      </c>
      <c r="W35" s="126" t="s">
        <v>190</v>
      </c>
      <c r="X35" s="126" t="s">
        <v>190</v>
      </c>
      <c r="Y35" s="126" t="s">
        <v>190</v>
      </c>
      <c r="Z35" s="126" t="s">
        <v>190</v>
      </c>
      <c r="AA35" s="126" t="s">
        <v>190</v>
      </c>
      <c r="AB35" s="126" t="s">
        <v>190</v>
      </c>
      <c r="AC35" s="126" t="s">
        <v>190</v>
      </c>
    </row>
    <row r="36" spans="1:29" s="126" customFormat="1" x14ac:dyDescent="0.25">
      <c r="A36" s="126" t="s">
        <v>305</v>
      </c>
      <c r="B36" s="126" t="s">
        <v>193</v>
      </c>
      <c r="C36" s="126" t="s">
        <v>305</v>
      </c>
      <c r="D36" s="126" t="s">
        <v>305</v>
      </c>
      <c r="E36" s="126" t="s">
        <v>305</v>
      </c>
      <c r="G36" s="126" t="s">
        <v>305</v>
      </c>
      <c r="H36" s="126" t="s">
        <v>305</v>
      </c>
      <c r="I36" s="126" t="s">
        <v>305</v>
      </c>
      <c r="J36" s="126" t="s">
        <v>305</v>
      </c>
      <c r="K36" s="126" t="s">
        <v>305</v>
      </c>
      <c r="L36" s="126" t="s">
        <v>305</v>
      </c>
      <c r="M36" s="126" t="s">
        <v>305</v>
      </c>
      <c r="N36" s="126" t="s">
        <v>305</v>
      </c>
      <c r="O36" s="126" t="s">
        <v>305</v>
      </c>
      <c r="P36" s="126" t="s">
        <v>305</v>
      </c>
      <c r="Q36" s="126" t="s">
        <v>305</v>
      </c>
      <c r="R36" s="126" t="s">
        <v>305</v>
      </c>
      <c r="S36" s="126" t="s">
        <v>305</v>
      </c>
      <c r="T36" s="126" t="s">
        <v>305</v>
      </c>
      <c r="U36" s="126" t="s">
        <v>305</v>
      </c>
      <c r="V36" s="126" t="s">
        <v>305</v>
      </c>
      <c r="W36" s="126" t="s">
        <v>305</v>
      </c>
      <c r="X36" s="126" t="s">
        <v>305</v>
      </c>
      <c r="Y36" s="126" t="s">
        <v>305</v>
      </c>
      <c r="Z36" s="126" t="s">
        <v>305</v>
      </c>
      <c r="AA36" s="126" t="s">
        <v>305</v>
      </c>
      <c r="AB36" s="126" t="s">
        <v>305</v>
      </c>
      <c r="AC36" s="126" t="s">
        <v>305</v>
      </c>
    </row>
    <row r="37" spans="1:29" s="126" customFormat="1" x14ac:dyDescent="0.25">
      <c r="B37" s="126" t="s">
        <v>193</v>
      </c>
      <c r="C37" s="126" t="s">
        <v>306</v>
      </c>
      <c r="M37" s="126" t="s">
        <v>306</v>
      </c>
      <c r="N37" s="126" t="s">
        <v>306</v>
      </c>
      <c r="O37" s="126" t="s">
        <v>306</v>
      </c>
      <c r="AA37" s="126" t="s">
        <v>306</v>
      </c>
      <c r="AB37" s="126" t="s">
        <v>306</v>
      </c>
      <c r="AC37" s="126" t="s">
        <v>306</v>
      </c>
    </row>
    <row r="38" spans="1:29" s="126" customFormat="1" x14ac:dyDescent="0.25">
      <c r="B38" s="126" t="s">
        <v>193</v>
      </c>
      <c r="C38" s="126" t="s">
        <v>307</v>
      </c>
      <c r="M38" s="126" t="s">
        <v>307</v>
      </c>
      <c r="N38" s="126" t="s">
        <v>307</v>
      </c>
      <c r="O38" s="126" t="s">
        <v>307</v>
      </c>
    </row>
    <row r="39" spans="1:29" s="126" customFormat="1" x14ac:dyDescent="0.25">
      <c r="B39" s="126" t="s">
        <v>193</v>
      </c>
      <c r="C39" s="126" t="s">
        <v>452</v>
      </c>
      <c r="M39" s="126" t="s">
        <v>452</v>
      </c>
      <c r="N39" s="126" t="s">
        <v>452</v>
      </c>
      <c r="O39" s="126" t="s">
        <v>452</v>
      </c>
    </row>
    <row r="40" spans="1:29" s="126" customFormat="1" x14ac:dyDescent="0.25">
      <c r="B40" s="126" t="s">
        <v>193</v>
      </c>
      <c r="C40" s="126" t="s">
        <v>308</v>
      </c>
      <c r="M40" s="126" t="s">
        <v>308</v>
      </c>
      <c r="N40" s="126" t="s">
        <v>308</v>
      </c>
      <c r="O40" s="126" t="s">
        <v>308</v>
      </c>
    </row>
    <row r="41" spans="1:29" s="126" customFormat="1" x14ac:dyDescent="0.25">
      <c r="B41" s="126" t="s">
        <v>193</v>
      </c>
      <c r="C41" s="126" t="s">
        <v>309</v>
      </c>
      <c r="M41" s="126" t="s">
        <v>309</v>
      </c>
      <c r="N41" s="126" t="s">
        <v>309</v>
      </c>
      <c r="O41" s="126" t="s">
        <v>309</v>
      </c>
    </row>
    <row r="42" spans="1:29" s="127" customFormat="1" ht="15" customHeight="1" thickBot="1" x14ac:dyDescent="0.3">
      <c r="B42" s="127" t="s">
        <v>193</v>
      </c>
      <c r="C42" s="127" t="s">
        <v>310</v>
      </c>
      <c r="M42" s="127" t="s">
        <v>310</v>
      </c>
      <c r="N42" s="127" t="s">
        <v>310</v>
      </c>
      <c r="O42" s="127" t="s">
        <v>310</v>
      </c>
    </row>
    <row r="43" spans="1:29" s="118" customFormat="1" ht="20.100000000000001" customHeight="1" thickTop="1" x14ac:dyDescent="0.25">
      <c r="A43" s="118" t="s">
        <v>225</v>
      </c>
      <c r="C43" s="118" t="s">
        <v>32</v>
      </c>
      <c r="D43" s="118" t="s">
        <v>8</v>
      </c>
      <c r="E43" s="118" t="s">
        <v>485</v>
      </c>
      <c r="G43" s="118" t="s">
        <v>219</v>
      </c>
      <c r="H43" s="120" t="s">
        <v>664</v>
      </c>
      <c r="J43" s="118" t="s">
        <v>116</v>
      </c>
      <c r="M43" s="121" t="s">
        <v>365</v>
      </c>
      <c r="N43" s="121" t="s">
        <v>425</v>
      </c>
      <c r="O43" s="121" t="s">
        <v>360</v>
      </c>
      <c r="P43" s="118" t="s">
        <v>196</v>
      </c>
      <c r="Q43" s="120" t="s">
        <v>674</v>
      </c>
      <c r="R43" s="120" t="s">
        <v>674</v>
      </c>
      <c r="S43" s="121" t="s">
        <v>365</v>
      </c>
      <c r="T43" s="121"/>
      <c r="U43" s="120" t="s">
        <v>674</v>
      </c>
      <c r="V43" s="120" t="s">
        <v>674</v>
      </c>
      <c r="W43" s="156" t="s">
        <v>470</v>
      </c>
      <c r="X43" s="118" t="s">
        <v>248</v>
      </c>
      <c r="Y43" s="121" t="s">
        <v>365</v>
      </c>
      <c r="Z43" s="121"/>
    </row>
    <row r="44" spans="1:29" s="119" customFormat="1" ht="20.100000000000001" customHeight="1" x14ac:dyDescent="0.25">
      <c r="A44" s="122">
        <v>1.5625E-2</v>
      </c>
      <c r="B44" s="122"/>
      <c r="C44" s="119">
        <v>1.35E-2</v>
      </c>
      <c r="D44" s="119">
        <v>0.23400000000000001</v>
      </c>
      <c r="E44" s="119">
        <f>0.05/25.4</f>
        <v>1.9685039370078744E-3</v>
      </c>
      <c r="G44" s="119">
        <v>0.625</v>
      </c>
      <c r="H44" s="119">
        <v>0.125</v>
      </c>
      <c r="J44" s="119">
        <v>0.125</v>
      </c>
      <c r="M44" s="123" t="s">
        <v>350</v>
      </c>
      <c r="N44" s="123" t="s">
        <v>434</v>
      </c>
      <c r="O44" s="123" t="s">
        <v>366</v>
      </c>
      <c r="P44" s="119">
        <f>10/25.4</f>
        <v>0.39370078740157483</v>
      </c>
      <c r="Q44" s="119">
        <v>1</v>
      </c>
      <c r="R44" s="119">
        <v>1</v>
      </c>
      <c r="S44" s="123" t="s">
        <v>350</v>
      </c>
      <c r="T44" s="123"/>
      <c r="U44" s="119">
        <v>1</v>
      </c>
      <c r="V44" s="119">
        <v>1</v>
      </c>
      <c r="W44" s="122">
        <v>0.125</v>
      </c>
      <c r="X44" s="119">
        <v>0.375</v>
      </c>
      <c r="Y44" s="123" t="s">
        <v>350</v>
      </c>
      <c r="Z44" s="123"/>
      <c r="AA44" s="122"/>
      <c r="AB44" s="122"/>
      <c r="AC44" s="122"/>
    </row>
    <row r="45" spans="1:29" s="118" customFormat="1" ht="20.100000000000001" customHeight="1" x14ac:dyDescent="0.25">
      <c r="A45" s="118" t="s">
        <v>226</v>
      </c>
      <c r="C45" s="118" t="s">
        <v>33</v>
      </c>
      <c r="D45" s="118" t="s">
        <v>9</v>
      </c>
      <c r="E45" s="118" t="s">
        <v>486</v>
      </c>
      <c r="G45" s="118" t="s">
        <v>220</v>
      </c>
      <c r="H45" s="120" t="s">
        <v>665</v>
      </c>
      <c r="J45" s="118" t="s">
        <v>117</v>
      </c>
      <c r="M45" s="121" t="s">
        <v>351</v>
      </c>
      <c r="N45" s="121" t="s">
        <v>426</v>
      </c>
      <c r="O45" s="121" t="s">
        <v>373</v>
      </c>
      <c r="P45" s="118" t="s">
        <v>198</v>
      </c>
      <c r="Q45" s="120" t="s">
        <v>675</v>
      </c>
      <c r="R45" s="120" t="s">
        <v>675</v>
      </c>
      <c r="S45" s="121" t="s">
        <v>351</v>
      </c>
      <c r="T45" s="121"/>
      <c r="U45" s="120" t="s">
        <v>675</v>
      </c>
      <c r="V45" s="120" t="s">
        <v>675</v>
      </c>
      <c r="W45" s="120" t="s">
        <v>471</v>
      </c>
      <c r="X45" s="118" t="s">
        <v>256</v>
      </c>
      <c r="Y45" s="121" t="s">
        <v>351</v>
      </c>
      <c r="Z45" s="121"/>
    </row>
    <row r="46" spans="1:29" s="119" customFormat="1" ht="20.100000000000001" customHeight="1" x14ac:dyDescent="0.25">
      <c r="A46" s="122">
        <v>3.125E-2</v>
      </c>
      <c r="B46" s="122"/>
      <c r="C46" s="119">
        <v>1.4500000000000001E-2</v>
      </c>
      <c r="D46" s="119">
        <v>0.23799999999999999</v>
      </c>
      <c r="E46" s="119">
        <f>0.1/25.4</f>
        <v>3.9370078740157488E-3</v>
      </c>
      <c r="G46" s="119">
        <v>0.75</v>
      </c>
      <c r="H46" s="119">
        <v>0.1875</v>
      </c>
      <c r="J46" s="119">
        <v>0.15625</v>
      </c>
      <c r="M46" s="123" t="s">
        <v>409</v>
      </c>
      <c r="N46" s="123" t="s">
        <v>435</v>
      </c>
      <c r="O46" s="123" t="s">
        <v>372</v>
      </c>
      <c r="P46" s="119">
        <f>11/25.4</f>
        <v>0.43307086614173229</v>
      </c>
      <c r="Q46" s="119">
        <v>1.5</v>
      </c>
      <c r="R46" s="119">
        <v>1.5</v>
      </c>
      <c r="S46" s="123" t="s">
        <v>409</v>
      </c>
      <c r="T46" s="123"/>
      <c r="U46" s="119">
        <v>1.5</v>
      </c>
      <c r="V46" s="119">
        <v>1.5</v>
      </c>
      <c r="W46" s="122">
        <v>0.125</v>
      </c>
      <c r="X46" s="119">
        <v>0.5</v>
      </c>
      <c r="Y46" s="123" t="s">
        <v>409</v>
      </c>
      <c r="Z46" s="123"/>
      <c r="AA46" s="122"/>
      <c r="AB46" s="122"/>
      <c r="AC46" s="122"/>
    </row>
    <row r="47" spans="1:29" s="118" customFormat="1" ht="20.100000000000001" customHeight="1" x14ac:dyDescent="0.25">
      <c r="A47" s="118" t="s">
        <v>227</v>
      </c>
      <c r="C47" s="118" t="s">
        <v>34</v>
      </c>
      <c r="D47" s="118" t="s">
        <v>10</v>
      </c>
      <c r="E47" s="118" t="s">
        <v>487</v>
      </c>
      <c r="G47" s="118" t="s">
        <v>221</v>
      </c>
      <c r="H47" s="120" t="s">
        <v>668</v>
      </c>
      <c r="I47" s="118" t="s">
        <v>669</v>
      </c>
      <c r="J47" s="118" t="s">
        <v>118</v>
      </c>
      <c r="K47" s="118" t="s">
        <v>122</v>
      </c>
      <c r="M47" s="121" t="s">
        <v>352</v>
      </c>
      <c r="N47" s="121" t="s">
        <v>427</v>
      </c>
      <c r="O47" s="121" t="s">
        <v>361</v>
      </c>
      <c r="P47" s="118" t="s">
        <v>200</v>
      </c>
      <c r="Q47" s="120" t="s">
        <v>676</v>
      </c>
      <c r="R47" s="120" t="s">
        <v>676</v>
      </c>
      <c r="S47" s="121" t="s">
        <v>352</v>
      </c>
      <c r="T47" s="121"/>
      <c r="U47" s="120" t="s">
        <v>676</v>
      </c>
      <c r="V47" s="120" t="s">
        <v>676</v>
      </c>
      <c r="W47" s="120" t="s">
        <v>472</v>
      </c>
      <c r="X47" s="118" t="s">
        <v>219</v>
      </c>
      <c r="Y47" s="121" t="s">
        <v>352</v>
      </c>
      <c r="Z47" s="121"/>
    </row>
    <row r="48" spans="1:29" s="119" customFormat="1" ht="20.100000000000001" customHeight="1" x14ac:dyDescent="0.25">
      <c r="A48" s="122">
        <v>4.6875E-2</v>
      </c>
      <c r="B48" s="122"/>
      <c r="C48" s="119">
        <v>1.6E-2</v>
      </c>
      <c r="D48" s="119">
        <v>0.24199999999999999</v>
      </c>
      <c r="E48" s="119">
        <f>0.2/25.4</f>
        <v>7.8740157480314977E-3</v>
      </c>
      <c r="G48" s="119">
        <v>0.875</v>
      </c>
      <c r="H48" s="119">
        <v>0.25</v>
      </c>
      <c r="I48" s="119">
        <v>0.625</v>
      </c>
      <c r="J48" s="119">
        <v>0.1875</v>
      </c>
      <c r="K48" s="119">
        <v>0.625</v>
      </c>
      <c r="M48" s="123" t="s">
        <v>410</v>
      </c>
      <c r="N48" s="123" t="s">
        <v>436</v>
      </c>
      <c r="O48" s="123" t="s">
        <v>367</v>
      </c>
      <c r="P48" s="119">
        <f>12/25.4</f>
        <v>0.47244094488188981</v>
      </c>
      <c r="Q48" s="119">
        <v>1.75</v>
      </c>
      <c r="R48" s="119">
        <v>1.75</v>
      </c>
      <c r="S48" s="123" t="s">
        <v>410</v>
      </c>
      <c r="T48" s="123"/>
      <c r="U48" s="119">
        <v>1.75</v>
      </c>
      <c r="V48" s="119">
        <v>1.75</v>
      </c>
      <c r="W48" s="122">
        <v>0.125</v>
      </c>
      <c r="X48" s="119">
        <v>0.625</v>
      </c>
      <c r="Y48" s="123" t="s">
        <v>410</v>
      </c>
      <c r="Z48" s="123"/>
      <c r="AA48" s="122"/>
      <c r="AB48" s="122"/>
      <c r="AC48" s="122"/>
    </row>
    <row r="49" spans="1:29" s="118" customFormat="1" ht="20.100000000000001" customHeight="1" x14ac:dyDescent="0.25">
      <c r="A49" s="118" t="s">
        <v>228</v>
      </c>
      <c r="C49" s="118" t="s">
        <v>35</v>
      </c>
      <c r="D49" s="118" t="s">
        <v>11</v>
      </c>
      <c r="E49" s="118" t="s">
        <v>488</v>
      </c>
      <c r="G49" s="118" t="s">
        <v>222</v>
      </c>
      <c r="H49" s="120" t="s">
        <v>666</v>
      </c>
      <c r="I49" s="118" t="s">
        <v>682</v>
      </c>
      <c r="J49" s="118" t="s">
        <v>119</v>
      </c>
      <c r="K49" s="118" t="s">
        <v>123</v>
      </c>
      <c r="M49" s="121" t="s">
        <v>353</v>
      </c>
      <c r="N49" s="121" t="s">
        <v>428</v>
      </c>
      <c r="O49" s="121" t="s">
        <v>374</v>
      </c>
      <c r="P49" s="118" t="s">
        <v>201</v>
      </c>
      <c r="Q49" s="120" t="s">
        <v>677</v>
      </c>
      <c r="R49" s="120" t="s">
        <v>677</v>
      </c>
      <c r="S49" s="121" t="s">
        <v>353</v>
      </c>
      <c r="T49" s="121"/>
      <c r="U49" s="120" t="s">
        <v>677</v>
      </c>
      <c r="V49" s="120" t="s">
        <v>677</v>
      </c>
      <c r="W49" s="120" t="s">
        <v>473</v>
      </c>
      <c r="X49" s="118" t="s">
        <v>220</v>
      </c>
      <c r="Y49" s="121" t="s">
        <v>353</v>
      </c>
      <c r="Z49" s="121"/>
    </row>
    <row r="50" spans="1:29" s="119" customFormat="1" ht="20.100000000000001" customHeight="1" x14ac:dyDescent="0.25">
      <c r="A50" s="122">
        <v>6.25E-2</v>
      </c>
      <c r="B50" s="122"/>
      <c r="C50" s="119">
        <v>1.7999999999999999E-2</v>
      </c>
      <c r="D50" s="119">
        <v>0.246</v>
      </c>
      <c r="E50" s="119">
        <f>1/25.4*0.3</f>
        <v>1.1811023622047244E-2</v>
      </c>
      <c r="G50" s="119">
        <v>1</v>
      </c>
      <c r="H50" s="119">
        <v>0.375</v>
      </c>
      <c r="I50" s="119">
        <v>0.75</v>
      </c>
      <c r="J50" s="119">
        <v>0.25</v>
      </c>
      <c r="K50" s="119">
        <v>0.75</v>
      </c>
      <c r="M50" s="123" t="s">
        <v>411</v>
      </c>
      <c r="N50" s="123" t="s">
        <v>437</v>
      </c>
      <c r="O50" s="123" t="s">
        <v>371</v>
      </c>
      <c r="P50" s="119">
        <f>13/25.4</f>
        <v>0.51181102362204722</v>
      </c>
      <c r="Q50" s="119">
        <v>2</v>
      </c>
      <c r="R50" s="119">
        <v>2</v>
      </c>
      <c r="S50" s="123" t="s">
        <v>411</v>
      </c>
      <c r="T50" s="123"/>
      <c r="U50" s="119">
        <v>2</v>
      </c>
      <c r="V50" s="119">
        <v>2</v>
      </c>
      <c r="W50" s="122">
        <v>0.1875</v>
      </c>
      <c r="X50" s="119">
        <v>0.75</v>
      </c>
      <c r="Y50" s="123" t="s">
        <v>411</v>
      </c>
      <c r="Z50" s="123"/>
      <c r="AA50" s="122"/>
      <c r="AB50" s="122"/>
      <c r="AC50" s="122"/>
    </row>
    <row r="51" spans="1:29" s="118" customFormat="1" ht="20.100000000000001" customHeight="1" x14ac:dyDescent="0.25">
      <c r="A51" s="118" t="s">
        <v>229</v>
      </c>
      <c r="C51" s="118" t="s">
        <v>36</v>
      </c>
      <c r="D51" s="118" t="s">
        <v>12</v>
      </c>
      <c r="E51" s="118" t="s">
        <v>489</v>
      </c>
      <c r="G51" s="118" t="s">
        <v>223</v>
      </c>
      <c r="H51" s="120" t="s">
        <v>667</v>
      </c>
      <c r="I51" s="118" t="s">
        <v>670</v>
      </c>
      <c r="J51" s="118" t="s">
        <v>120</v>
      </c>
      <c r="K51" s="118" t="s">
        <v>124</v>
      </c>
      <c r="M51" s="121" t="s">
        <v>354</v>
      </c>
      <c r="N51" s="121" t="s">
        <v>429</v>
      </c>
      <c r="O51" s="121" t="s">
        <v>375</v>
      </c>
      <c r="P51" s="118" t="s">
        <v>202</v>
      </c>
      <c r="Q51" s="120" t="s">
        <v>678</v>
      </c>
      <c r="R51" s="120" t="s">
        <v>678</v>
      </c>
      <c r="S51" s="121" t="s">
        <v>354</v>
      </c>
      <c r="T51" s="121"/>
      <c r="U51" s="120" t="s">
        <v>678</v>
      </c>
      <c r="V51" s="120" t="s">
        <v>678</v>
      </c>
      <c r="W51" s="120" t="s">
        <v>474</v>
      </c>
      <c r="Y51" s="121" t="s">
        <v>354</v>
      </c>
      <c r="Z51" s="121"/>
    </row>
    <row r="52" spans="1:29" s="119" customFormat="1" ht="20.100000000000001" customHeight="1" x14ac:dyDescent="0.25">
      <c r="A52" s="122">
        <v>7.8125E-2</v>
      </c>
      <c r="B52" s="122"/>
      <c r="C52" s="119">
        <v>0.02</v>
      </c>
      <c r="D52" s="119">
        <v>0.25</v>
      </c>
      <c r="E52" s="119">
        <f>1/25.4*0.4</f>
        <v>1.5748031496062992E-2</v>
      </c>
      <c r="G52" s="119">
        <v>1.25</v>
      </c>
      <c r="H52" s="119">
        <v>0.5</v>
      </c>
      <c r="I52" s="119">
        <v>0.875</v>
      </c>
      <c r="J52" s="119">
        <v>0.375</v>
      </c>
      <c r="K52" s="119">
        <v>0.875</v>
      </c>
      <c r="M52" s="123" t="s">
        <v>412</v>
      </c>
      <c r="N52" s="123" t="s">
        <v>438</v>
      </c>
      <c r="O52" s="123" t="s">
        <v>370</v>
      </c>
      <c r="P52" s="119">
        <f>14/25.4</f>
        <v>0.55118110236220474</v>
      </c>
      <c r="Q52" s="119">
        <v>2.5</v>
      </c>
      <c r="R52" s="119">
        <v>2.5</v>
      </c>
      <c r="S52" s="123" t="s">
        <v>412</v>
      </c>
      <c r="T52" s="123"/>
      <c r="U52" s="119">
        <v>2.5</v>
      </c>
      <c r="V52" s="119">
        <v>2.5</v>
      </c>
      <c r="W52" s="122">
        <v>0.25</v>
      </c>
      <c r="Y52" s="123" t="s">
        <v>412</v>
      </c>
      <c r="Z52" s="123"/>
      <c r="AA52" s="122"/>
      <c r="AB52" s="122"/>
      <c r="AC52" s="122"/>
    </row>
    <row r="53" spans="1:29" s="118" customFormat="1" ht="20.100000000000001" customHeight="1" x14ac:dyDescent="0.25">
      <c r="A53" s="118" t="s">
        <v>230</v>
      </c>
      <c r="C53" s="118" t="s">
        <v>37</v>
      </c>
      <c r="D53" s="118" t="s">
        <v>13</v>
      </c>
      <c r="E53" s="118" t="s">
        <v>490</v>
      </c>
      <c r="G53" s="118" t="s">
        <v>224</v>
      </c>
      <c r="H53" s="120"/>
      <c r="I53" s="118" t="s">
        <v>671</v>
      </c>
      <c r="J53" s="118" t="s">
        <v>121</v>
      </c>
      <c r="L53" s="118" t="s">
        <v>125</v>
      </c>
      <c r="M53" s="121" t="s">
        <v>355</v>
      </c>
      <c r="N53" s="121" t="s">
        <v>430</v>
      </c>
      <c r="O53" s="121" t="s">
        <v>369</v>
      </c>
      <c r="P53" s="118" t="s">
        <v>197</v>
      </c>
      <c r="Q53" s="120" t="s">
        <v>679</v>
      </c>
      <c r="R53" s="120" t="s">
        <v>679</v>
      </c>
      <c r="S53" s="121" t="s">
        <v>355</v>
      </c>
      <c r="T53" s="121" t="s">
        <v>369</v>
      </c>
      <c r="U53" s="120" t="s">
        <v>679</v>
      </c>
      <c r="V53" s="120" t="s">
        <v>679</v>
      </c>
      <c r="W53" s="120" t="s">
        <v>475</v>
      </c>
      <c r="Y53" s="121" t="s">
        <v>355</v>
      </c>
      <c r="Z53" s="121" t="s">
        <v>369</v>
      </c>
    </row>
    <row r="54" spans="1:29" s="119" customFormat="1" ht="20.100000000000001" customHeight="1" x14ac:dyDescent="0.25">
      <c r="A54" s="122">
        <v>9.375E-2</v>
      </c>
      <c r="B54" s="122"/>
      <c r="C54" s="119">
        <v>2.1000000000000001E-2</v>
      </c>
      <c r="D54" s="119">
        <v>0.25700000000000001</v>
      </c>
      <c r="E54" s="119">
        <f>1/25.4*0.5</f>
        <v>1.968503937007874E-2</v>
      </c>
      <c r="G54" s="119">
        <v>1.5</v>
      </c>
      <c r="I54" s="119">
        <v>1</v>
      </c>
      <c r="J54" s="119">
        <v>0.5</v>
      </c>
      <c r="L54" s="119">
        <v>1</v>
      </c>
      <c r="M54" s="123" t="s">
        <v>413</v>
      </c>
      <c r="N54" s="123" t="s">
        <v>439</v>
      </c>
      <c r="O54" s="123" t="s">
        <v>368</v>
      </c>
      <c r="P54" s="119">
        <f>15/25.4</f>
        <v>0.59055118110236227</v>
      </c>
      <c r="Q54" s="119">
        <v>3</v>
      </c>
      <c r="R54" s="119">
        <v>3</v>
      </c>
      <c r="S54" s="123" t="s">
        <v>413</v>
      </c>
      <c r="T54" s="123" t="s">
        <v>368</v>
      </c>
      <c r="U54" s="119">
        <v>3</v>
      </c>
      <c r="V54" s="119">
        <v>3</v>
      </c>
      <c r="W54" s="122">
        <v>0.3125</v>
      </c>
      <c r="Y54" s="123" t="s">
        <v>413</v>
      </c>
      <c r="Z54" s="123" t="s">
        <v>368</v>
      </c>
      <c r="AA54" s="122"/>
      <c r="AB54" s="122"/>
      <c r="AC54" s="122"/>
    </row>
    <row r="55" spans="1:29" s="118" customFormat="1" ht="20.100000000000001" customHeight="1" x14ac:dyDescent="0.25">
      <c r="A55" s="118" t="s">
        <v>231</v>
      </c>
      <c r="C55" s="118" t="s">
        <v>38</v>
      </c>
      <c r="D55" s="118" t="s">
        <v>14</v>
      </c>
      <c r="E55" s="118" t="s">
        <v>491</v>
      </c>
      <c r="H55" s="120"/>
      <c r="I55" s="118" t="s">
        <v>672</v>
      </c>
      <c r="L55" s="118" t="s">
        <v>126</v>
      </c>
      <c r="M55" s="121" t="s">
        <v>356</v>
      </c>
      <c r="N55" s="121" t="s">
        <v>431</v>
      </c>
      <c r="O55" s="121" t="s">
        <v>376</v>
      </c>
      <c r="P55" s="118" t="s">
        <v>199</v>
      </c>
      <c r="Q55" s="120" t="s">
        <v>680</v>
      </c>
      <c r="R55" s="120" t="s">
        <v>680</v>
      </c>
      <c r="S55" s="121" t="s">
        <v>356</v>
      </c>
      <c r="T55" s="121" t="s">
        <v>376</v>
      </c>
      <c r="U55" s="120" t="s">
        <v>680</v>
      </c>
      <c r="V55" s="120" t="s">
        <v>680</v>
      </c>
      <c r="W55" s="120" t="s">
        <v>476</v>
      </c>
      <c r="Y55" s="121" t="s">
        <v>356</v>
      </c>
      <c r="Z55" s="121" t="s">
        <v>376</v>
      </c>
    </row>
    <row r="56" spans="1:29" s="119" customFormat="1" ht="20.100000000000001" customHeight="1" x14ac:dyDescent="0.25">
      <c r="A56" s="122">
        <v>0.109375</v>
      </c>
      <c r="B56" s="122"/>
      <c r="C56" s="119">
        <v>2.2499999999999999E-2</v>
      </c>
      <c r="D56" s="119">
        <v>0.26100000000000001</v>
      </c>
      <c r="E56" s="119">
        <f>1/25.4*0.6</f>
        <v>2.3622047244094488E-2</v>
      </c>
      <c r="I56" s="119">
        <v>1.25</v>
      </c>
      <c r="L56" s="119">
        <v>1.25</v>
      </c>
      <c r="M56" s="123" t="s">
        <v>414</v>
      </c>
      <c r="N56" s="123" t="s">
        <v>440</v>
      </c>
      <c r="O56" s="123" t="s">
        <v>377</v>
      </c>
      <c r="P56" s="119">
        <f>16/25.4</f>
        <v>0.62992125984251968</v>
      </c>
      <c r="Q56" s="119">
        <v>4</v>
      </c>
      <c r="R56" s="119">
        <v>4</v>
      </c>
      <c r="S56" s="123" t="s">
        <v>414</v>
      </c>
      <c r="T56" s="123" t="s">
        <v>377</v>
      </c>
      <c r="U56" s="119">
        <v>4</v>
      </c>
      <c r="V56" s="119">
        <v>4</v>
      </c>
      <c r="W56" s="122">
        <v>0.4375</v>
      </c>
      <c r="Y56" s="123" t="s">
        <v>414</v>
      </c>
      <c r="Z56" s="123" t="s">
        <v>377</v>
      </c>
      <c r="AA56" s="122"/>
      <c r="AB56" s="122"/>
      <c r="AC56" s="122"/>
    </row>
    <row r="57" spans="1:29" s="118" customFormat="1" ht="20.100000000000001" customHeight="1" x14ac:dyDescent="0.25">
      <c r="A57" s="118" t="s">
        <v>232</v>
      </c>
      <c r="C57" s="118" t="s">
        <v>39</v>
      </c>
      <c r="D57" s="118" t="s">
        <v>15</v>
      </c>
      <c r="E57" s="118" t="s">
        <v>492</v>
      </c>
      <c r="H57" s="120"/>
      <c r="I57" s="118" t="s">
        <v>673</v>
      </c>
      <c r="L57" s="118" t="s">
        <v>127</v>
      </c>
      <c r="M57" s="121" t="s">
        <v>357</v>
      </c>
      <c r="N57" s="121" t="s">
        <v>432</v>
      </c>
      <c r="O57" s="121" t="s">
        <v>380</v>
      </c>
      <c r="P57" s="118" t="s">
        <v>203</v>
      </c>
      <c r="Q57" s="120"/>
      <c r="R57" s="120"/>
      <c r="S57" s="121" t="s">
        <v>357</v>
      </c>
      <c r="T57" s="121" t="s">
        <v>380</v>
      </c>
      <c r="U57" s="120"/>
      <c r="V57" s="120"/>
      <c r="W57" s="120" t="s">
        <v>477</v>
      </c>
      <c r="Y57" s="121" t="s">
        <v>357</v>
      </c>
      <c r="Z57" s="121" t="s">
        <v>380</v>
      </c>
      <c r="AA57" s="118" t="s">
        <v>232</v>
      </c>
      <c r="AB57" s="118" t="s">
        <v>232</v>
      </c>
      <c r="AC57" s="118" t="s">
        <v>232</v>
      </c>
    </row>
    <row r="58" spans="1:29" s="119" customFormat="1" ht="20.100000000000001" customHeight="1" x14ac:dyDescent="0.25">
      <c r="A58" s="122">
        <v>0.125</v>
      </c>
      <c r="B58" s="122"/>
      <c r="C58" s="119">
        <v>2.4E-2</v>
      </c>
      <c r="D58" s="119">
        <v>0.26600000000000001</v>
      </c>
      <c r="E58" s="119">
        <f>1/25.4*0.7</f>
        <v>2.7559055118110232E-2</v>
      </c>
      <c r="I58" s="119">
        <v>1.5</v>
      </c>
      <c r="L58" s="119">
        <v>1.5</v>
      </c>
      <c r="M58" s="123" t="s">
        <v>415</v>
      </c>
      <c r="N58" s="123" t="s">
        <v>441</v>
      </c>
      <c r="O58" s="123" t="s">
        <v>378</v>
      </c>
      <c r="P58" s="119">
        <f>17/25.4</f>
        <v>0.6692913385826772</v>
      </c>
      <c r="S58" s="123" t="s">
        <v>415</v>
      </c>
      <c r="T58" s="123" t="s">
        <v>378</v>
      </c>
      <c r="W58" s="122">
        <v>0.5</v>
      </c>
      <c r="Y58" s="123" t="s">
        <v>415</v>
      </c>
      <c r="Z58" s="123" t="s">
        <v>378</v>
      </c>
      <c r="AA58" s="122">
        <v>0.125</v>
      </c>
      <c r="AB58" s="122">
        <v>0.125</v>
      </c>
      <c r="AC58" s="122">
        <v>0.125</v>
      </c>
    </row>
    <row r="59" spans="1:29" s="118" customFormat="1" ht="20.100000000000001" customHeight="1" x14ac:dyDescent="0.25">
      <c r="A59" s="118" t="s">
        <v>233</v>
      </c>
      <c r="C59" s="118" t="s">
        <v>40</v>
      </c>
      <c r="D59" s="118" t="s">
        <v>16</v>
      </c>
      <c r="E59" s="118" t="s">
        <v>493</v>
      </c>
      <c r="H59" s="120"/>
      <c r="M59" s="121" t="s">
        <v>358</v>
      </c>
      <c r="N59" s="121" t="s">
        <v>433</v>
      </c>
      <c r="O59" s="121" t="s">
        <v>362</v>
      </c>
      <c r="P59" s="118" t="s">
        <v>204</v>
      </c>
      <c r="Q59" s="120"/>
      <c r="R59" s="120"/>
      <c r="S59" s="121" t="s">
        <v>358</v>
      </c>
      <c r="T59" s="121" t="s">
        <v>362</v>
      </c>
      <c r="U59" s="120"/>
      <c r="V59" s="120"/>
      <c r="W59" s="120" t="s">
        <v>478</v>
      </c>
      <c r="Y59" s="121" t="s">
        <v>358</v>
      </c>
      <c r="Z59" s="121" t="s">
        <v>362</v>
      </c>
    </row>
    <row r="60" spans="1:29" s="119" customFormat="1" ht="20.100000000000001" customHeight="1" x14ac:dyDescent="0.25">
      <c r="A60" s="122">
        <v>0.140625</v>
      </c>
      <c r="B60" s="122"/>
      <c r="C60" s="119">
        <v>2.5000000000000001E-2</v>
      </c>
      <c r="D60" s="119">
        <v>0.27200000000000002</v>
      </c>
      <c r="E60" s="119">
        <f>1/25.4*0.8</f>
        <v>3.1496062992125984E-2</v>
      </c>
      <c r="M60" s="123" t="s">
        <v>416</v>
      </c>
      <c r="N60" s="123" t="s">
        <v>442</v>
      </c>
      <c r="O60" s="123" t="s">
        <v>379</v>
      </c>
      <c r="P60" s="119">
        <f>18/25.4</f>
        <v>0.70866141732283472</v>
      </c>
      <c r="S60" s="123" t="s">
        <v>416</v>
      </c>
      <c r="T60" s="123" t="s">
        <v>379</v>
      </c>
      <c r="W60" s="122">
        <v>0.625</v>
      </c>
      <c r="Y60" s="123" t="s">
        <v>416</v>
      </c>
      <c r="Z60" s="123" t="s">
        <v>379</v>
      </c>
      <c r="AA60" s="122"/>
      <c r="AB60" s="122"/>
      <c r="AC60" s="122"/>
    </row>
    <row r="61" spans="1:29" s="118" customFormat="1" ht="20.100000000000001" customHeight="1" x14ac:dyDescent="0.25">
      <c r="A61" s="118" t="s">
        <v>234</v>
      </c>
      <c r="C61" s="118" t="s">
        <v>41</v>
      </c>
      <c r="D61" s="118" t="s">
        <v>17</v>
      </c>
      <c r="E61" s="118" t="s">
        <v>494</v>
      </c>
      <c r="H61" s="120"/>
      <c r="M61" s="121" t="s">
        <v>359</v>
      </c>
      <c r="N61" s="121"/>
      <c r="O61" s="121" t="s">
        <v>363</v>
      </c>
      <c r="P61" s="118" t="s">
        <v>205</v>
      </c>
      <c r="Q61" s="120"/>
      <c r="R61" s="120"/>
      <c r="S61" s="121" t="s">
        <v>359</v>
      </c>
      <c r="T61" s="121" t="s">
        <v>363</v>
      </c>
      <c r="U61" s="120"/>
      <c r="V61" s="120"/>
      <c r="W61" s="120" t="s">
        <v>479</v>
      </c>
      <c r="Y61" s="121" t="s">
        <v>359</v>
      </c>
      <c r="Z61" s="121" t="s">
        <v>363</v>
      </c>
    </row>
    <row r="62" spans="1:29" s="119" customFormat="1" ht="20.100000000000001" customHeight="1" x14ac:dyDescent="0.25">
      <c r="A62" s="122">
        <v>0.15625</v>
      </c>
      <c r="B62" s="122"/>
      <c r="C62" s="119">
        <v>2.5999999999999999E-2</v>
      </c>
      <c r="D62" s="119">
        <v>0.27700000000000002</v>
      </c>
      <c r="E62" s="119">
        <f>1/25.4*0.9</f>
        <v>3.5433070866141732E-2</v>
      </c>
      <c r="M62" s="123" t="s">
        <v>417</v>
      </c>
      <c r="N62" s="123"/>
      <c r="O62" s="123" t="s">
        <v>381</v>
      </c>
      <c r="P62" s="119">
        <f>19/25.4</f>
        <v>0.74803149606299213</v>
      </c>
      <c r="S62" s="123" t="s">
        <v>417</v>
      </c>
      <c r="T62" s="123" t="s">
        <v>381</v>
      </c>
      <c r="W62" s="122">
        <v>0.75</v>
      </c>
      <c r="Y62" s="123" t="s">
        <v>417</v>
      </c>
      <c r="Z62" s="123" t="s">
        <v>381</v>
      </c>
      <c r="AA62" s="122"/>
      <c r="AB62" s="122"/>
      <c r="AC62" s="122"/>
    </row>
    <row r="63" spans="1:29" s="118" customFormat="1" ht="20.100000000000001" customHeight="1" x14ac:dyDescent="0.25">
      <c r="A63" s="118" t="s">
        <v>235</v>
      </c>
      <c r="C63" s="118" t="s">
        <v>42</v>
      </c>
      <c r="D63" s="118" t="s">
        <v>18</v>
      </c>
      <c r="E63" s="118" t="s">
        <v>495</v>
      </c>
      <c r="H63" s="120"/>
      <c r="M63" s="121"/>
      <c r="N63" s="121"/>
      <c r="O63" s="121" t="s">
        <v>364</v>
      </c>
      <c r="P63" s="118" t="s">
        <v>206</v>
      </c>
      <c r="Q63" s="120"/>
      <c r="R63" s="120"/>
      <c r="S63" s="120"/>
      <c r="T63" s="121" t="s">
        <v>364</v>
      </c>
      <c r="U63" s="120"/>
      <c r="V63" s="120"/>
      <c r="Z63" s="121" t="s">
        <v>364</v>
      </c>
    </row>
    <row r="64" spans="1:29" s="119" customFormat="1" ht="20.100000000000001" customHeight="1" x14ac:dyDescent="0.25">
      <c r="A64" s="122">
        <v>0.171875</v>
      </c>
      <c r="B64" s="122"/>
      <c r="C64" s="119">
        <v>2.8000000000000001E-2</v>
      </c>
      <c r="D64" s="119">
        <v>0.28100000000000003</v>
      </c>
      <c r="E64" s="119">
        <f>1/25.4*1</f>
        <v>3.937007874015748E-2</v>
      </c>
      <c r="M64" s="123"/>
      <c r="N64" s="123"/>
      <c r="O64" s="123" t="s">
        <v>382</v>
      </c>
      <c r="P64" s="119">
        <f>20/25.4</f>
        <v>0.78740157480314965</v>
      </c>
      <c r="T64" s="123" t="s">
        <v>382</v>
      </c>
      <c r="W64" s="122"/>
      <c r="Z64" s="123" t="s">
        <v>382</v>
      </c>
      <c r="AA64" s="122"/>
      <c r="AB64" s="122"/>
      <c r="AC64" s="122"/>
    </row>
    <row r="65" spans="1:29" s="118" customFormat="1" ht="20.100000000000001" customHeight="1" x14ac:dyDescent="0.25">
      <c r="A65" s="118" t="s">
        <v>236</v>
      </c>
      <c r="C65" s="118" t="s">
        <v>43</v>
      </c>
      <c r="D65" s="118" t="s">
        <v>19</v>
      </c>
      <c r="E65" s="118" t="s">
        <v>496</v>
      </c>
      <c r="H65" s="120"/>
      <c r="M65" s="121"/>
      <c r="N65" s="121"/>
      <c r="O65" s="121" t="s">
        <v>396</v>
      </c>
      <c r="Q65" s="120"/>
      <c r="R65" s="120"/>
      <c r="S65" s="120"/>
      <c r="T65" s="121" t="s">
        <v>396</v>
      </c>
      <c r="U65" s="120"/>
      <c r="V65" s="120"/>
      <c r="Z65" s="121" t="s">
        <v>396</v>
      </c>
      <c r="AA65" s="118" t="s">
        <v>236</v>
      </c>
      <c r="AB65" s="118" t="s">
        <v>236</v>
      </c>
      <c r="AC65" s="118" t="s">
        <v>236</v>
      </c>
    </row>
    <row r="66" spans="1:29" s="119" customFormat="1" ht="20.100000000000001" customHeight="1" x14ac:dyDescent="0.25">
      <c r="A66" s="122">
        <v>0.1875</v>
      </c>
      <c r="B66" s="122"/>
      <c r="C66" s="119">
        <v>2.92E-2</v>
      </c>
      <c r="D66" s="119">
        <v>0.28999999999999998</v>
      </c>
      <c r="E66" s="119">
        <f>1/25.4*1.1</f>
        <v>4.3307086614173235E-2</v>
      </c>
      <c r="M66" s="123"/>
      <c r="N66" s="123"/>
      <c r="O66" s="123" t="s">
        <v>383</v>
      </c>
      <c r="T66" s="123" t="s">
        <v>383</v>
      </c>
      <c r="W66" s="122"/>
      <c r="Z66" s="123" t="s">
        <v>383</v>
      </c>
      <c r="AA66" s="122">
        <v>0.1875</v>
      </c>
      <c r="AB66" s="122">
        <v>0.1875</v>
      </c>
      <c r="AC66" s="122">
        <v>0.1875</v>
      </c>
    </row>
    <row r="67" spans="1:29" s="118" customFormat="1" ht="20.100000000000001" customHeight="1" x14ac:dyDescent="0.25">
      <c r="A67" s="118" t="s">
        <v>237</v>
      </c>
      <c r="C67" s="118" t="s">
        <v>44</v>
      </c>
      <c r="D67" s="118" t="s">
        <v>20</v>
      </c>
      <c r="E67" s="118" t="s">
        <v>497</v>
      </c>
      <c r="H67" s="120"/>
      <c r="M67" s="121"/>
      <c r="N67" s="121"/>
      <c r="O67" s="121" t="s">
        <v>397</v>
      </c>
      <c r="Q67" s="120"/>
      <c r="R67" s="120"/>
      <c r="S67" s="120"/>
      <c r="T67" s="121" t="s">
        <v>397</v>
      </c>
      <c r="U67" s="120"/>
      <c r="V67" s="120"/>
      <c r="Z67" s="121" t="s">
        <v>397</v>
      </c>
    </row>
    <row r="68" spans="1:29" s="119" customFormat="1" ht="20.100000000000001" customHeight="1" x14ac:dyDescent="0.25">
      <c r="A68" s="122">
        <v>0.203125</v>
      </c>
      <c r="B68" s="122"/>
      <c r="C68" s="119">
        <v>3.1E-2</v>
      </c>
      <c r="D68" s="119">
        <v>0.29499999999999998</v>
      </c>
      <c r="E68" s="119">
        <f>1/25.4*1.2</f>
        <v>4.7244094488188976E-2</v>
      </c>
      <c r="M68" s="123"/>
      <c r="N68" s="123"/>
      <c r="O68" s="123" t="s">
        <v>384</v>
      </c>
      <c r="T68" s="123" t="s">
        <v>384</v>
      </c>
      <c r="W68" s="122"/>
      <c r="Z68" s="123" t="s">
        <v>384</v>
      </c>
      <c r="AA68" s="122"/>
      <c r="AB68" s="122"/>
      <c r="AC68" s="122"/>
    </row>
    <row r="69" spans="1:29" s="118" customFormat="1" ht="20.100000000000001" customHeight="1" x14ac:dyDescent="0.25">
      <c r="A69" s="118" t="s">
        <v>238</v>
      </c>
      <c r="C69" s="118" t="s">
        <v>45</v>
      </c>
      <c r="D69" s="118" t="s">
        <v>2</v>
      </c>
      <c r="E69" s="118" t="s">
        <v>498</v>
      </c>
      <c r="H69" s="120"/>
      <c r="M69" s="121"/>
      <c r="N69" s="121"/>
      <c r="O69" s="121" t="s">
        <v>398</v>
      </c>
      <c r="Q69" s="120"/>
      <c r="R69" s="120"/>
      <c r="S69" s="120"/>
      <c r="T69" s="121" t="s">
        <v>398</v>
      </c>
      <c r="U69" s="120"/>
      <c r="V69" s="120"/>
      <c r="Z69" s="121" t="s">
        <v>398</v>
      </c>
    </row>
    <row r="70" spans="1:29" s="119" customFormat="1" ht="20.100000000000001" customHeight="1" x14ac:dyDescent="0.25">
      <c r="A70" s="122">
        <v>0.21875</v>
      </c>
      <c r="B70" s="122"/>
      <c r="C70" s="119">
        <v>3.2000000000000001E-2</v>
      </c>
      <c r="D70" s="119">
        <v>0.30199999999999999</v>
      </c>
      <c r="E70" s="119">
        <f>1/25.4*1.3</f>
        <v>5.1181102362204724E-2</v>
      </c>
      <c r="M70" s="123"/>
      <c r="N70" s="123"/>
      <c r="O70" s="123" t="s">
        <v>385</v>
      </c>
      <c r="T70" s="123" t="s">
        <v>385</v>
      </c>
      <c r="W70" s="122"/>
      <c r="Z70" s="123" t="s">
        <v>385</v>
      </c>
      <c r="AA70" s="122"/>
      <c r="AB70" s="122"/>
      <c r="AC70" s="122"/>
    </row>
    <row r="71" spans="1:29" s="118" customFormat="1" ht="20.100000000000001" customHeight="1" x14ac:dyDescent="0.25">
      <c r="A71" s="118" t="s">
        <v>239</v>
      </c>
      <c r="C71" s="118" t="s">
        <v>46</v>
      </c>
      <c r="D71" s="118" t="s">
        <v>21</v>
      </c>
      <c r="E71" s="118" t="s">
        <v>499</v>
      </c>
      <c r="H71" s="120"/>
      <c r="M71" s="121"/>
      <c r="N71" s="121"/>
      <c r="O71" s="121" t="s">
        <v>399</v>
      </c>
      <c r="Q71" s="120"/>
      <c r="R71" s="120"/>
      <c r="S71" s="120"/>
      <c r="T71" s="121" t="s">
        <v>399</v>
      </c>
      <c r="U71" s="120"/>
      <c r="V71" s="120"/>
      <c r="Z71" s="121" t="s">
        <v>399</v>
      </c>
    </row>
    <row r="72" spans="1:29" s="119" customFormat="1" ht="20.100000000000001" customHeight="1" x14ac:dyDescent="0.25">
      <c r="A72" s="122">
        <v>0.234375</v>
      </c>
      <c r="B72" s="122"/>
      <c r="C72" s="119">
        <v>3.3000000000000002E-2</v>
      </c>
      <c r="D72" s="119">
        <v>0.316</v>
      </c>
      <c r="E72" s="119">
        <f>1/25.4*1.4</f>
        <v>5.5118110236220465E-2</v>
      </c>
      <c r="M72" s="123"/>
      <c r="N72" s="123"/>
      <c r="O72" s="123" t="s">
        <v>386</v>
      </c>
      <c r="T72" s="123" t="s">
        <v>386</v>
      </c>
      <c r="W72" s="122"/>
      <c r="Z72" s="123" t="s">
        <v>386</v>
      </c>
      <c r="AA72" s="122"/>
      <c r="AB72" s="122"/>
      <c r="AC72" s="122"/>
    </row>
    <row r="73" spans="1:29" s="118" customFormat="1" ht="20.100000000000001" customHeight="1" x14ac:dyDescent="0.25">
      <c r="A73" s="118" t="s">
        <v>240</v>
      </c>
      <c r="C73" s="118" t="s">
        <v>47</v>
      </c>
      <c r="D73" s="118" t="s">
        <v>1</v>
      </c>
      <c r="E73" s="118" t="s">
        <v>500</v>
      </c>
      <c r="H73" s="120"/>
      <c r="M73" s="121"/>
      <c r="N73" s="121"/>
      <c r="O73" s="121" t="s">
        <v>400</v>
      </c>
      <c r="Q73" s="120"/>
      <c r="R73" s="120"/>
      <c r="S73" s="120"/>
      <c r="T73" s="121" t="s">
        <v>400</v>
      </c>
      <c r="U73" s="120"/>
      <c r="V73" s="120"/>
      <c r="Z73" s="121" t="s">
        <v>400</v>
      </c>
      <c r="AA73" s="118" t="s">
        <v>240</v>
      </c>
      <c r="AB73" s="118" t="s">
        <v>240</v>
      </c>
      <c r="AC73" s="118" t="s">
        <v>240</v>
      </c>
    </row>
    <row r="74" spans="1:29" s="119" customFormat="1" ht="20.100000000000001" customHeight="1" x14ac:dyDescent="0.25">
      <c r="A74" s="122">
        <v>0.25</v>
      </c>
      <c r="B74" s="122"/>
      <c r="C74" s="119">
        <v>3.5000000000000003E-2</v>
      </c>
      <c r="D74" s="119">
        <v>0.32300000000000001</v>
      </c>
      <c r="E74" s="119">
        <f>1/25.4*1.5</f>
        <v>5.905511811023622E-2</v>
      </c>
      <c r="M74" s="123"/>
      <c r="N74" s="123"/>
      <c r="O74" s="123" t="s">
        <v>387</v>
      </c>
      <c r="T74" s="123" t="s">
        <v>387</v>
      </c>
      <c r="W74" s="122"/>
      <c r="Z74" s="123" t="s">
        <v>387</v>
      </c>
      <c r="AA74" s="122">
        <v>0.25</v>
      </c>
      <c r="AB74" s="122">
        <v>0.25</v>
      </c>
      <c r="AC74" s="122">
        <v>0.25</v>
      </c>
    </row>
    <row r="75" spans="1:29" s="118" customFormat="1" ht="20.100000000000001" customHeight="1" x14ac:dyDescent="0.25">
      <c r="A75" s="118" t="s">
        <v>241</v>
      </c>
      <c r="C75" s="118" t="s">
        <v>48</v>
      </c>
      <c r="D75" s="118" t="s">
        <v>22</v>
      </c>
      <c r="E75" s="118" t="s">
        <v>501</v>
      </c>
      <c r="H75" s="120"/>
      <c r="M75" s="121"/>
      <c r="N75" s="121"/>
      <c r="O75" s="121" t="s">
        <v>401</v>
      </c>
      <c r="Q75" s="120"/>
      <c r="R75" s="120"/>
      <c r="S75" s="120"/>
      <c r="T75" s="121" t="s">
        <v>401</v>
      </c>
      <c r="U75" s="120"/>
      <c r="V75" s="120"/>
      <c r="Z75" s="121" t="s">
        <v>401</v>
      </c>
    </row>
    <row r="76" spans="1:29" s="119" customFormat="1" ht="20.100000000000001" customHeight="1" x14ac:dyDescent="0.25">
      <c r="A76" s="122">
        <v>0.265625</v>
      </c>
      <c r="B76" s="122"/>
      <c r="C76" s="119">
        <v>3.5999999999999997E-2</v>
      </c>
      <c r="D76" s="119">
        <v>0.33200000000000002</v>
      </c>
      <c r="E76" s="119">
        <f>1/25.4*1.6</f>
        <v>6.2992125984251968E-2</v>
      </c>
      <c r="M76" s="123"/>
      <c r="N76" s="123"/>
      <c r="O76" s="123" t="s">
        <v>388</v>
      </c>
      <c r="T76" s="123" t="s">
        <v>388</v>
      </c>
      <c r="W76" s="122"/>
      <c r="Z76" s="123" t="s">
        <v>388</v>
      </c>
      <c r="AA76" s="122"/>
      <c r="AB76" s="122"/>
      <c r="AC76" s="122"/>
    </row>
    <row r="77" spans="1:29" s="118" customFormat="1" ht="20.100000000000001" customHeight="1" x14ac:dyDescent="0.25">
      <c r="A77" s="118" t="s">
        <v>242</v>
      </c>
      <c r="C77" s="118" t="s">
        <v>49</v>
      </c>
      <c r="D77" s="118" t="s">
        <v>23</v>
      </c>
      <c r="E77" s="118" t="s">
        <v>502</v>
      </c>
      <c r="H77" s="120"/>
      <c r="M77" s="121"/>
      <c r="N77" s="121"/>
      <c r="O77" s="121" t="s">
        <v>402</v>
      </c>
      <c r="Q77" s="120"/>
      <c r="R77" s="120"/>
      <c r="S77" s="120"/>
      <c r="T77" s="121" t="s">
        <v>402</v>
      </c>
      <c r="U77" s="120"/>
      <c r="V77" s="120"/>
      <c r="Z77" s="121" t="s">
        <v>402</v>
      </c>
    </row>
    <row r="78" spans="1:29" s="119" customFormat="1" ht="20.100000000000001" customHeight="1" x14ac:dyDescent="0.25">
      <c r="A78" s="122">
        <v>0.28125</v>
      </c>
      <c r="B78" s="122"/>
      <c r="C78" s="119">
        <v>3.6999999999999998E-2</v>
      </c>
      <c r="D78" s="119">
        <v>0.33900000000000002</v>
      </c>
      <c r="E78" s="119">
        <f>1/25.4*1.7</f>
        <v>6.6929133858267709E-2</v>
      </c>
      <c r="M78" s="123"/>
      <c r="N78" s="123"/>
      <c r="O78" s="123" t="s">
        <v>389</v>
      </c>
      <c r="T78" s="123" t="s">
        <v>389</v>
      </c>
      <c r="W78" s="122"/>
      <c r="Z78" s="123" t="s">
        <v>389</v>
      </c>
      <c r="AA78" s="122"/>
      <c r="AB78" s="122"/>
      <c r="AC78" s="122"/>
    </row>
    <row r="79" spans="1:29" s="118" customFormat="1" ht="20.100000000000001" customHeight="1" x14ac:dyDescent="0.25">
      <c r="A79" s="118" t="s">
        <v>243</v>
      </c>
      <c r="C79" s="118" t="s">
        <v>50</v>
      </c>
      <c r="D79" s="118" t="s">
        <v>24</v>
      </c>
      <c r="E79" s="118" t="s">
        <v>503</v>
      </c>
      <c r="H79" s="120"/>
      <c r="M79" s="121"/>
      <c r="N79" s="121"/>
      <c r="O79" s="121" t="s">
        <v>403</v>
      </c>
      <c r="Q79" s="120"/>
      <c r="R79" s="120"/>
      <c r="S79" s="120"/>
      <c r="T79" s="121" t="s">
        <v>403</v>
      </c>
      <c r="U79" s="120"/>
      <c r="V79" s="120"/>
      <c r="Z79" s="121" t="s">
        <v>403</v>
      </c>
    </row>
    <row r="80" spans="1:29" s="119" customFormat="1" ht="20.100000000000001" customHeight="1" x14ac:dyDescent="0.25">
      <c r="A80" s="122">
        <v>0.296875</v>
      </c>
      <c r="B80" s="122"/>
      <c r="C80" s="119">
        <v>3.7999999999999999E-2</v>
      </c>
      <c r="D80" s="119">
        <v>0.34799999999999998</v>
      </c>
      <c r="E80" s="119">
        <f>1/25.4*1.8</f>
        <v>7.0866141732283464E-2</v>
      </c>
      <c r="M80" s="123"/>
      <c r="N80" s="123"/>
      <c r="O80" s="123" t="s">
        <v>390</v>
      </c>
      <c r="T80" s="123" t="s">
        <v>390</v>
      </c>
      <c r="W80" s="122"/>
      <c r="Z80" s="123" t="s">
        <v>390</v>
      </c>
      <c r="AA80" s="122"/>
      <c r="AB80" s="122"/>
      <c r="AC80" s="122"/>
    </row>
    <row r="81" spans="1:29" s="118" customFormat="1" ht="20.100000000000001" customHeight="1" x14ac:dyDescent="0.25">
      <c r="A81" s="118" t="s">
        <v>244</v>
      </c>
      <c r="C81" s="118" t="s">
        <v>51</v>
      </c>
      <c r="D81" s="118" t="s">
        <v>25</v>
      </c>
      <c r="E81" s="118" t="s">
        <v>504</v>
      </c>
      <c r="H81" s="120"/>
      <c r="M81" s="121"/>
      <c r="N81" s="121"/>
      <c r="O81" s="121" t="s">
        <v>404</v>
      </c>
      <c r="Q81" s="120"/>
      <c r="R81" s="120"/>
      <c r="S81" s="120"/>
      <c r="T81" s="121" t="s">
        <v>404</v>
      </c>
      <c r="U81" s="120"/>
      <c r="V81" s="120"/>
      <c r="Z81" s="121" t="s">
        <v>404</v>
      </c>
      <c r="AA81" s="118" t="s">
        <v>244</v>
      </c>
      <c r="AB81" s="118" t="s">
        <v>244</v>
      </c>
      <c r="AC81" s="118" t="s">
        <v>244</v>
      </c>
    </row>
    <row r="82" spans="1:29" s="119" customFormat="1" ht="20.100000000000001" customHeight="1" x14ac:dyDescent="0.25">
      <c r="A82" s="122">
        <v>0.3125</v>
      </c>
      <c r="B82" s="122"/>
      <c r="C82" s="119">
        <v>3.9E-2</v>
      </c>
      <c r="D82" s="119">
        <v>0.35799999999999998</v>
      </c>
      <c r="E82" s="119">
        <f>1/25.4*1.9</f>
        <v>7.4803149606299205E-2</v>
      </c>
      <c r="M82" s="123"/>
      <c r="N82" s="123"/>
      <c r="O82" s="123" t="s">
        <v>391</v>
      </c>
      <c r="T82" s="123" t="s">
        <v>391</v>
      </c>
      <c r="W82" s="122"/>
      <c r="Z82" s="123" t="s">
        <v>391</v>
      </c>
      <c r="AA82" s="122">
        <v>0.3125</v>
      </c>
      <c r="AB82" s="122">
        <v>0.3125</v>
      </c>
      <c r="AC82" s="122">
        <v>0.3125</v>
      </c>
    </row>
    <row r="83" spans="1:29" s="118" customFormat="1" ht="20.100000000000001" customHeight="1" x14ac:dyDescent="0.25">
      <c r="A83" s="118" t="s">
        <v>245</v>
      </c>
      <c r="C83" s="118" t="s">
        <v>52</v>
      </c>
      <c r="D83" s="118" t="s">
        <v>26</v>
      </c>
      <c r="E83" s="118" t="s">
        <v>505</v>
      </c>
      <c r="H83" s="120"/>
      <c r="M83" s="121"/>
      <c r="N83" s="121"/>
      <c r="O83" s="121" t="s">
        <v>405</v>
      </c>
      <c r="Q83" s="120"/>
      <c r="R83" s="120"/>
      <c r="S83" s="120"/>
      <c r="T83" s="121" t="s">
        <v>405</v>
      </c>
      <c r="U83" s="120"/>
      <c r="V83" s="120"/>
      <c r="Z83" s="121" t="s">
        <v>405</v>
      </c>
    </row>
    <row r="84" spans="1:29" s="119" customFormat="1" ht="20.100000000000001" customHeight="1" x14ac:dyDescent="0.25">
      <c r="A84" s="122">
        <v>0.328125</v>
      </c>
      <c r="B84" s="122"/>
      <c r="C84" s="119">
        <v>0.04</v>
      </c>
      <c r="D84" s="119">
        <v>0.36799999999999999</v>
      </c>
      <c r="E84" s="119">
        <f>1/25.4*2</f>
        <v>7.874015748031496E-2</v>
      </c>
      <c r="M84" s="123"/>
      <c r="N84" s="123"/>
      <c r="O84" s="123" t="s">
        <v>392</v>
      </c>
      <c r="T84" s="123" t="s">
        <v>392</v>
      </c>
      <c r="W84" s="122"/>
      <c r="Z84" s="123" t="s">
        <v>392</v>
      </c>
      <c r="AA84" s="122"/>
      <c r="AB84" s="122"/>
      <c r="AC84" s="122"/>
    </row>
    <row r="85" spans="1:29" s="118" customFormat="1" ht="20.100000000000001" customHeight="1" x14ac:dyDescent="0.25">
      <c r="A85" s="118" t="s">
        <v>246</v>
      </c>
      <c r="C85" s="118" t="s">
        <v>53</v>
      </c>
      <c r="D85" s="118" t="s">
        <v>27</v>
      </c>
      <c r="E85" s="118" t="s">
        <v>506</v>
      </c>
      <c r="H85" s="120"/>
      <c r="M85" s="121"/>
      <c r="N85" s="121"/>
      <c r="O85" s="121" t="s">
        <v>406</v>
      </c>
      <c r="Q85" s="120"/>
      <c r="R85" s="120"/>
      <c r="S85" s="120"/>
      <c r="T85" s="121" t="s">
        <v>406</v>
      </c>
      <c r="U85" s="120"/>
      <c r="V85" s="120"/>
      <c r="Z85" s="121" t="s">
        <v>406</v>
      </c>
    </row>
    <row r="86" spans="1:29" s="119" customFormat="1" ht="20.100000000000001" customHeight="1" x14ac:dyDescent="0.25">
      <c r="A86" s="122">
        <v>0.34375</v>
      </c>
      <c r="B86" s="122"/>
      <c r="C86" s="119">
        <v>4.1000000000000002E-2</v>
      </c>
      <c r="D86" s="119">
        <v>0.377</v>
      </c>
      <c r="E86" s="119">
        <f>1/25.4*2.1</f>
        <v>8.2677165354330714E-2</v>
      </c>
      <c r="M86" s="123"/>
      <c r="N86" s="123"/>
      <c r="O86" s="123" t="s">
        <v>393</v>
      </c>
      <c r="T86" s="123" t="s">
        <v>393</v>
      </c>
      <c r="W86" s="122"/>
      <c r="Z86" s="123" t="s">
        <v>393</v>
      </c>
      <c r="AA86" s="122"/>
      <c r="AB86" s="122"/>
      <c r="AC86" s="122"/>
    </row>
    <row r="87" spans="1:29" s="118" customFormat="1" ht="20.100000000000001" customHeight="1" x14ac:dyDescent="0.25">
      <c r="A87" s="118" t="s">
        <v>247</v>
      </c>
      <c r="C87" s="118" t="s">
        <v>54</v>
      </c>
      <c r="D87" s="118" t="s">
        <v>28</v>
      </c>
      <c r="E87" s="118" t="s">
        <v>507</v>
      </c>
      <c r="H87" s="120"/>
      <c r="M87" s="121"/>
      <c r="N87" s="121"/>
      <c r="O87" s="121" t="s">
        <v>407</v>
      </c>
      <c r="Q87" s="120"/>
      <c r="R87" s="120"/>
      <c r="S87" s="120"/>
      <c r="T87" s="121" t="s">
        <v>407</v>
      </c>
      <c r="U87" s="120"/>
      <c r="V87" s="120"/>
      <c r="Z87" s="121" t="s">
        <v>407</v>
      </c>
    </row>
    <row r="88" spans="1:29" s="119" customFormat="1" ht="20.100000000000001" customHeight="1" x14ac:dyDescent="0.25">
      <c r="A88" s="122">
        <v>0.359375</v>
      </c>
      <c r="B88" s="122"/>
      <c r="C88" s="119">
        <v>4.2000000000000003E-2</v>
      </c>
      <c r="D88" s="119">
        <v>0.38600000000000001</v>
      </c>
      <c r="E88" s="119">
        <f>1/25.4*2.2</f>
        <v>8.6614173228346469E-2</v>
      </c>
      <c r="M88" s="123"/>
      <c r="N88" s="123"/>
      <c r="O88" s="123" t="s">
        <v>394</v>
      </c>
      <c r="T88" s="123" t="s">
        <v>394</v>
      </c>
      <c r="W88" s="122"/>
      <c r="Z88" s="123" t="s">
        <v>394</v>
      </c>
      <c r="AA88" s="122"/>
      <c r="AB88" s="122"/>
      <c r="AC88" s="122"/>
    </row>
    <row r="89" spans="1:29" s="118" customFormat="1" ht="20.100000000000001" customHeight="1" x14ac:dyDescent="0.25">
      <c r="A89" s="118" t="s">
        <v>248</v>
      </c>
      <c r="C89" s="118" t="s">
        <v>453</v>
      </c>
      <c r="D89" s="118" t="s">
        <v>29</v>
      </c>
      <c r="E89" s="118" t="s">
        <v>508</v>
      </c>
      <c r="H89" s="120"/>
      <c r="M89" s="121"/>
      <c r="N89" s="121"/>
      <c r="O89" s="121" t="s">
        <v>408</v>
      </c>
      <c r="Q89" s="120"/>
      <c r="R89" s="120"/>
      <c r="S89" s="120"/>
      <c r="T89" s="121" t="s">
        <v>408</v>
      </c>
      <c r="U89" s="120"/>
      <c r="V89" s="120"/>
      <c r="Z89" s="121" t="s">
        <v>408</v>
      </c>
      <c r="AA89" s="118" t="s">
        <v>248</v>
      </c>
      <c r="AB89" s="118" t="s">
        <v>248</v>
      </c>
      <c r="AC89" s="118" t="s">
        <v>248</v>
      </c>
    </row>
    <row r="90" spans="1:29" s="119" customFormat="1" ht="20.100000000000001" customHeight="1" x14ac:dyDescent="0.25">
      <c r="A90" s="122">
        <v>0.375</v>
      </c>
      <c r="B90" s="122"/>
      <c r="C90" s="119">
        <v>4.2999999999999997E-2</v>
      </c>
      <c r="D90" s="119">
        <v>0.39700000000000002</v>
      </c>
      <c r="E90" s="119">
        <f>1/25.4*2.3</f>
        <v>9.0551181102362197E-2</v>
      </c>
      <c r="M90" s="123"/>
      <c r="N90" s="123"/>
      <c r="O90" s="123" t="s">
        <v>395</v>
      </c>
      <c r="T90" s="123" t="s">
        <v>395</v>
      </c>
      <c r="W90" s="122"/>
      <c r="Z90" s="123" t="s">
        <v>395</v>
      </c>
      <c r="AA90" s="122">
        <v>0.375</v>
      </c>
      <c r="AB90" s="122">
        <v>0.375</v>
      </c>
      <c r="AC90" s="122">
        <v>0.375</v>
      </c>
    </row>
    <row r="91" spans="1:29" s="118" customFormat="1" ht="20.100000000000001" customHeight="1" x14ac:dyDescent="0.25">
      <c r="A91" s="118" t="s">
        <v>249</v>
      </c>
      <c r="C91" s="118" t="s">
        <v>55</v>
      </c>
      <c r="D91" s="118" t="s">
        <v>30</v>
      </c>
      <c r="E91" s="118" t="s">
        <v>509</v>
      </c>
      <c r="H91" s="120"/>
      <c r="M91" s="121"/>
      <c r="N91" s="121"/>
      <c r="O91" s="121"/>
      <c r="Q91" s="120"/>
      <c r="R91" s="120"/>
      <c r="S91" s="120"/>
      <c r="T91" s="120"/>
      <c r="U91" s="120"/>
      <c r="V91" s="120"/>
    </row>
    <row r="92" spans="1:29" s="119" customFormat="1" ht="20.100000000000001" customHeight="1" x14ac:dyDescent="0.25">
      <c r="A92" s="122">
        <v>0.390625</v>
      </c>
      <c r="B92" s="122"/>
      <c r="C92" s="119">
        <v>4.65E-2</v>
      </c>
      <c r="D92" s="119">
        <v>0.40400000000000003</v>
      </c>
      <c r="E92" s="119">
        <f>1/25.4*2.4</f>
        <v>9.4488188976377951E-2</v>
      </c>
      <c r="M92" s="123"/>
      <c r="N92" s="123"/>
      <c r="O92" s="123"/>
      <c r="W92" s="122"/>
      <c r="AA92" s="122"/>
      <c r="AB92" s="122"/>
      <c r="AC92" s="122"/>
    </row>
    <row r="93" spans="1:29" s="118" customFormat="1" ht="20.100000000000001" customHeight="1" x14ac:dyDescent="0.25">
      <c r="A93" s="118" t="s">
        <v>250</v>
      </c>
      <c r="C93" s="118" t="s">
        <v>56</v>
      </c>
      <c r="D93" s="118" t="s">
        <v>31</v>
      </c>
      <c r="E93" s="118" t="s">
        <v>510</v>
      </c>
      <c r="H93" s="120"/>
      <c r="M93" s="121"/>
      <c r="N93" s="121"/>
      <c r="O93" s="121"/>
      <c r="Q93" s="120"/>
      <c r="R93" s="120"/>
      <c r="S93" s="120"/>
      <c r="T93" s="120"/>
      <c r="U93" s="120"/>
      <c r="V93" s="120"/>
    </row>
    <row r="94" spans="1:29" s="119" customFormat="1" ht="20.100000000000001" customHeight="1" x14ac:dyDescent="0.25">
      <c r="A94" s="122">
        <v>0.40625</v>
      </c>
      <c r="B94" s="122"/>
      <c r="C94" s="119">
        <v>5.1999999999999998E-2</v>
      </c>
      <c r="D94" s="119">
        <v>0.41299999999999998</v>
      </c>
      <c r="E94" s="119">
        <f>1/25.4*2.5</f>
        <v>9.8425196850393692E-2</v>
      </c>
      <c r="M94" s="123"/>
      <c r="N94" s="123"/>
      <c r="O94" s="123"/>
      <c r="W94" s="122"/>
      <c r="AA94" s="122"/>
      <c r="AB94" s="122"/>
      <c r="AC94" s="122"/>
    </row>
    <row r="95" spans="1:29" s="118" customFormat="1" ht="20.100000000000001" customHeight="1" x14ac:dyDescent="0.25">
      <c r="A95" s="118" t="s">
        <v>251</v>
      </c>
      <c r="C95" s="118" t="s">
        <v>57</v>
      </c>
      <c r="E95" s="118" t="s">
        <v>511</v>
      </c>
      <c r="H95" s="120"/>
      <c r="M95" s="121"/>
      <c r="N95" s="121"/>
      <c r="O95" s="121"/>
      <c r="Q95" s="120"/>
      <c r="R95" s="120"/>
      <c r="S95" s="120"/>
      <c r="T95" s="120"/>
      <c r="U95" s="120"/>
      <c r="V95" s="120"/>
    </row>
    <row r="96" spans="1:29" s="119" customFormat="1" ht="20.100000000000001" customHeight="1" x14ac:dyDescent="0.25">
      <c r="A96" s="122">
        <v>0.421875</v>
      </c>
      <c r="B96" s="122"/>
      <c r="C96" s="119">
        <v>5.5E-2</v>
      </c>
      <c r="E96" s="119">
        <f>1/25.4*2.6</f>
        <v>0.10236220472440945</v>
      </c>
      <c r="M96" s="123"/>
      <c r="N96" s="123"/>
      <c r="O96" s="123"/>
      <c r="W96" s="122"/>
      <c r="AA96" s="122"/>
      <c r="AB96" s="122"/>
      <c r="AC96" s="122"/>
    </row>
    <row r="97" spans="1:29" s="118" customFormat="1" ht="20.100000000000001" customHeight="1" x14ac:dyDescent="0.25">
      <c r="A97" s="118" t="s">
        <v>252</v>
      </c>
      <c r="C97" s="118" t="s">
        <v>58</v>
      </c>
      <c r="E97" s="118" t="s">
        <v>512</v>
      </c>
      <c r="H97" s="120"/>
      <c r="M97" s="121"/>
      <c r="N97" s="121"/>
      <c r="O97" s="121"/>
      <c r="Q97" s="120"/>
      <c r="R97" s="120"/>
      <c r="S97" s="120"/>
      <c r="T97" s="120"/>
      <c r="U97" s="120"/>
      <c r="V97" s="120"/>
    </row>
    <row r="98" spans="1:29" s="119" customFormat="1" ht="20.100000000000001" customHeight="1" x14ac:dyDescent="0.25">
      <c r="A98" s="122">
        <v>0.4375</v>
      </c>
      <c r="B98" s="122"/>
      <c r="C98" s="119">
        <v>5.9499999999999997E-2</v>
      </c>
      <c r="E98" s="119">
        <f>1/25.4*2.7</f>
        <v>0.1062992125984252</v>
      </c>
      <c r="M98" s="123"/>
      <c r="N98" s="123"/>
      <c r="O98" s="123"/>
      <c r="W98" s="122"/>
      <c r="AA98" s="122"/>
      <c r="AB98" s="122"/>
      <c r="AC98" s="122"/>
    </row>
    <row r="99" spans="1:29" s="118" customFormat="1" ht="20.100000000000001" customHeight="1" x14ac:dyDescent="0.25">
      <c r="A99" s="118" t="s">
        <v>253</v>
      </c>
      <c r="C99" s="118" t="s">
        <v>59</v>
      </c>
      <c r="E99" s="118" t="s">
        <v>513</v>
      </c>
      <c r="H99" s="120"/>
      <c r="M99" s="121"/>
      <c r="N99" s="121"/>
      <c r="O99" s="121"/>
      <c r="Q99" s="120"/>
      <c r="R99" s="120"/>
      <c r="S99" s="120"/>
      <c r="T99" s="120"/>
      <c r="U99" s="120"/>
      <c r="V99" s="120"/>
    </row>
    <row r="100" spans="1:29" s="119" customFormat="1" ht="20.100000000000001" customHeight="1" x14ac:dyDescent="0.25">
      <c r="A100" s="122">
        <v>0.453125</v>
      </c>
      <c r="B100" s="122"/>
      <c r="C100" s="119">
        <v>6.3500000000000001E-2</v>
      </c>
      <c r="E100" s="119">
        <f>1/25.4*2.8</f>
        <v>0.11023622047244093</v>
      </c>
      <c r="M100" s="123"/>
      <c r="N100" s="123"/>
      <c r="O100" s="123"/>
      <c r="W100" s="122"/>
      <c r="AA100" s="122"/>
      <c r="AB100" s="122"/>
      <c r="AC100" s="122"/>
    </row>
    <row r="101" spans="1:29" s="118" customFormat="1" ht="20.100000000000001" customHeight="1" x14ac:dyDescent="0.25">
      <c r="A101" s="118" t="s">
        <v>254</v>
      </c>
      <c r="C101" s="118" t="s">
        <v>60</v>
      </c>
      <c r="E101" s="118" t="s">
        <v>514</v>
      </c>
      <c r="H101" s="120"/>
      <c r="M101" s="121"/>
      <c r="N101" s="121"/>
      <c r="O101" s="121"/>
      <c r="Q101" s="120"/>
      <c r="R101" s="120"/>
      <c r="S101" s="120"/>
      <c r="T101" s="120"/>
      <c r="U101" s="120"/>
      <c r="V101" s="120"/>
    </row>
    <row r="102" spans="1:29" s="119" customFormat="1" ht="20.100000000000001" customHeight="1" x14ac:dyDescent="0.25">
      <c r="A102" s="122">
        <v>0.46875</v>
      </c>
      <c r="B102" s="122"/>
      <c r="C102" s="119">
        <v>6.7000000000000004E-2</v>
      </c>
      <c r="E102" s="119">
        <f>1/25.4*2.9</f>
        <v>0.11417322834645668</v>
      </c>
      <c r="M102" s="123"/>
      <c r="N102" s="123"/>
      <c r="O102" s="123"/>
      <c r="W102" s="122"/>
      <c r="AA102" s="122"/>
      <c r="AB102" s="122"/>
      <c r="AC102" s="122"/>
    </row>
    <row r="103" spans="1:29" s="118" customFormat="1" ht="20.100000000000001" customHeight="1" x14ac:dyDescent="0.25">
      <c r="A103" s="118" t="s">
        <v>255</v>
      </c>
      <c r="C103" s="118" t="s">
        <v>61</v>
      </c>
      <c r="E103" s="118" t="s">
        <v>515</v>
      </c>
      <c r="H103" s="120"/>
      <c r="M103" s="121"/>
      <c r="N103" s="121"/>
      <c r="O103" s="121"/>
      <c r="Q103" s="120"/>
      <c r="R103" s="120"/>
      <c r="S103" s="120"/>
      <c r="T103" s="120"/>
      <c r="U103" s="120"/>
      <c r="V103" s="120"/>
    </row>
    <row r="104" spans="1:29" s="119" customFormat="1" ht="20.100000000000001" customHeight="1" x14ac:dyDescent="0.25">
      <c r="A104" s="122">
        <v>0.484375</v>
      </c>
      <c r="B104" s="122"/>
      <c r="C104" s="119">
        <v>7.0000000000000007E-2</v>
      </c>
      <c r="E104" s="119">
        <f>1/25.4*3</f>
        <v>0.11811023622047244</v>
      </c>
      <c r="M104" s="123"/>
      <c r="N104" s="123"/>
      <c r="O104" s="123"/>
      <c r="W104" s="122"/>
      <c r="AA104" s="122"/>
      <c r="AB104" s="122"/>
      <c r="AC104" s="122"/>
    </row>
    <row r="105" spans="1:29" s="118" customFormat="1" ht="20.100000000000001" customHeight="1" x14ac:dyDescent="0.25">
      <c r="A105" s="118" t="s">
        <v>256</v>
      </c>
      <c r="C105" s="118" t="s">
        <v>62</v>
      </c>
      <c r="E105" s="118" t="s">
        <v>516</v>
      </c>
      <c r="H105" s="120"/>
      <c r="M105" s="121"/>
      <c r="N105" s="121"/>
      <c r="O105" s="121"/>
      <c r="Q105" s="120"/>
      <c r="R105" s="120"/>
      <c r="S105" s="120"/>
      <c r="T105" s="120"/>
      <c r="U105" s="120"/>
      <c r="V105" s="120"/>
      <c r="AA105" s="118" t="s">
        <v>256</v>
      </c>
      <c r="AB105" s="118" t="s">
        <v>256</v>
      </c>
      <c r="AC105" s="118" t="s">
        <v>256</v>
      </c>
    </row>
    <row r="106" spans="1:29" s="119" customFormat="1" ht="20.100000000000001" customHeight="1" x14ac:dyDescent="0.25">
      <c r="A106" s="122">
        <v>0.5</v>
      </c>
      <c r="B106" s="122"/>
      <c r="C106" s="119">
        <v>7.2999999999999995E-2</v>
      </c>
      <c r="E106" s="119">
        <f>1/25.4*3.1</f>
        <v>0.12204724409448819</v>
      </c>
      <c r="M106" s="123"/>
      <c r="N106" s="123"/>
      <c r="O106" s="123"/>
      <c r="W106" s="122"/>
      <c r="AA106" s="122">
        <v>0.5</v>
      </c>
      <c r="AB106" s="122">
        <v>0.5</v>
      </c>
      <c r="AC106" s="122">
        <v>0.5</v>
      </c>
    </row>
    <row r="107" spans="1:29" s="118" customFormat="1" ht="20.100000000000001" customHeight="1" x14ac:dyDescent="0.25">
      <c r="A107" s="118" t="s">
        <v>257</v>
      </c>
      <c r="C107" s="118" t="s">
        <v>63</v>
      </c>
      <c r="E107" s="118" t="s">
        <v>517</v>
      </c>
      <c r="H107" s="120"/>
      <c r="M107" s="121"/>
      <c r="N107" s="121"/>
      <c r="O107" s="121"/>
      <c r="Q107" s="120"/>
      <c r="R107" s="120"/>
      <c r="S107" s="120"/>
      <c r="T107" s="120"/>
      <c r="U107" s="120"/>
      <c r="V107" s="120"/>
    </row>
    <row r="108" spans="1:29" s="119" customFormat="1" ht="20.100000000000001" customHeight="1" x14ac:dyDescent="0.25">
      <c r="A108" s="122">
        <v>0.515625</v>
      </c>
      <c r="B108" s="122"/>
      <c r="C108" s="119">
        <v>7.5999999999999998E-2</v>
      </c>
      <c r="E108" s="119">
        <f>1/25.4*3.2</f>
        <v>0.12598425196850394</v>
      </c>
      <c r="M108" s="123"/>
      <c r="N108" s="123"/>
      <c r="O108" s="123"/>
      <c r="W108" s="122"/>
      <c r="AA108" s="122"/>
      <c r="AB108" s="122"/>
      <c r="AC108" s="122"/>
    </row>
    <row r="109" spans="1:29" s="118" customFormat="1" ht="20.100000000000001" customHeight="1" x14ac:dyDescent="0.25">
      <c r="A109" s="118" t="s">
        <v>258</v>
      </c>
      <c r="C109" s="118" t="s">
        <v>64</v>
      </c>
      <c r="E109" s="118" t="s">
        <v>518</v>
      </c>
      <c r="H109" s="120"/>
      <c r="M109" s="121"/>
      <c r="N109" s="121"/>
      <c r="O109" s="121"/>
      <c r="Q109" s="120"/>
      <c r="R109" s="120"/>
      <c r="S109" s="120"/>
      <c r="T109" s="120"/>
      <c r="U109" s="120"/>
      <c r="V109" s="120"/>
    </row>
    <row r="110" spans="1:29" s="119" customFormat="1" ht="20.100000000000001" customHeight="1" x14ac:dyDescent="0.25">
      <c r="A110" s="122">
        <v>0.53125</v>
      </c>
      <c r="B110" s="122"/>
      <c r="C110" s="119">
        <v>7.85E-2</v>
      </c>
      <c r="E110" s="119">
        <f>1/25.4*3.3</f>
        <v>0.12992125984251968</v>
      </c>
      <c r="M110" s="123"/>
      <c r="N110" s="123"/>
      <c r="O110" s="123"/>
      <c r="W110" s="122"/>
      <c r="AA110" s="122"/>
      <c r="AB110" s="122"/>
      <c r="AC110" s="122"/>
    </row>
    <row r="111" spans="1:29" s="118" customFormat="1" ht="20.100000000000001" customHeight="1" x14ac:dyDescent="0.25">
      <c r="A111" s="118" t="s">
        <v>259</v>
      </c>
      <c r="C111" s="118" t="s">
        <v>65</v>
      </c>
      <c r="E111" s="118" t="s">
        <v>519</v>
      </c>
      <c r="H111" s="120"/>
      <c r="M111" s="121"/>
      <c r="N111" s="121"/>
      <c r="O111" s="121"/>
      <c r="Q111" s="120"/>
      <c r="R111" s="120"/>
      <c r="S111" s="120"/>
      <c r="T111" s="120"/>
      <c r="U111" s="120"/>
      <c r="V111" s="120"/>
    </row>
    <row r="112" spans="1:29" s="119" customFormat="1" ht="20.100000000000001" customHeight="1" x14ac:dyDescent="0.25">
      <c r="A112" s="122">
        <v>0.546875</v>
      </c>
      <c r="B112" s="122"/>
      <c r="C112" s="119">
        <v>8.1000000000000003E-2</v>
      </c>
      <c r="E112" s="119">
        <f>1/25.4*3.4</f>
        <v>0.13385826771653542</v>
      </c>
      <c r="M112" s="123"/>
      <c r="N112" s="123"/>
      <c r="O112" s="123"/>
      <c r="W112" s="122"/>
      <c r="AA112" s="122"/>
      <c r="AB112" s="122"/>
      <c r="AC112" s="122"/>
    </row>
    <row r="113" spans="1:29" s="118" customFormat="1" ht="20.100000000000001" customHeight="1" x14ac:dyDescent="0.25">
      <c r="A113" s="118" t="s">
        <v>260</v>
      </c>
      <c r="C113" s="118" t="s">
        <v>66</v>
      </c>
      <c r="E113" s="118" t="s">
        <v>520</v>
      </c>
      <c r="H113" s="120"/>
      <c r="M113" s="121"/>
      <c r="N113" s="121"/>
      <c r="O113" s="121"/>
      <c r="Q113" s="120"/>
      <c r="R113" s="120"/>
      <c r="S113" s="120"/>
      <c r="T113" s="120"/>
      <c r="U113" s="120"/>
      <c r="V113" s="120"/>
    </row>
    <row r="114" spans="1:29" s="119" customFormat="1" ht="20.100000000000001" customHeight="1" x14ac:dyDescent="0.25">
      <c r="A114" s="122">
        <v>0.5625</v>
      </c>
      <c r="B114" s="122"/>
      <c r="C114" s="119">
        <v>8.2000000000000003E-2</v>
      </c>
      <c r="E114" s="119">
        <f>1/25.4*3.5</f>
        <v>0.13779527559055119</v>
      </c>
      <c r="M114" s="123"/>
      <c r="N114" s="123"/>
      <c r="O114" s="123"/>
      <c r="W114" s="122"/>
      <c r="AA114" s="122"/>
      <c r="AB114" s="122"/>
      <c r="AC114" s="122"/>
    </row>
    <row r="115" spans="1:29" s="118" customFormat="1" ht="20.100000000000001" customHeight="1" x14ac:dyDescent="0.25">
      <c r="A115" s="118" t="s">
        <v>261</v>
      </c>
      <c r="C115" s="118" t="s">
        <v>67</v>
      </c>
      <c r="E115" s="118" t="s">
        <v>521</v>
      </c>
      <c r="H115" s="120"/>
      <c r="M115" s="121"/>
      <c r="N115" s="121"/>
      <c r="O115" s="121"/>
      <c r="Q115" s="120"/>
      <c r="R115" s="120"/>
      <c r="S115" s="120"/>
      <c r="T115" s="120"/>
      <c r="U115" s="120"/>
      <c r="V115" s="120"/>
    </row>
    <row r="116" spans="1:29" s="119" customFormat="1" ht="20.100000000000001" customHeight="1" x14ac:dyDescent="0.25">
      <c r="A116" s="122">
        <v>0.578125</v>
      </c>
      <c r="B116" s="122"/>
      <c r="C116" s="119">
        <v>8.5999999999999993E-2</v>
      </c>
      <c r="E116" s="119">
        <f>1/25.4*3.6</f>
        <v>0.14173228346456693</v>
      </c>
      <c r="M116" s="123"/>
      <c r="N116" s="123"/>
      <c r="O116" s="123"/>
      <c r="W116" s="122"/>
      <c r="AA116" s="122"/>
      <c r="AB116" s="122"/>
      <c r="AC116" s="122"/>
    </row>
    <row r="117" spans="1:29" s="118" customFormat="1" ht="20.100000000000001" customHeight="1" x14ac:dyDescent="0.25">
      <c r="A117" s="118" t="s">
        <v>262</v>
      </c>
      <c r="C117" s="118" t="s">
        <v>68</v>
      </c>
      <c r="E117" s="118" t="s">
        <v>522</v>
      </c>
      <c r="H117" s="120"/>
      <c r="M117" s="121"/>
      <c r="N117" s="121"/>
      <c r="O117" s="121"/>
      <c r="Q117" s="120"/>
      <c r="R117" s="120"/>
      <c r="S117" s="120"/>
      <c r="T117" s="120"/>
      <c r="U117" s="120"/>
      <c r="V117" s="120"/>
    </row>
    <row r="118" spans="1:29" s="119" customFormat="1" ht="20.100000000000001" customHeight="1" x14ac:dyDescent="0.25">
      <c r="A118" s="122">
        <v>0.59375</v>
      </c>
      <c r="B118" s="122"/>
      <c r="C118" s="119">
        <v>8.8999999999999996E-2</v>
      </c>
      <c r="E118" s="119">
        <f>1/25.4*3.7</f>
        <v>0.1456692913385827</v>
      </c>
      <c r="M118" s="123"/>
      <c r="N118" s="123"/>
      <c r="O118" s="123"/>
      <c r="W118" s="122"/>
      <c r="AA118" s="122"/>
      <c r="AB118" s="122"/>
      <c r="AC118" s="122"/>
    </row>
    <row r="119" spans="1:29" s="118" customFormat="1" ht="20.100000000000001" customHeight="1" x14ac:dyDescent="0.25">
      <c r="A119" s="118" t="s">
        <v>263</v>
      </c>
      <c r="C119" s="118" t="s">
        <v>69</v>
      </c>
      <c r="E119" s="118" t="s">
        <v>523</v>
      </c>
      <c r="H119" s="120"/>
      <c r="M119" s="121"/>
      <c r="N119" s="121"/>
      <c r="O119" s="121"/>
      <c r="Q119" s="120"/>
      <c r="R119" s="120"/>
      <c r="S119" s="120"/>
      <c r="T119" s="120"/>
      <c r="U119" s="120"/>
      <c r="V119" s="120"/>
    </row>
    <row r="120" spans="1:29" s="119" customFormat="1" ht="20.100000000000001" customHeight="1" x14ac:dyDescent="0.25">
      <c r="A120" s="122">
        <v>0.609375</v>
      </c>
      <c r="B120" s="122"/>
      <c r="C120" s="119">
        <v>9.35E-2</v>
      </c>
      <c r="E120" s="119">
        <f>1/25.4*3.8</f>
        <v>0.14960629921259841</v>
      </c>
      <c r="M120" s="123"/>
      <c r="N120" s="123"/>
      <c r="O120" s="123"/>
      <c r="W120" s="122"/>
      <c r="AA120" s="122"/>
      <c r="AB120" s="122"/>
      <c r="AC120" s="122"/>
    </row>
    <row r="121" spans="1:29" s="118" customFormat="1" ht="20.100000000000001" customHeight="1" x14ac:dyDescent="0.25">
      <c r="A121" s="118" t="s">
        <v>219</v>
      </c>
      <c r="C121" s="118" t="s">
        <v>70</v>
      </c>
      <c r="E121" s="118" t="s">
        <v>524</v>
      </c>
      <c r="H121" s="120"/>
      <c r="M121" s="121"/>
      <c r="N121" s="121"/>
      <c r="O121" s="121"/>
      <c r="Q121" s="120"/>
      <c r="R121" s="120"/>
      <c r="S121" s="120"/>
      <c r="T121" s="120"/>
      <c r="U121" s="120"/>
      <c r="V121" s="120"/>
      <c r="AA121" s="118" t="s">
        <v>219</v>
      </c>
      <c r="AB121" s="118" t="s">
        <v>219</v>
      </c>
      <c r="AC121" s="118" t="s">
        <v>219</v>
      </c>
    </row>
    <row r="122" spans="1:29" s="119" customFormat="1" ht="20.100000000000001" customHeight="1" x14ac:dyDescent="0.25">
      <c r="A122" s="122">
        <v>0.625</v>
      </c>
      <c r="B122" s="122"/>
      <c r="C122" s="119">
        <v>9.6000000000000002E-2</v>
      </c>
      <c r="E122" s="119">
        <f>1/25.4*3.9</f>
        <v>0.15354330708661418</v>
      </c>
      <c r="M122" s="123"/>
      <c r="N122" s="123"/>
      <c r="O122" s="123"/>
      <c r="W122" s="122"/>
      <c r="AA122" s="122">
        <v>0.625</v>
      </c>
      <c r="AB122" s="122">
        <v>0.625</v>
      </c>
      <c r="AC122" s="122">
        <v>0.625</v>
      </c>
    </row>
    <row r="123" spans="1:29" s="118" customFormat="1" ht="20.100000000000001" customHeight="1" x14ac:dyDescent="0.25">
      <c r="A123" s="118" t="s">
        <v>264</v>
      </c>
      <c r="C123" s="118" t="s">
        <v>71</v>
      </c>
      <c r="E123" s="118" t="s">
        <v>525</v>
      </c>
      <c r="H123" s="120"/>
      <c r="M123" s="121"/>
      <c r="N123" s="121"/>
      <c r="O123" s="121"/>
      <c r="Q123" s="120"/>
      <c r="R123" s="120"/>
      <c r="S123" s="120"/>
      <c r="T123" s="120"/>
      <c r="U123" s="120"/>
      <c r="V123" s="120"/>
    </row>
    <row r="124" spans="1:29" s="119" customFormat="1" ht="20.100000000000001" customHeight="1" x14ac:dyDescent="0.25">
      <c r="A124" s="122">
        <v>0.640625</v>
      </c>
      <c r="B124" s="122"/>
      <c r="C124" s="119">
        <v>9.8000000000000004E-2</v>
      </c>
      <c r="E124" s="119">
        <f>1/25.4*4</f>
        <v>0.15748031496062992</v>
      </c>
      <c r="M124" s="123"/>
      <c r="N124" s="123"/>
      <c r="O124" s="123"/>
      <c r="W124" s="122"/>
      <c r="AA124" s="122"/>
      <c r="AB124" s="122"/>
      <c r="AC124" s="122"/>
    </row>
    <row r="125" spans="1:29" s="118" customFormat="1" ht="20.100000000000001" customHeight="1" x14ac:dyDescent="0.25">
      <c r="A125" s="118" t="s">
        <v>265</v>
      </c>
      <c r="C125" s="118" t="s">
        <v>72</v>
      </c>
      <c r="E125" s="118" t="s">
        <v>526</v>
      </c>
      <c r="H125" s="120"/>
      <c r="M125" s="121"/>
      <c r="N125" s="121"/>
      <c r="O125" s="121"/>
      <c r="Q125" s="120"/>
      <c r="R125" s="120"/>
      <c r="S125" s="120"/>
      <c r="T125" s="120"/>
      <c r="U125" s="120"/>
      <c r="V125" s="120"/>
    </row>
    <row r="126" spans="1:29" s="119" customFormat="1" ht="20.100000000000001" customHeight="1" x14ac:dyDescent="0.25">
      <c r="A126" s="122">
        <v>0.65625</v>
      </c>
      <c r="B126" s="122"/>
      <c r="C126" s="119">
        <v>9.9500000000000005E-2</v>
      </c>
      <c r="E126" s="119">
        <f>1/25.4*4.1</f>
        <v>0.16141732283464566</v>
      </c>
      <c r="M126" s="123"/>
      <c r="N126" s="123"/>
      <c r="O126" s="123"/>
      <c r="W126" s="122"/>
      <c r="AA126" s="122"/>
      <c r="AB126" s="122"/>
      <c r="AC126" s="122"/>
    </row>
    <row r="127" spans="1:29" s="118" customFormat="1" ht="20.100000000000001" customHeight="1" x14ac:dyDescent="0.25">
      <c r="A127" s="118" t="s">
        <v>266</v>
      </c>
      <c r="C127" s="118" t="s">
        <v>73</v>
      </c>
      <c r="E127" s="118" t="s">
        <v>527</v>
      </c>
      <c r="H127" s="120"/>
      <c r="M127" s="121"/>
      <c r="N127" s="121"/>
      <c r="O127" s="121"/>
      <c r="Q127" s="120"/>
      <c r="R127" s="120"/>
      <c r="S127" s="120"/>
      <c r="T127" s="120"/>
      <c r="U127" s="120"/>
      <c r="V127" s="120"/>
    </row>
    <row r="128" spans="1:29" s="119" customFormat="1" ht="20.100000000000001" customHeight="1" x14ac:dyDescent="0.25">
      <c r="A128" s="122">
        <v>0.671875</v>
      </c>
      <c r="B128" s="122"/>
      <c r="C128" s="119">
        <v>0.10150000000000001</v>
      </c>
      <c r="E128" s="119">
        <f>1/25.4*4.2</f>
        <v>0.16535433070866143</v>
      </c>
      <c r="M128" s="123"/>
      <c r="N128" s="123"/>
      <c r="O128" s="123"/>
      <c r="W128" s="122"/>
      <c r="AA128" s="122"/>
      <c r="AB128" s="122"/>
      <c r="AC128" s="122"/>
    </row>
    <row r="129" spans="1:29" s="118" customFormat="1" ht="20.100000000000001" customHeight="1" x14ac:dyDescent="0.25">
      <c r="A129" s="118" t="s">
        <v>267</v>
      </c>
      <c r="C129" s="118" t="s">
        <v>74</v>
      </c>
      <c r="E129" s="118" t="s">
        <v>528</v>
      </c>
      <c r="H129" s="120"/>
      <c r="M129" s="121"/>
      <c r="N129" s="121"/>
      <c r="O129" s="121"/>
      <c r="Q129" s="120"/>
      <c r="R129" s="120"/>
      <c r="S129" s="120"/>
      <c r="T129" s="120"/>
      <c r="U129" s="120"/>
      <c r="V129" s="120"/>
    </row>
    <row r="130" spans="1:29" s="119" customFormat="1" ht="20.100000000000001" customHeight="1" x14ac:dyDescent="0.25">
      <c r="A130" s="122">
        <v>0.6875</v>
      </c>
      <c r="B130" s="122"/>
      <c r="C130" s="119">
        <v>0.104</v>
      </c>
      <c r="E130" s="119">
        <f>1/25.4*4.3</f>
        <v>0.16929133858267714</v>
      </c>
      <c r="M130" s="123"/>
      <c r="N130" s="123"/>
      <c r="O130" s="123"/>
      <c r="W130" s="122"/>
      <c r="AA130" s="122"/>
      <c r="AB130" s="122"/>
      <c r="AC130" s="122"/>
    </row>
    <row r="131" spans="1:29" s="118" customFormat="1" ht="20.100000000000001" customHeight="1" x14ac:dyDescent="0.25">
      <c r="A131" s="118" t="s">
        <v>268</v>
      </c>
      <c r="C131" s="118" t="s">
        <v>75</v>
      </c>
      <c r="E131" s="118" t="s">
        <v>529</v>
      </c>
      <c r="H131" s="120"/>
      <c r="M131" s="121"/>
      <c r="N131" s="121"/>
      <c r="O131" s="121"/>
      <c r="Q131" s="120"/>
      <c r="R131" s="120"/>
      <c r="S131" s="120"/>
      <c r="T131" s="120"/>
      <c r="U131" s="120"/>
      <c r="V131" s="120"/>
    </row>
    <row r="132" spans="1:29" s="119" customFormat="1" ht="20.100000000000001" customHeight="1" x14ac:dyDescent="0.25">
      <c r="A132" s="122">
        <v>0.703125</v>
      </c>
      <c r="B132" s="122"/>
      <c r="C132" s="119">
        <v>0.1065</v>
      </c>
      <c r="E132" s="119">
        <f>1/25.4*4.4</f>
        <v>0.17322834645669294</v>
      </c>
      <c r="M132" s="123"/>
      <c r="N132" s="123"/>
      <c r="O132" s="123"/>
      <c r="W132" s="122"/>
      <c r="AA132" s="122"/>
      <c r="AB132" s="122"/>
      <c r="AC132" s="122"/>
    </row>
    <row r="133" spans="1:29" s="118" customFormat="1" ht="20.100000000000001" customHeight="1" x14ac:dyDescent="0.25">
      <c r="A133" s="118" t="s">
        <v>269</v>
      </c>
      <c r="C133" s="118" t="s">
        <v>76</v>
      </c>
      <c r="E133" s="118" t="s">
        <v>530</v>
      </c>
      <c r="H133" s="120"/>
      <c r="M133" s="121"/>
      <c r="N133" s="121"/>
      <c r="O133" s="121"/>
      <c r="Q133" s="120"/>
      <c r="R133" s="120"/>
      <c r="S133" s="120"/>
      <c r="T133" s="120"/>
      <c r="U133" s="120"/>
      <c r="V133" s="120"/>
    </row>
    <row r="134" spans="1:29" s="119" customFormat="1" ht="20.100000000000001" customHeight="1" x14ac:dyDescent="0.25">
      <c r="A134" s="122">
        <v>0.71875</v>
      </c>
      <c r="B134" s="122"/>
      <c r="C134" s="119">
        <v>0.11</v>
      </c>
      <c r="E134" s="119">
        <f>1/25.4*4.5</f>
        <v>0.17716535433070865</v>
      </c>
      <c r="M134" s="123"/>
      <c r="N134" s="123"/>
      <c r="O134" s="123"/>
      <c r="W134" s="122"/>
      <c r="AA134" s="122"/>
      <c r="AB134" s="122"/>
      <c r="AC134" s="122"/>
    </row>
    <row r="135" spans="1:29" s="118" customFormat="1" ht="20.100000000000001" customHeight="1" x14ac:dyDescent="0.25">
      <c r="A135" s="118" t="s">
        <v>270</v>
      </c>
      <c r="C135" s="118" t="s">
        <v>77</v>
      </c>
      <c r="E135" s="118" t="s">
        <v>531</v>
      </c>
      <c r="H135" s="120"/>
      <c r="M135" s="121"/>
      <c r="N135" s="121"/>
      <c r="O135" s="121"/>
      <c r="Q135" s="120"/>
      <c r="R135" s="120"/>
      <c r="S135" s="120"/>
      <c r="T135" s="120"/>
      <c r="U135" s="120"/>
      <c r="V135" s="120"/>
    </row>
    <row r="136" spans="1:29" s="119" customFormat="1" ht="20.100000000000001" customHeight="1" x14ac:dyDescent="0.25">
      <c r="A136" s="122">
        <v>0.734375</v>
      </c>
      <c r="B136" s="122"/>
      <c r="C136" s="119">
        <v>0.111</v>
      </c>
      <c r="E136" s="119">
        <f>1/25.4*4.6</f>
        <v>0.18110236220472439</v>
      </c>
      <c r="M136" s="123"/>
      <c r="N136" s="123"/>
      <c r="O136" s="123"/>
      <c r="W136" s="122"/>
      <c r="AA136" s="122"/>
      <c r="AB136" s="122"/>
      <c r="AC136" s="122"/>
    </row>
    <row r="137" spans="1:29" s="118" customFormat="1" ht="20.100000000000001" customHeight="1" x14ac:dyDescent="0.25">
      <c r="A137" s="118" t="s">
        <v>220</v>
      </c>
      <c r="C137" s="118" t="s">
        <v>78</v>
      </c>
      <c r="E137" s="118" t="s">
        <v>532</v>
      </c>
      <c r="H137" s="120"/>
      <c r="M137" s="121"/>
      <c r="N137" s="121"/>
      <c r="O137" s="121"/>
      <c r="Q137" s="120"/>
      <c r="R137" s="120"/>
      <c r="S137" s="120"/>
      <c r="T137" s="120"/>
      <c r="U137" s="120"/>
      <c r="V137" s="120"/>
      <c r="AA137" s="118" t="s">
        <v>220</v>
      </c>
      <c r="AB137" s="118" t="s">
        <v>220</v>
      </c>
      <c r="AC137" s="118" t="s">
        <v>220</v>
      </c>
    </row>
    <row r="138" spans="1:29" s="119" customFormat="1" ht="20.100000000000001" customHeight="1" x14ac:dyDescent="0.25">
      <c r="A138" s="122">
        <v>0.75</v>
      </c>
      <c r="B138" s="122"/>
      <c r="C138" s="119">
        <v>0.113</v>
      </c>
      <c r="E138" s="119">
        <f>1/25.4*4.7</f>
        <v>0.18503937007874016</v>
      </c>
      <c r="M138" s="123"/>
      <c r="N138" s="123"/>
      <c r="O138" s="123"/>
      <c r="W138" s="122"/>
      <c r="AA138" s="122">
        <v>0.75</v>
      </c>
      <c r="AB138" s="122">
        <v>0.75</v>
      </c>
      <c r="AC138" s="122">
        <v>0.75</v>
      </c>
    </row>
    <row r="139" spans="1:29" s="118" customFormat="1" ht="20.100000000000001" customHeight="1" x14ac:dyDescent="0.25">
      <c r="A139" s="118" t="s">
        <v>271</v>
      </c>
      <c r="C139" s="118" t="s">
        <v>79</v>
      </c>
      <c r="E139" s="118" t="s">
        <v>533</v>
      </c>
      <c r="H139" s="120"/>
      <c r="M139" s="121"/>
      <c r="N139" s="121"/>
      <c r="O139" s="121"/>
      <c r="Q139" s="120"/>
      <c r="R139" s="120"/>
      <c r="S139" s="120"/>
      <c r="T139" s="120"/>
      <c r="U139" s="120"/>
      <c r="V139" s="120"/>
    </row>
    <row r="140" spans="1:29" s="119" customFormat="1" ht="20.100000000000001" customHeight="1" x14ac:dyDescent="0.25">
      <c r="A140" s="122">
        <v>0.765625</v>
      </c>
      <c r="B140" s="122"/>
      <c r="C140" s="119">
        <v>0.11600000000000001</v>
      </c>
      <c r="E140" s="119">
        <f>1/25.4*4.8</f>
        <v>0.1889763779527559</v>
      </c>
      <c r="M140" s="123"/>
      <c r="N140" s="123"/>
      <c r="O140" s="123"/>
      <c r="W140" s="122"/>
      <c r="AA140" s="122"/>
      <c r="AB140" s="122"/>
      <c r="AC140" s="122"/>
    </row>
    <row r="141" spans="1:29" s="118" customFormat="1" ht="20.100000000000001" customHeight="1" x14ac:dyDescent="0.25">
      <c r="A141" s="118" t="s">
        <v>272</v>
      </c>
      <c r="C141" s="118" t="s">
        <v>80</v>
      </c>
      <c r="E141" s="118" t="s">
        <v>534</v>
      </c>
      <c r="H141" s="120"/>
      <c r="M141" s="121"/>
      <c r="N141" s="121"/>
      <c r="O141" s="121"/>
      <c r="Q141" s="120"/>
      <c r="R141" s="120"/>
      <c r="S141" s="120"/>
      <c r="T141" s="120"/>
      <c r="U141" s="120"/>
      <c r="V141" s="120"/>
    </row>
    <row r="142" spans="1:29" s="119" customFormat="1" ht="20.100000000000001" customHeight="1" x14ac:dyDescent="0.25">
      <c r="A142" s="122">
        <v>0.78125</v>
      </c>
      <c r="B142" s="122"/>
      <c r="C142" s="119">
        <v>0.12</v>
      </c>
      <c r="E142" s="119">
        <f>1/25.4*4.9</f>
        <v>0.19291338582677167</v>
      </c>
      <c r="M142" s="123"/>
      <c r="N142" s="123"/>
      <c r="O142" s="123"/>
      <c r="W142" s="122"/>
      <c r="AA142" s="122"/>
      <c r="AB142" s="122"/>
      <c r="AC142" s="122"/>
    </row>
    <row r="143" spans="1:29" s="118" customFormat="1" ht="20.100000000000001" customHeight="1" x14ac:dyDescent="0.25">
      <c r="A143" s="118" t="s">
        <v>273</v>
      </c>
      <c r="C143" s="118" t="s">
        <v>81</v>
      </c>
      <c r="E143" s="118" t="s">
        <v>535</v>
      </c>
      <c r="H143" s="120"/>
      <c r="M143" s="121"/>
      <c r="N143" s="121"/>
      <c r="O143" s="121"/>
      <c r="Q143" s="120"/>
      <c r="R143" s="120"/>
      <c r="S143" s="120"/>
      <c r="T143" s="120"/>
      <c r="U143" s="120"/>
      <c r="V143" s="120"/>
    </row>
    <row r="144" spans="1:29" s="119" customFormat="1" ht="20.100000000000001" customHeight="1" x14ac:dyDescent="0.25">
      <c r="A144" s="122">
        <v>0.796875</v>
      </c>
      <c r="B144" s="122"/>
      <c r="C144" s="119">
        <v>0.1285</v>
      </c>
      <c r="E144" s="119">
        <f>1/25.4*5</f>
        <v>0.19685039370078738</v>
      </c>
      <c r="M144" s="123"/>
      <c r="N144" s="123"/>
      <c r="O144" s="123"/>
      <c r="W144" s="122"/>
      <c r="AA144" s="122"/>
      <c r="AB144" s="122"/>
      <c r="AC144" s="122"/>
    </row>
    <row r="145" spans="1:29" s="118" customFormat="1" ht="20.100000000000001" customHeight="1" x14ac:dyDescent="0.25">
      <c r="A145" s="118" t="s">
        <v>274</v>
      </c>
      <c r="C145" s="118" t="s">
        <v>82</v>
      </c>
      <c r="E145" s="118" t="s">
        <v>536</v>
      </c>
      <c r="H145" s="120"/>
      <c r="M145" s="121"/>
      <c r="N145" s="121"/>
      <c r="O145" s="121"/>
      <c r="Q145" s="120"/>
      <c r="R145" s="120"/>
      <c r="S145" s="120"/>
      <c r="T145" s="120"/>
      <c r="U145" s="120"/>
      <c r="V145" s="120"/>
    </row>
    <row r="146" spans="1:29" s="119" customFormat="1" ht="20.100000000000001" customHeight="1" x14ac:dyDescent="0.25">
      <c r="A146" s="122">
        <v>0.8125</v>
      </c>
      <c r="B146" s="122"/>
      <c r="C146" s="119">
        <v>0.13600000000000001</v>
      </c>
      <c r="E146" s="119">
        <f>1/25.4*5.1</f>
        <v>0.20078740157480313</v>
      </c>
      <c r="M146" s="123"/>
      <c r="N146" s="123"/>
      <c r="O146" s="123"/>
      <c r="W146" s="122"/>
      <c r="AA146" s="122"/>
      <c r="AB146" s="122"/>
      <c r="AC146" s="122"/>
    </row>
    <row r="147" spans="1:29" s="118" customFormat="1" ht="20.100000000000001" customHeight="1" x14ac:dyDescent="0.25">
      <c r="A147" s="118" t="s">
        <v>275</v>
      </c>
      <c r="C147" s="118" t="s">
        <v>83</v>
      </c>
      <c r="E147" s="118" t="s">
        <v>537</v>
      </c>
      <c r="H147" s="120"/>
      <c r="M147" s="121"/>
      <c r="N147" s="121"/>
      <c r="O147" s="121"/>
      <c r="Q147" s="120"/>
      <c r="R147" s="120"/>
      <c r="S147" s="120"/>
      <c r="T147" s="120"/>
      <c r="U147" s="120"/>
      <c r="V147" s="120"/>
    </row>
    <row r="148" spans="1:29" s="119" customFormat="1" ht="20.100000000000001" customHeight="1" x14ac:dyDescent="0.25">
      <c r="A148" s="122">
        <v>0.828125</v>
      </c>
      <c r="B148" s="122"/>
      <c r="C148" s="119">
        <v>0.14050000000000001</v>
      </c>
      <c r="E148" s="119">
        <f>1/25.4*5.2</f>
        <v>0.20472440944881889</v>
      </c>
      <c r="M148" s="123"/>
      <c r="N148" s="123"/>
      <c r="O148" s="123"/>
      <c r="W148" s="122"/>
      <c r="AA148" s="122"/>
      <c r="AB148" s="122"/>
      <c r="AC148" s="122"/>
    </row>
    <row r="149" spans="1:29" s="118" customFormat="1" ht="20.100000000000001" customHeight="1" x14ac:dyDescent="0.25">
      <c r="A149" s="118" t="s">
        <v>276</v>
      </c>
      <c r="C149" s="118" t="s">
        <v>84</v>
      </c>
      <c r="E149" s="118" t="s">
        <v>538</v>
      </c>
      <c r="H149" s="120"/>
      <c r="M149" s="121"/>
      <c r="N149" s="121"/>
      <c r="O149" s="121"/>
      <c r="Q149" s="120"/>
      <c r="R149" s="120"/>
      <c r="S149" s="120"/>
      <c r="T149" s="120"/>
      <c r="U149" s="120"/>
      <c r="V149" s="120"/>
    </row>
    <row r="150" spans="1:29" s="119" customFormat="1" ht="20.100000000000001" customHeight="1" x14ac:dyDescent="0.25">
      <c r="A150" s="122">
        <v>0.84375</v>
      </c>
      <c r="B150" s="122"/>
      <c r="C150" s="119">
        <v>0.14399999999999999</v>
      </c>
      <c r="E150" s="119">
        <f>1/25.4*5.3</f>
        <v>0.20866141732283464</v>
      </c>
      <c r="M150" s="123"/>
      <c r="N150" s="123"/>
      <c r="O150" s="123"/>
      <c r="W150" s="122"/>
      <c r="AA150" s="122"/>
      <c r="AB150" s="122"/>
      <c r="AC150" s="122"/>
    </row>
    <row r="151" spans="1:29" s="118" customFormat="1" ht="20.100000000000001" customHeight="1" x14ac:dyDescent="0.25">
      <c r="A151" s="118" t="s">
        <v>277</v>
      </c>
      <c r="C151" s="118" t="s">
        <v>85</v>
      </c>
      <c r="E151" s="118" t="s">
        <v>539</v>
      </c>
      <c r="H151" s="120"/>
      <c r="M151" s="121"/>
      <c r="N151" s="121"/>
      <c r="O151" s="121"/>
      <c r="Q151" s="120"/>
      <c r="R151" s="120"/>
      <c r="S151" s="120"/>
      <c r="T151" s="120"/>
      <c r="U151" s="120"/>
      <c r="V151" s="120"/>
    </row>
    <row r="152" spans="1:29" s="119" customFormat="1" ht="20.100000000000001" customHeight="1" x14ac:dyDescent="0.25">
      <c r="A152" s="122">
        <v>0.859375</v>
      </c>
      <c r="B152" s="122"/>
      <c r="C152" s="119">
        <v>0.14699999999999999</v>
      </c>
      <c r="E152" s="119">
        <f>1/25.4*5.4</f>
        <v>0.2125984251968504</v>
      </c>
      <c r="M152" s="123"/>
      <c r="N152" s="123"/>
      <c r="O152" s="123"/>
      <c r="W152" s="122"/>
      <c r="AA152" s="122"/>
      <c r="AB152" s="122"/>
      <c r="AC152" s="122"/>
    </row>
    <row r="153" spans="1:29" s="118" customFormat="1" ht="20.100000000000001" customHeight="1" x14ac:dyDescent="0.25">
      <c r="A153" s="118" t="s">
        <v>221</v>
      </c>
      <c r="C153" s="118" t="s">
        <v>86</v>
      </c>
      <c r="E153" s="118" t="s">
        <v>540</v>
      </c>
      <c r="H153" s="120"/>
      <c r="M153" s="121"/>
      <c r="N153" s="121"/>
      <c r="O153" s="121"/>
      <c r="Q153" s="120"/>
      <c r="R153" s="120"/>
      <c r="S153" s="120"/>
      <c r="T153" s="120"/>
      <c r="U153" s="120"/>
      <c r="V153" s="120"/>
      <c r="AA153" s="118" t="s">
        <v>221</v>
      </c>
      <c r="AB153" s="118" t="s">
        <v>221</v>
      </c>
      <c r="AC153" s="118" t="s">
        <v>221</v>
      </c>
    </row>
    <row r="154" spans="1:29" s="119" customFormat="1" ht="20.100000000000001" customHeight="1" x14ac:dyDescent="0.25">
      <c r="A154" s="122">
        <v>0.875</v>
      </c>
      <c r="B154" s="122"/>
      <c r="C154" s="119">
        <v>0.14949999999999999</v>
      </c>
      <c r="E154" s="119">
        <f>1/25.4*5.5</f>
        <v>0.21653543307086615</v>
      </c>
      <c r="M154" s="123"/>
      <c r="N154" s="123"/>
      <c r="O154" s="123"/>
      <c r="W154" s="122"/>
      <c r="AA154" s="122">
        <v>0.875</v>
      </c>
      <c r="AB154" s="122">
        <v>0.875</v>
      </c>
      <c r="AC154" s="122">
        <v>0.875</v>
      </c>
    </row>
    <row r="155" spans="1:29" s="118" customFormat="1" ht="20.100000000000001" customHeight="1" x14ac:dyDescent="0.25">
      <c r="A155" s="118" t="s">
        <v>278</v>
      </c>
      <c r="C155" s="118" t="s">
        <v>87</v>
      </c>
      <c r="E155" s="118" t="s">
        <v>541</v>
      </c>
      <c r="H155" s="120"/>
      <c r="M155" s="121"/>
      <c r="N155" s="121"/>
      <c r="O155" s="121"/>
      <c r="Q155" s="120"/>
      <c r="R155" s="120"/>
      <c r="S155" s="120"/>
      <c r="T155" s="120"/>
      <c r="U155" s="120"/>
      <c r="V155" s="120"/>
    </row>
    <row r="156" spans="1:29" s="119" customFormat="1" ht="20.100000000000001" customHeight="1" x14ac:dyDescent="0.25">
      <c r="A156" s="122">
        <v>0.890625</v>
      </c>
      <c r="B156" s="122"/>
      <c r="C156" s="119">
        <v>0.152</v>
      </c>
      <c r="E156" s="119">
        <f>1/25.4*5.6</f>
        <v>0.22047244094488186</v>
      </c>
      <c r="M156" s="123"/>
      <c r="N156" s="123"/>
      <c r="O156" s="123"/>
      <c r="W156" s="122"/>
      <c r="AA156" s="122"/>
      <c r="AB156" s="122"/>
      <c r="AC156" s="122"/>
    </row>
    <row r="157" spans="1:29" s="118" customFormat="1" ht="20.100000000000001" customHeight="1" x14ac:dyDescent="0.25">
      <c r="A157" s="118" t="s">
        <v>279</v>
      </c>
      <c r="C157" s="118" t="s">
        <v>88</v>
      </c>
      <c r="E157" s="118" t="s">
        <v>542</v>
      </c>
      <c r="H157" s="120"/>
      <c r="M157" s="121"/>
      <c r="N157" s="121"/>
      <c r="O157" s="121"/>
      <c r="Q157" s="120"/>
      <c r="R157" s="120"/>
      <c r="S157" s="120"/>
      <c r="T157" s="120"/>
      <c r="U157" s="120"/>
      <c r="V157" s="120"/>
    </row>
    <row r="158" spans="1:29" s="119" customFormat="1" ht="20.100000000000001" customHeight="1" x14ac:dyDescent="0.25">
      <c r="A158" s="122">
        <v>0.90625</v>
      </c>
      <c r="B158" s="122"/>
      <c r="C158" s="119">
        <v>0.154</v>
      </c>
      <c r="E158" s="119">
        <f>1/25.4*5.7</f>
        <v>0.22440944881889766</v>
      </c>
      <c r="M158" s="123"/>
      <c r="N158" s="123"/>
      <c r="O158" s="123"/>
      <c r="W158" s="122"/>
      <c r="AA158" s="122"/>
      <c r="AB158" s="122"/>
      <c r="AC158" s="122"/>
    </row>
    <row r="159" spans="1:29" s="118" customFormat="1" ht="20.100000000000001" customHeight="1" x14ac:dyDescent="0.25">
      <c r="A159" s="118" t="s">
        <v>280</v>
      </c>
      <c r="C159" s="118" t="s">
        <v>89</v>
      </c>
      <c r="E159" s="118" t="s">
        <v>543</v>
      </c>
      <c r="H159" s="120"/>
      <c r="M159" s="121"/>
      <c r="N159" s="121"/>
      <c r="O159" s="121"/>
      <c r="Q159" s="120"/>
      <c r="R159" s="120"/>
      <c r="S159" s="120"/>
      <c r="T159" s="120"/>
      <c r="U159" s="120"/>
      <c r="V159" s="120"/>
    </row>
    <row r="160" spans="1:29" s="119" customFormat="1" ht="20.100000000000001" customHeight="1" x14ac:dyDescent="0.25">
      <c r="A160" s="122">
        <v>0.921875</v>
      </c>
      <c r="B160" s="122"/>
      <c r="C160" s="119">
        <v>0.157</v>
      </c>
      <c r="E160" s="119">
        <f>1/25.4*5.8</f>
        <v>0.22834645669291337</v>
      </c>
      <c r="M160" s="123"/>
      <c r="N160" s="123"/>
      <c r="O160" s="123"/>
      <c r="W160" s="122"/>
      <c r="AA160" s="122"/>
      <c r="AB160" s="122"/>
      <c r="AC160" s="122"/>
    </row>
    <row r="161" spans="1:29" s="118" customFormat="1" ht="20.100000000000001" customHeight="1" x14ac:dyDescent="0.25">
      <c r="A161" s="118" t="s">
        <v>281</v>
      </c>
      <c r="C161" s="118" t="s">
        <v>90</v>
      </c>
      <c r="E161" s="118" t="s">
        <v>544</v>
      </c>
      <c r="H161" s="120"/>
      <c r="M161" s="121"/>
      <c r="N161" s="121"/>
      <c r="O161" s="121"/>
      <c r="Q161" s="120"/>
      <c r="R161" s="120"/>
      <c r="S161" s="120"/>
      <c r="T161" s="120"/>
      <c r="U161" s="120"/>
      <c r="V161" s="120"/>
    </row>
    <row r="162" spans="1:29" s="119" customFormat="1" ht="20.100000000000001" customHeight="1" x14ac:dyDescent="0.25">
      <c r="A162" s="122">
        <v>0.9375</v>
      </c>
      <c r="B162" s="122"/>
      <c r="C162" s="119">
        <v>0.159</v>
      </c>
      <c r="E162" s="119">
        <f>1/25.4*5.9</f>
        <v>0.23228346456692914</v>
      </c>
      <c r="M162" s="123"/>
      <c r="N162" s="123"/>
      <c r="O162" s="123"/>
      <c r="W162" s="122"/>
      <c r="AA162" s="122"/>
      <c r="AB162" s="122"/>
      <c r="AC162" s="122"/>
    </row>
    <row r="163" spans="1:29" s="118" customFormat="1" ht="20.100000000000001" customHeight="1" x14ac:dyDescent="0.25">
      <c r="A163" s="118" t="s">
        <v>282</v>
      </c>
      <c r="C163" s="118" t="s">
        <v>91</v>
      </c>
      <c r="E163" s="118" t="s">
        <v>545</v>
      </c>
      <c r="H163" s="120"/>
      <c r="M163" s="121"/>
      <c r="N163" s="121"/>
      <c r="O163" s="121"/>
      <c r="Q163" s="120"/>
      <c r="R163" s="120"/>
      <c r="S163" s="120"/>
      <c r="T163" s="120"/>
      <c r="U163" s="120"/>
      <c r="V163" s="120"/>
    </row>
    <row r="164" spans="1:29" s="119" customFormat="1" ht="20.100000000000001" customHeight="1" x14ac:dyDescent="0.25">
      <c r="A164" s="122">
        <v>0.953125</v>
      </c>
      <c r="B164" s="122"/>
      <c r="C164" s="119">
        <v>0.161</v>
      </c>
      <c r="E164" s="119">
        <f>1/25.4*6</f>
        <v>0.23622047244094488</v>
      </c>
      <c r="M164" s="123"/>
      <c r="N164" s="123"/>
      <c r="O164" s="123"/>
      <c r="W164" s="122"/>
      <c r="AA164" s="122"/>
      <c r="AB164" s="122"/>
      <c r="AC164" s="122"/>
    </row>
    <row r="165" spans="1:29" s="118" customFormat="1" ht="20.100000000000001" customHeight="1" x14ac:dyDescent="0.25">
      <c r="A165" s="118" t="s">
        <v>283</v>
      </c>
      <c r="C165" s="118" t="s">
        <v>92</v>
      </c>
      <c r="E165" s="118" t="s">
        <v>546</v>
      </c>
      <c r="H165" s="120"/>
      <c r="M165" s="121"/>
      <c r="N165" s="121"/>
      <c r="O165" s="121"/>
      <c r="Q165" s="120"/>
      <c r="R165" s="120"/>
      <c r="S165" s="120"/>
      <c r="T165" s="120"/>
      <c r="U165" s="120"/>
      <c r="V165" s="120"/>
    </row>
    <row r="166" spans="1:29" s="119" customFormat="1" ht="20.100000000000001" customHeight="1" x14ac:dyDescent="0.25">
      <c r="A166" s="122">
        <v>0.96875</v>
      </c>
      <c r="B166" s="122"/>
      <c r="C166" s="119">
        <v>0.16600000000000001</v>
      </c>
      <c r="E166" s="119">
        <f>1/25.4*6.1</f>
        <v>0.24015748031496062</v>
      </c>
      <c r="M166" s="123"/>
      <c r="N166" s="123"/>
      <c r="O166" s="123"/>
      <c r="W166" s="122"/>
      <c r="AA166" s="122"/>
      <c r="AB166" s="122"/>
      <c r="AC166" s="122"/>
    </row>
    <row r="167" spans="1:29" s="118" customFormat="1" ht="20.100000000000001" customHeight="1" x14ac:dyDescent="0.25">
      <c r="A167" s="118" t="s">
        <v>284</v>
      </c>
      <c r="C167" s="118" t="s">
        <v>93</v>
      </c>
      <c r="E167" s="118" t="s">
        <v>547</v>
      </c>
      <c r="H167" s="120"/>
      <c r="M167" s="121"/>
      <c r="N167" s="121"/>
      <c r="O167" s="121"/>
      <c r="Q167" s="120"/>
      <c r="R167" s="120"/>
      <c r="S167" s="120"/>
      <c r="T167" s="120"/>
      <c r="U167" s="120"/>
      <c r="V167" s="120"/>
    </row>
    <row r="168" spans="1:29" s="119" customFormat="1" ht="20.100000000000001" customHeight="1" x14ac:dyDescent="0.25">
      <c r="A168" s="122">
        <v>0.984375</v>
      </c>
      <c r="B168" s="122"/>
      <c r="C168" s="119">
        <v>0.16950000000000001</v>
      </c>
      <c r="E168" s="119">
        <f>1/25.4*6.2</f>
        <v>0.24409448818897639</v>
      </c>
      <c r="M168" s="123"/>
      <c r="N168" s="123"/>
      <c r="O168" s="123"/>
      <c r="W168" s="122"/>
      <c r="AA168" s="122"/>
      <c r="AB168" s="122"/>
      <c r="AC168" s="122"/>
    </row>
    <row r="169" spans="1:29" s="118" customFormat="1" ht="20.100000000000001" customHeight="1" x14ac:dyDescent="0.25">
      <c r="A169" s="118" t="s">
        <v>222</v>
      </c>
      <c r="B169" s="118" t="s">
        <v>222</v>
      </c>
      <c r="C169" s="118" t="s">
        <v>94</v>
      </c>
      <c r="E169" s="118" t="s">
        <v>548</v>
      </c>
      <c r="H169" s="120"/>
      <c r="M169" s="121"/>
      <c r="N169" s="121"/>
      <c r="O169" s="121"/>
      <c r="Q169" s="120"/>
      <c r="R169" s="120"/>
      <c r="S169" s="120"/>
      <c r="T169" s="120"/>
      <c r="U169" s="120"/>
      <c r="V169" s="120"/>
      <c r="AA169" s="118" t="s">
        <v>222</v>
      </c>
      <c r="AB169" s="118" t="s">
        <v>222</v>
      </c>
      <c r="AC169" s="118" t="s">
        <v>222</v>
      </c>
    </row>
    <row r="170" spans="1:29" s="119" customFormat="1" ht="20.100000000000001" customHeight="1" x14ac:dyDescent="0.25">
      <c r="A170" s="122">
        <v>1</v>
      </c>
      <c r="B170" s="122">
        <v>1</v>
      </c>
      <c r="C170" s="119">
        <v>0.17299999999999999</v>
      </c>
      <c r="E170" s="119">
        <f>1/25.4*6.3</f>
        <v>0.2480314960629921</v>
      </c>
      <c r="M170" s="123"/>
      <c r="N170" s="123"/>
      <c r="O170" s="123"/>
      <c r="W170" s="122"/>
      <c r="AA170" s="122">
        <v>1</v>
      </c>
      <c r="AB170" s="122">
        <v>1</v>
      </c>
      <c r="AC170" s="122">
        <v>1</v>
      </c>
    </row>
    <row r="171" spans="1:29" s="118" customFormat="1" ht="20.100000000000001" customHeight="1" x14ac:dyDescent="0.25">
      <c r="C171" s="118" t="s">
        <v>95</v>
      </c>
      <c r="E171" s="118" t="s">
        <v>549</v>
      </c>
      <c r="H171" s="120"/>
      <c r="M171" s="121"/>
      <c r="N171" s="121"/>
      <c r="O171" s="121"/>
      <c r="Q171" s="120"/>
      <c r="R171" s="120"/>
      <c r="S171" s="120"/>
      <c r="T171" s="120"/>
      <c r="U171" s="120"/>
      <c r="V171" s="120"/>
    </row>
    <row r="172" spans="1:29" s="119" customFormat="1" ht="20.100000000000001" customHeight="1" x14ac:dyDescent="0.25">
      <c r="A172" s="122"/>
      <c r="B172" s="122"/>
      <c r="C172" s="119">
        <v>0.17699999999999999</v>
      </c>
      <c r="E172" s="119">
        <f>1/25.4*6.4</f>
        <v>0.25196850393700787</v>
      </c>
      <c r="M172" s="123"/>
      <c r="N172" s="123"/>
      <c r="O172" s="123"/>
      <c r="W172" s="122"/>
      <c r="AA172" s="122"/>
    </row>
    <row r="173" spans="1:29" s="118" customFormat="1" ht="20.100000000000001" customHeight="1" x14ac:dyDescent="0.25">
      <c r="B173" s="118" t="s">
        <v>285</v>
      </c>
      <c r="C173" s="118" t="s">
        <v>96</v>
      </c>
      <c r="E173" s="118" t="s">
        <v>550</v>
      </c>
      <c r="H173" s="120"/>
      <c r="M173" s="121"/>
      <c r="N173" s="121"/>
      <c r="O173" s="121"/>
      <c r="Q173" s="120"/>
      <c r="R173" s="120"/>
      <c r="S173" s="120"/>
      <c r="T173" s="120"/>
      <c r="U173" s="120"/>
      <c r="V173" s="120"/>
    </row>
    <row r="174" spans="1:29" s="119" customFormat="1" ht="20.100000000000001" customHeight="1" x14ac:dyDescent="0.25">
      <c r="A174" s="122"/>
      <c r="B174" s="122">
        <v>1.0625</v>
      </c>
      <c r="C174" s="119">
        <v>0.18</v>
      </c>
      <c r="E174" s="119">
        <f>1/25.4*6.5</f>
        <v>0.25590551181102361</v>
      </c>
      <c r="M174" s="123"/>
      <c r="N174" s="123"/>
      <c r="O174" s="123"/>
      <c r="W174" s="122"/>
      <c r="AA174" s="122"/>
    </row>
    <row r="175" spans="1:29" s="118" customFormat="1" ht="20.100000000000001" customHeight="1" x14ac:dyDescent="0.25">
      <c r="C175" s="118" t="s">
        <v>97</v>
      </c>
      <c r="E175" s="118" t="s">
        <v>551</v>
      </c>
      <c r="H175" s="120"/>
      <c r="M175" s="121"/>
      <c r="N175" s="121"/>
      <c r="O175" s="121"/>
      <c r="Q175" s="120"/>
      <c r="R175" s="120"/>
      <c r="S175" s="120"/>
      <c r="T175" s="120"/>
      <c r="U175" s="120"/>
      <c r="V175" s="120"/>
    </row>
    <row r="176" spans="1:29" s="119" customFormat="1" ht="20.100000000000001" customHeight="1" x14ac:dyDescent="0.25">
      <c r="A176" s="122"/>
      <c r="B176" s="122"/>
      <c r="C176" s="119">
        <v>0.182</v>
      </c>
      <c r="E176" s="119">
        <f>1/25.4*6.6</f>
        <v>0.25984251968503935</v>
      </c>
      <c r="M176" s="123"/>
      <c r="N176" s="123"/>
      <c r="O176" s="123"/>
      <c r="W176" s="122"/>
      <c r="AA176" s="122"/>
    </row>
    <row r="177" spans="1:27" s="118" customFormat="1" ht="20.100000000000001" customHeight="1" x14ac:dyDescent="0.25">
      <c r="B177" s="118" t="s">
        <v>286</v>
      </c>
      <c r="C177" s="118" t="s">
        <v>98</v>
      </c>
      <c r="E177" s="118" t="s">
        <v>552</v>
      </c>
      <c r="H177" s="120"/>
      <c r="M177" s="121"/>
      <c r="N177" s="121"/>
      <c r="O177" s="121"/>
      <c r="Q177" s="120"/>
      <c r="R177" s="120"/>
      <c r="S177" s="120"/>
      <c r="T177" s="120"/>
      <c r="U177" s="120"/>
      <c r="V177" s="120"/>
    </row>
    <row r="178" spans="1:27" s="119" customFormat="1" ht="20.100000000000001" customHeight="1" x14ac:dyDescent="0.25">
      <c r="A178" s="122"/>
      <c r="B178" s="122">
        <v>1.125</v>
      </c>
      <c r="C178" s="119">
        <v>0.185</v>
      </c>
      <c r="E178" s="119">
        <f>1/25.4*6.7</f>
        <v>0.26377952755905515</v>
      </c>
      <c r="M178" s="123"/>
      <c r="N178" s="123"/>
      <c r="O178" s="123"/>
      <c r="W178" s="122"/>
      <c r="AA178" s="122"/>
    </row>
    <row r="179" spans="1:27" s="118" customFormat="1" ht="20.100000000000001" customHeight="1" x14ac:dyDescent="0.25">
      <c r="C179" s="118" t="s">
        <v>99</v>
      </c>
      <c r="E179" s="118" t="s">
        <v>553</v>
      </c>
      <c r="H179" s="120"/>
      <c r="M179" s="121"/>
      <c r="N179" s="121"/>
      <c r="O179" s="121"/>
      <c r="Q179" s="120"/>
      <c r="R179" s="120"/>
      <c r="S179" s="120"/>
      <c r="T179" s="120"/>
      <c r="U179" s="120"/>
      <c r="V179" s="120"/>
    </row>
    <row r="180" spans="1:27" s="119" customFormat="1" ht="20.100000000000001" customHeight="1" x14ac:dyDescent="0.25">
      <c r="A180" s="122"/>
      <c r="B180" s="122"/>
      <c r="C180" s="119">
        <v>0.189</v>
      </c>
      <c r="E180" s="119">
        <f>1/25.4*6.8</f>
        <v>0.26771653543307083</v>
      </c>
      <c r="M180" s="123"/>
      <c r="N180" s="123"/>
      <c r="O180" s="123"/>
      <c r="W180" s="122"/>
      <c r="AA180" s="122"/>
    </row>
    <row r="181" spans="1:27" s="118" customFormat="1" ht="20.100000000000001" customHeight="1" x14ac:dyDescent="0.25">
      <c r="B181" s="118" t="s">
        <v>287</v>
      </c>
      <c r="C181" s="118" t="s">
        <v>100</v>
      </c>
      <c r="E181" s="118" t="s">
        <v>554</v>
      </c>
      <c r="H181" s="120"/>
      <c r="M181" s="121"/>
      <c r="N181" s="121"/>
      <c r="O181" s="121"/>
      <c r="Q181" s="120"/>
      <c r="R181" s="120"/>
      <c r="S181" s="120"/>
      <c r="T181" s="120"/>
      <c r="U181" s="120"/>
      <c r="V181" s="120"/>
    </row>
    <row r="182" spans="1:27" s="119" customFormat="1" ht="20.100000000000001" customHeight="1" x14ac:dyDescent="0.25">
      <c r="A182" s="122"/>
      <c r="B182" s="122">
        <v>1.1875</v>
      </c>
      <c r="C182" s="119">
        <v>0.191</v>
      </c>
      <c r="E182" s="119">
        <f>1/25.4*6.9</f>
        <v>0.27165354330708663</v>
      </c>
      <c r="M182" s="123"/>
      <c r="N182" s="123"/>
      <c r="O182" s="123"/>
      <c r="W182" s="122"/>
      <c r="AA182" s="122"/>
    </row>
    <row r="183" spans="1:27" s="118" customFormat="1" ht="20.100000000000001" customHeight="1" x14ac:dyDescent="0.25">
      <c r="C183" s="118" t="s">
        <v>101</v>
      </c>
      <c r="E183" s="118" t="s">
        <v>555</v>
      </c>
      <c r="H183" s="120"/>
      <c r="M183" s="121"/>
      <c r="N183" s="121"/>
      <c r="O183" s="121"/>
      <c r="Q183" s="120"/>
      <c r="R183" s="120"/>
      <c r="S183" s="120"/>
      <c r="T183" s="120"/>
      <c r="U183" s="120"/>
      <c r="V183" s="120"/>
    </row>
    <row r="184" spans="1:27" s="119" customFormat="1" ht="20.100000000000001" customHeight="1" x14ac:dyDescent="0.25">
      <c r="A184" s="122"/>
      <c r="B184" s="122"/>
      <c r="C184" s="119">
        <v>0.19350000000000001</v>
      </c>
      <c r="E184" s="119">
        <f>1/25.4*7</f>
        <v>0.27559055118110237</v>
      </c>
      <c r="M184" s="123"/>
      <c r="N184" s="123"/>
      <c r="O184" s="123"/>
      <c r="W184" s="122"/>
      <c r="AA184" s="122"/>
    </row>
    <row r="185" spans="1:27" s="118" customFormat="1" ht="20.100000000000001" customHeight="1" x14ac:dyDescent="0.25">
      <c r="B185" s="118" t="s">
        <v>223</v>
      </c>
      <c r="C185" s="118" t="s">
        <v>102</v>
      </c>
      <c r="E185" s="118" t="s">
        <v>556</v>
      </c>
      <c r="H185" s="120"/>
      <c r="M185" s="121"/>
      <c r="N185" s="121"/>
      <c r="O185" s="121"/>
      <c r="Q185" s="120"/>
      <c r="R185" s="120"/>
      <c r="S185" s="120"/>
      <c r="T185" s="120"/>
      <c r="U185" s="120"/>
      <c r="V185" s="120"/>
    </row>
    <row r="186" spans="1:27" s="119" customFormat="1" ht="20.100000000000001" customHeight="1" x14ac:dyDescent="0.25">
      <c r="A186" s="122"/>
      <c r="B186" s="122">
        <v>1.25</v>
      </c>
      <c r="C186" s="119">
        <v>0.19600000000000001</v>
      </c>
      <c r="E186" s="119">
        <f>1/25.4*7.1</f>
        <v>0.27952755905511811</v>
      </c>
      <c r="M186" s="123"/>
      <c r="N186" s="123"/>
      <c r="O186" s="123"/>
      <c r="W186" s="122"/>
      <c r="AA186" s="122"/>
    </row>
    <row r="187" spans="1:27" s="118" customFormat="1" ht="20.100000000000001" customHeight="1" x14ac:dyDescent="0.25">
      <c r="C187" s="118" t="s">
        <v>103</v>
      </c>
      <c r="E187" s="118" t="s">
        <v>557</v>
      </c>
      <c r="H187" s="120"/>
      <c r="M187" s="121"/>
      <c r="N187" s="121"/>
      <c r="O187" s="121"/>
      <c r="Q187" s="120"/>
      <c r="R187" s="120"/>
      <c r="S187" s="120"/>
      <c r="T187" s="120"/>
      <c r="U187" s="120"/>
      <c r="V187" s="120"/>
    </row>
    <row r="188" spans="1:27" s="119" customFormat="1" ht="20.100000000000001" customHeight="1" x14ac:dyDescent="0.25">
      <c r="A188" s="122"/>
      <c r="B188" s="122"/>
      <c r="C188" s="119">
        <v>0.19900000000000001</v>
      </c>
      <c r="E188" s="119">
        <f>1/25.4*7.2</f>
        <v>0.28346456692913385</v>
      </c>
      <c r="M188" s="123"/>
      <c r="N188" s="123"/>
      <c r="O188" s="123"/>
      <c r="W188" s="122"/>
      <c r="AA188" s="122"/>
    </row>
    <row r="189" spans="1:27" s="118" customFormat="1" ht="20.100000000000001" customHeight="1" x14ac:dyDescent="0.25">
      <c r="B189" s="118" t="s">
        <v>288</v>
      </c>
      <c r="C189" s="118" t="s">
        <v>104</v>
      </c>
      <c r="E189" s="118" t="s">
        <v>558</v>
      </c>
      <c r="H189" s="120"/>
      <c r="M189" s="121"/>
      <c r="N189" s="121"/>
      <c r="O189" s="121"/>
      <c r="Q189" s="120"/>
      <c r="R189" s="120"/>
      <c r="S189" s="120"/>
      <c r="T189" s="120"/>
      <c r="U189" s="120"/>
      <c r="V189" s="120"/>
    </row>
    <row r="190" spans="1:27" s="119" customFormat="1" ht="20.100000000000001" customHeight="1" x14ac:dyDescent="0.25">
      <c r="A190" s="122"/>
      <c r="B190" s="122">
        <v>1.3125</v>
      </c>
      <c r="C190" s="119">
        <v>0.20100000000000001</v>
      </c>
      <c r="E190" s="119">
        <f>1/25.4*7.3</f>
        <v>0.2874015748031496</v>
      </c>
      <c r="M190" s="123"/>
      <c r="N190" s="123"/>
      <c r="O190" s="123"/>
      <c r="W190" s="122"/>
      <c r="AA190" s="122"/>
    </row>
    <row r="191" spans="1:27" s="118" customFormat="1" ht="20.100000000000001" customHeight="1" x14ac:dyDescent="0.25">
      <c r="C191" s="118" t="s">
        <v>105</v>
      </c>
      <c r="E191" s="118" t="s">
        <v>559</v>
      </c>
      <c r="H191" s="120"/>
      <c r="M191" s="121"/>
      <c r="N191" s="121"/>
      <c r="O191" s="121"/>
      <c r="Q191" s="120"/>
      <c r="R191" s="120"/>
      <c r="S191" s="120"/>
      <c r="T191" s="120"/>
      <c r="U191" s="120"/>
      <c r="V191" s="120"/>
    </row>
    <row r="192" spans="1:27" s="119" customFormat="1" ht="20.100000000000001" customHeight="1" x14ac:dyDescent="0.25">
      <c r="A192" s="122"/>
      <c r="B192" s="122"/>
      <c r="C192" s="119">
        <v>0.20399999999999999</v>
      </c>
      <c r="E192" s="119">
        <f>1/25.4*7.4</f>
        <v>0.29133858267716539</v>
      </c>
      <c r="M192" s="123"/>
      <c r="N192" s="123"/>
      <c r="O192" s="123"/>
      <c r="W192" s="122"/>
      <c r="AA192" s="122"/>
    </row>
    <row r="193" spans="1:27" s="118" customFormat="1" ht="20.100000000000001" customHeight="1" x14ac:dyDescent="0.25">
      <c r="B193" s="118" t="s">
        <v>289</v>
      </c>
      <c r="C193" s="118" t="s">
        <v>106</v>
      </c>
      <c r="E193" s="118" t="s">
        <v>560</v>
      </c>
      <c r="H193" s="120"/>
      <c r="M193" s="121"/>
      <c r="N193" s="121"/>
      <c r="O193" s="121"/>
      <c r="Q193" s="120"/>
      <c r="R193" s="120"/>
      <c r="S193" s="120"/>
      <c r="T193" s="120"/>
      <c r="U193" s="120"/>
      <c r="V193" s="120"/>
    </row>
    <row r="194" spans="1:27" s="119" customFormat="1" ht="20.100000000000001" customHeight="1" x14ac:dyDescent="0.25">
      <c r="A194" s="122"/>
      <c r="B194" s="122">
        <v>1.375</v>
      </c>
      <c r="C194" s="119">
        <v>0.20549999999999999</v>
      </c>
      <c r="E194" s="119">
        <f>1/25.4*7.5</f>
        <v>0.29527559055118108</v>
      </c>
      <c r="M194" s="123"/>
      <c r="N194" s="123"/>
      <c r="O194" s="123"/>
      <c r="W194" s="122"/>
      <c r="AA194" s="122"/>
    </row>
    <row r="195" spans="1:27" s="118" customFormat="1" ht="20.100000000000001" customHeight="1" x14ac:dyDescent="0.25">
      <c r="C195" s="118" t="s">
        <v>107</v>
      </c>
      <c r="E195" s="118" t="s">
        <v>561</v>
      </c>
      <c r="H195" s="120"/>
      <c r="M195" s="121"/>
      <c r="N195" s="121"/>
      <c r="O195" s="121"/>
      <c r="Q195" s="120"/>
      <c r="R195" s="120"/>
      <c r="S195" s="120"/>
      <c r="T195" s="120"/>
      <c r="U195" s="120"/>
      <c r="V195" s="120"/>
    </row>
    <row r="196" spans="1:27" s="119" customFormat="1" ht="20.100000000000001" customHeight="1" x14ac:dyDescent="0.25">
      <c r="A196" s="122"/>
      <c r="B196" s="122"/>
      <c r="C196" s="119">
        <v>0.20899999999999999</v>
      </c>
      <c r="E196" s="119">
        <f>1/25.4*7.6</f>
        <v>0.29921259842519682</v>
      </c>
      <c r="M196" s="123"/>
      <c r="N196" s="123"/>
      <c r="O196" s="123"/>
      <c r="W196" s="122"/>
      <c r="AA196" s="122"/>
    </row>
    <row r="197" spans="1:27" s="118" customFormat="1" ht="20.100000000000001" customHeight="1" x14ac:dyDescent="0.25">
      <c r="B197" s="118" t="s">
        <v>290</v>
      </c>
      <c r="C197" s="118" t="s">
        <v>108</v>
      </c>
      <c r="E197" s="118" t="s">
        <v>562</v>
      </c>
      <c r="H197" s="120"/>
      <c r="M197" s="121"/>
      <c r="N197" s="121"/>
      <c r="O197" s="121"/>
      <c r="Q197" s="120"/>
      <c r="R197" s="120"/>
      <c r="S197" s="120"/>
      <c r="T197" s="120"/>
      <c r="U197" s="120"/>
      <c r="V197" s="120"/>
    </row>
    <row r="198" spans="1:27" s="119" customFormat="1" ht="20.100000000000001" customHeight="1" x14ac:dyDescent="0.25">
      <c r="A198" s="122"/>
      <c r="B198" s="122">
        <v>1.4375</v>
      </c>
      <c r="C198" s="119">
        <v>0.21299999999999999</v>
      </c>
      <c r="E198" s="119">
        <f>1/25.4*7.7</f>
        <v>0.30314960629921262</v>
      </c>
      <c r="M198" s="123"/>
      <c r="N198" s="123"/>
      <c r="O198" s="123"/>
      <c r="W198" s="122"/>
      <c r="AA198" s="122"/>
    </row>
    <row r="199" spans="1:27" s="118" customFormat="1" ht="20.100000000000001" customHeight="1" x14ac:dyDescent="0.25">
      <c r="C199" s="118" t="s">
        <v>109</v>
      </c>
      <c r="E199" s="118" t="s">
        <v>563</v>
      </c>
      <c r="H199" s="120"/>
      <c r="M199" s="121"/>
      <c r="N199" s="121"/>
      <c r="O199" s="121"/>
      <c r="Q199" s="120"/>
      <c r="R199" s="120"/>
      <c r="S199" s="120"/>
      <c r="T199" s="120"/>
      <c r="U199" s="120"/>
      <c r="V199" s="120"/>
    </row>
    <row r="200" spans="1:27" s="119" customFormat="1" ht="20.100000000000001" customHeight="1" x14ac:dyDescent="0.25">
      <c r="A200" s="122"/>
      <c r="B200" s="122"/>
      <c r="C200" s="119">
        <v>0.221</v>
      </c>
      <c r="E200" s="119">
        <f>1/25.4*7.8</f>
        <v>0.30708661417322836</v>
      </c>
      <c r="M200" s="123"/>
      <c r="N200" s="123"/>
      <c r="O200" s="123"/>
      <c r="W200" s="122"/>
      <c r="AA200" s="122"/>
    </row>
    <row r="201" spans="1:27" s="118" customFormat="1" ht="20.100000000000001" customHeight="1" x14ac:dyDescent="0.25">
      <c r="B201" s="118" t="s">
        <v>224</v>
      </c>
      <c r="C201" s="118" t="s">
        <v>110</v>
      </c>
      <c r="E201" s="118" t="s">
        <v>564</v>
      </c>
      <c r="H201" s="120"/>
      <c r="M201" s="121"/>
      <c r="N201" s="121"/>
      <c r="O201" s="121"/>
      <c r="Q201" s="120"/>
      <c r="R201" s="120"/>
      <c r="S201" s="120"/>
      <c r="T201" s="120"/>
      <c r="U201" s="120"/>
      <c r="V201" s="120"/>
    </row>
    <row r="202" spans="1:27" s="119" customFormat="1" ht="20.100000000000001" customHeight="1" x14ac:dyDescent="0.25">
      <c r="A202" s="122"/>
      <c r="B202" s="122">
        <v>1.5</v>
      </c>
      <c r="C202" s="119">
        <v>0.22800000000000001</v>
      </c>
      <c r="E202" s="119">
        <f>1/25.4*7.9</f>
        <v>0.3110236220472441</v>
      </c>
      <c r="M202" s="123"/>
      <c r="N202" s="123"/>
      <c r="O202" s="123"/>
      <c r="W202" s="122"/>
      <c r="AA202" s="122"/>
    </row>
    <row r="203" spans="1:27" s="118" customFormat="1" ht="20.100000000000001" customHeight="1" x14ac:dyDescent="0.25">
      <c r="B203" s="118" t="s">
        <v>291</v>
      </c>
      <c r="E203" s="118" t="s">
        <v>565</v>
      </c>
      <c r="H203" s="120"/>
      <c r="M203" s="121"/>
      <c r="N203" s="121"/>
      <c r="O203" s="121"/>
      <c r="Q203" s="120"/>
      <c r="R203" s="120"/>
      <c r="S203" s="120"/>
      <c r="T203" s="120"/>
      <c r="U203" s="120"/>
      <c r="V203" s="120"/>
    </row>
    <row r="204" spans="1:27" s="119" customFormat="1" ht="20.100000000000001" customHeight="1" x14ac:dyDescent="0.25">
      <c r="A204" s="122"/>
      <c r="B204" s="122">
        <v>1.5625</v>
      </c>
      <c r="E204" s="119">
        <f>1/25.4*8</f>
        <v>0.31496062992125984</v>
      </c>
      <c r="M204" s="123"/>
      <c r="N204" s="123"/>
      <c r="O204" s="123"/>
      <c r="W204" s="122"/>
      <c r="AA204" s="122"/>
    </row>
    <row r="205" spans="1:27" s="118" customFormat="1" ht="20.100000000000001" customHeight="1" x14ac:dyDescent="0.25">
      <c r="B205" s="118" t="s">
        <v>292</v>
      </c>
      <c r="E205" s="118" t="s">
        <v>566</v>
      </c>
      <c r="H205" s="120"/>
      <c r="M205" s="121"/>
      <c r="N205" s="121"/>
      <c r="O205" s="121"/>
      <c r="Q205" s="120"/>
      <c r="R205" s="120"/>
      <c r="S205" s="120"/>
      <c r="T205" s="120"/>
      <c r="U205" s="120"/>
      <c r="V205" s="120"/>
    </row>
    <row r="206" spans="1:27" s="119" customFormat="1" ht="20.100000000000001" customHeight="1" x14ac:dyDescent="0.25">
      <c r="A206" s="122"/>
      <c r="B206" s="122">
        <v>1.625</v>
      </c>
      <c r="E206" s="119">
        <f>1/25.4*8.1</f>
        <v>0.31889763779527558</v>
      </c>
      <c r="M206" s="123"/>
      <c r="N206" s="123"/>
      <c r="O206" s="123"/>
      <c r="W206" s="122"/>
      <c r="AA206" s="122"/>
    </row>
    <row r="207" spans="1:27" s="118" customFormat="1" ht="20.100000000000001" customHeight="1" x14ac:dyDescent="0.25">
      <c r="B207" s="118" t="s">
        <v>293</v>
      </c>
      <c r="E207" s="118" t="s">
        <v>567</v>
      </c>
      <c r="H207" s="120"/>
      <c r="M207" s="121"/>
      <c r="N207" s="121"/>
      <c r="O207" s="121"/>
      <c r="Q207" s="120"/>
      <c r="R207" s="120"/>
      <c r="S207" s="120"/>
      <c r="T207" s="120"/>
      <c r="U207" s="120"/>
      <c r="V207" s="120"/>
    </row>
    <row r="208" spans="1:27" s="119" customFormat="1" ht="20.100000000000001" customHeight="1" x14ac:dyDescent="0.25">
      <c r="A208" s="122"/>
      <c r="B208" s="122">
        <v>1.6875</v>
      </c>
      <c r="E208" s="119">
        <f>1/25.4*8.2</f>
        <v>0.32283464566929132</v>
      </c>
      <c r="M208" s="123"/>
      <c r="N208" s="123"/>
      <c r="O208" s="123"/>
      <c r="W208" s="122"/>
      <c r="AA208" s="122"/>
    </row>
    <row r="209" spans="1:27" s="118" customFormat="1" ht="20.100000000000001" customHeight="1" x14ac:dyDescent="0.25">
      <c r="B209" s="118" t="s">
        <v>294</v>
      </c>
      <c r="E209" s="118" t="s">
        <v>568</v>
      </c>
      <c r="H209" s="120"/>
      <c r="M209" s="121"/>
      <c r="N209" s="121"/>
      <c r="O209" s="121"/>
      <c r="Q209" s="120"/>
      <c r="R209" s="120"/>
      <c r="S209" s="120"/>
      <c r="T209" s="120"/>
      <c r="U209" s="120"/>
      <c r="V209" s="120"/>
    </row>
    <row r="210" spans="1:27" s="119" customFormat="1" ht="20.100000000000001" customHeight="1" x14ac:dyDescent="0.25">
      <c r="A210" s="122"/>
      <c r="B210" s="122">
        <v>1.75</v>
      </c>
      <c r="E210" s="119">
        <f>1/25.4*8.3</f>
        <v>0.32677165354330712</v>
      </c>
      <c r="M210" s="123"/>
      <c r="N210" s="123"/>
      <c r="O210" s="123"/>
      <c r="W210" s="122"/>
      <c r="AA210" s="122"/>
    </row>
    <row r="211" spans="1:27" s="118" customFormat="1" ht="20.100000000000001" customHeight="1" x14ac:dyDescent="0.25">
      <c r="B211" s="118" t="s">
        <v>295</v>
      </c>
      <c r="E211" s="118" t="s">
        <v>569</v>
      </c>
      <c r="H211" s="120"/>
      <c r="M211" s="121"/>
      <c r="N211" s="121"/>
      <c r="O211" s="121"/>
      <c r="Q211" s="120"/>
      <c r="R211" s="120"/>
      <c r="S211" s="120"/>
      <c r="T211" s="120"/>
      <c r="U211" s="120"/>
      <c r="V211" s="120"/>
    </row>
    <row r="212" spans="1:27" s="119" customFormat="1" ht="20.100000000000001" customHeight="1" x14ac:dyDescent="0.25">
      <c r="A212" s="122"/>
      <c r="B212" s="122">
        <v>1.8125</v>
      </c>
      <c r="E212" s="119">
        <f>1/25.4*8.4</f>
        <v>0.33070866141732286</v>
      </c>
      <c r="M212" s="123"/>
      <c r="N212" s="123"/>
      <c r="O212" s="123"/>
      <c r="W212" s="122"/>
      <c r="AA212" s="122"/>
    </row>
    <row r="213" spans="1:27" s="118" customFormat="1" ht="20.100000000000001" customHeight="1" x14ac:dyDescent="0.25">
      <c r="B213" s="118" t="s">
        <v>296</v>
      </c>
      <c r="E213" s="118" t="s">
        <v>570</v>
      </c>
      <c r="H213" s="120"/>
      <c r="M213" s="121"/>
      <c r="N213" s="121"/>
      <c r="O213" s="121"/>
      <c r="Q213" s="120"/>
      <c r="R213" s="120"/>
      <c r="S213" s="120"/>
      <c r="T213" s="120"/>
      <c r="U213" s="120"/>
      <c r="V213" s="120"/>
    </row>
    <row r="214" spans="1:27" s="119" customFormat="1" ht="20.100000000000001" customHeight="1" x14ac:dyDescent="0.25">
      <c r="A214" s="122"/>
      <c r="B214" s="122">
        <v>1.875</v>
      </c>
      <c r="E214" s="119">
        <f>1/25.4*8.5</f>
        <v>0.3346456692913386</v>
      </c>
      <c r="M214" s="123"/>
      <c r="N214" s="123"/>
      <c r="O214" s="123"/>
      <c r="W214" s="122"/>
      <c r="AA214" s="122"/>
    </row>
    <row r="215" spans="1:27" s="118" customFormat="1" ht="20.100000000000001" customHeight="1" x14ac:dyDescent="0.25">
      <c r="B215" s="118" t="s">
        <v>297</v>
      </c>
      <c r="E215" s="118" t="s">
        <v>571</v>
      </c>
      <c r="H215" s="120"/>
      <c r="M215" s="121"/>
      <c r="N215" s="121"/>
      <c r="O215" s="121"/>
      <c r="Q215" s="120"/>
      <c r="R215" s="120"/>
      <c r="S215" s="120"/>
      <c r="T215" s="120"/>
      <c r="U215" s="120"/>
      <c r="V215" s="120"/>
    </row>
    <row r="216" spans="1:27" s="119" customFormat="1" ht="20.100000000000001" customHeight="1" x14ac:dyDescent="0.25">
      <c r="A216" s="122"/>
      <c r="B216" s="122">
        <v>1.9375</v>
      </c>
      <c r="E216" s="119">
        <f>1/25.4*8.6</f>
        <v>0.33858267716535428</v>
      </c>
      <c r="M216" s="123"/>
      <c r="N216" s="123"/>
      <c r="O216" s="123"/>
      <c r="W216" s="122"/>
      <c r="AA216" s="122"/>
    </row>
    <row r="217" spans="1:27" s="118" customFormat="1" ht="20.100000000000001" customHeight="1" x14ac:dyDescent="0.25">
      <c r="B217" s="118" t="s">
        <v>298</v>
      </c>
      <c r="E217" s="118" t="s">
        <v>572</v>
      </c>
      <c r="H217" s="120"/>
      <c r="M217" s="121"/>
      <c r="N217" s="121"/>
      <c r="O217" s="121"/>
      <c r="Q217" s="120"/>
      <c r="R217" s="120"/>
      <c r="S217" s="120"/>
      <c r="T217" s="120"/>
      <c r="U217" s="120"/>
      <c r="V217" s="120"/>
    </row>
    <row r="218" spans="1:27" s="119" customFormat="1" ht="20.100000000000001" customHeight="1" x14ac:dyDescent="0.25">
      <c r="A218" s="122"/>
      <c r="B218" s="122">
        <v>2</v>
      </c>
      <c r="E218" s="119">
        <f>1/25.4*8.7</f>
        <v>0.34251968503937003</v>
      </c>
      <c r="M218" s="123"/>
      <c r="N218" s="123"/>
      <c r="O218" s="123"/>
      <c r="W218" s="122"/>
      <c r="AA218" s="122"/>
    </row>
    <row r="219" spans="1:27" s="118" customFormat="1" ht="20.100000000000001" customHeight="1" x14ac:dyDescent="0.25">
      <c r="E219" s="118" t="s">
        <v>573</v>
      </c>
      <c r="H219" s="120"/>
      <c r="M219" s="121"/>
      <c r="N219" s="121"/>
      <c r="O219" s="121"/>
      <c r="Q219" s="120"/>
      <c r="R219" s="120"/>
      <c r="S219" s="120"/>
      <c r="T219" s="120"/>
      <c r="U219" s="120"/>
      <c r="V219" s="120"/>
    </row>
    <row r="220" spans="1:27" s="119" customFormat="1" ht="20.100000000000001" customHeight="1" x14ac:dyDescent="0.25">
      <c r="A220" s="122"/>
      <c r="B220" s="122"/>
      <c r="E220" s="119">
        <f>1/25.4*8.8</f>
        <v>0.34645669291338588</v>
      </c>
      <c r="M220" s="123"/>
      <c r="N220" s="123"/>
      <c r="O220" s="123"/>
      <c r="W220" s="122"/>
      <c r="AA220" s="122"/>
    </row>
    <row r="221" spans="1:27" s="118" customFormat="1" ht="20.100000000000001" customHeight="1" x14ac:dyDescent="0.25">
      <c r="E221" s="118" t="s">
        <v>574</v>
      </c>
      <c r="H221" s="120"/>
      <c r="M221" s="121"/>
      <c r="N221" s="121"/>
      <c r="O221" s="121"/>
      <c r="Q221" s="120"/>
      <c r="R221" s="120"/>
      <c r="S221" s="120"/>
      <c r="T221" s="120"/>
      <c r="U221" s="120"/>
      <c r="V221" s="120"/>
    </row>
    <row r="222" spans="1:27" s="119" customFormat="1" ht="20.100000000000001" customHeight="1" x14ac:dyDescent="0.25">
      <c r="A222" s="122"/>
      <c r="B222" s="122"/>
      <c r="E222" s="119">
        <f>1/25.4*8.9</f>
        <v>0.35039370078740156</v>
      </c>
      <c r="M222" s="123"/>
      <c r="N222" s="123"/>
      <c r="O222" s="123"/>
      <c r="W222" s="122"/>
      <c r="AA222" s="122"/>
    </row>
    <row r="223" spans="1:27" s="118" customFormat="1" ht="20.100000000000001" customHeight="1" x14ac:dyDescent="0.25">
      <c r="E223" s="118" t="s">
        <v>575</v>
      </c>
      <c r="H223" s="120"/>
      <c r="M223" s="121"/>
      <c r="N223" s="121"/>
      <c r="O223" s="121"/>
      <c r="Q223" s="120"/>
      <c r="R223" s="120"/>
      <c r="S223" s="120"/>
      <c r="T223" s="120"/>
      <c r="U223" s="120"/>
      <c r="V223" s="120"/>
    </row>
    <row r="224" spans="1:27" s="119" customFormat="1" ht="20.100000000000001" customHeight="1" x14ac:dyDescent="0.25">
      <c r="A224" s="122"/>
      <c r="B224" s="122"/>
      <c r="E224" s="119">
        <f>1/25.4*9</f>
        <v>0.3543307086614173</v>
      </c>
      <c r="M224" s="123"/>
      <c r="N224" s="123"/>
      <c r="O224" s="123"/>
      <c r="W224" s="122"/>
      <c r="AA224" s="122"/>
    </row>
    <row r="225" spans="1:27" s="118" customFormat="1" ht="20.100000000000001" customHeight="1" x14ac:dyDescent="0.25">
      <c r="E225" s="118" t="s">
        <v>576</v>
      </c>
      <c r="H225" s="120"/>
      <c r="M225" s="121"/>
      <c r="N225" s="121"/>
      <c r="O225" s="121"/>
      <c r="Q225" s="120"/>
      <c r="R225" s="120"/>
      <c r="S225" s="120"/>
      <c r="T225" s="120"/>
      <c r="U225" s="120"/>
      <c r="V225" s="120"/>
    </row>
    <row r="226" spans="1:27" s="119" customFormat="1" ht="20.100000000000001" customHeight="1" x14ac:dyDescent="0.25">
      <c r="A226" s="122"/>
      <c r="B226" s="122"/>
      <c r="E226" s="119">
        <f>1/25.4*9.1</f>
        <v>0.35826771653543305</v>
      </c>
      <c r="M226" s="123"/>
      <c r="N226" s="123"/>
      <c r="O226" s="123"/>
      <c r="W226" s="122"/>
      <c r="AA226" s="122"/>
    </row>
    <row r="227" spans="1:27" s="118" customFormat="1" ht="20.100000000000001" customHeight="1" x14ac:dyDescent="0.25">
      <c r="E227" s="118" t="s">
        <v>577</v>
      </c>
      <c r="H227" s="120"/>
      <c r="M227" s="121"/>
      <c r="N227" s="121"/>
      <c r="O227" s="121"/>
      <c r="Q227" s="120"/>
      <c r="R227" s="120"/>
      <c r="S227" s="120"/>
      <c r="T227" s="120"/>
      <c r="U227" s="120"/>
      <c r="V227" s="120"/>
    </row>
    <row r="228" spans="1:27" s="119" customFormat="1" ht="20.100000000000001" customHeight="1" x14ac:dyDescent="0.25">
      <c r="A228" s="122"/>
      <c r="B228" s="122"/>
      <c r="E228" s="119">
        <f>1/25.4*9.2</f>
        <v>0.36220472440944879</v>
      </c>
      <c r="M228" s="123"/>
      <c r="N228" s="123"/>
      <c r="O228" s="123"/>
      <c r="W228" s="122"/>
      <c r="AA228" s="122"/>
    </row>
    <row r="229" spans="1:27" s="118" customFormat="1" ht="20.100000000000001" customHeight="1" x14ac:dyDescent="0.25">
      <c r="E229" s="118" t="s">
        <v>578</v>
      </c>
      <c r="H229" s="120"/>
      <c r="M229" s="121"/>
      <c r="N229" s="121"/>
      <c r="O229" s="121"/>
      <c r="Q229" s="120"/>
      <c r="R229" s="120"/>
      <c r="S229" s="120"/>
      <c r="T229" s="120"/>
      <c r="U229" s="120"/>
      <c r="V229" s="120"/>
    </row>
    <row r="230" spans="1:27" s="119" customFormat="1" ht="20.100000000000001" customHeight="1" x14ac:dyDescent="0.25">
      <c r="A230" s="122"/>
      <c r="B230" s="122"/>
      <c r="E230" s="119">
        <f>1/25.4*9.3</f>
        <v>0.36614173228346458</v>
      </c>
      <c r="M230" s="123"/>
      <c r="N230" s="123"/>
      <c r="O230" s="123"/>
      <c r="W230" s="122"/>
      <c r="AA230" s="122"/>
    </row>
    <row r="231" spans="1:27" s="118" customFormat="1" ht="20.100000000000001" customHeight="1" x14ac:dyDescent="0.25">
      <c r="E231" s="118" t="s">
        <v>579</v>
      </c>
      <c r="H231" s="120"/>
      <c r="M231" s="121"/>
      <c r="N231" s="121"/>
      <c r="O231" s="121"/>
      <c r="Q231" s="120"/>
      <c r="R231" s="120"/>
      <c r="S231" s="120"/>
      <c r="T231" s="120"/>
      <c r="U231" s="120"/>
      <c r="V231" s="120"/>
    </row>
    <row r="232" spans="1:27" s="119" customFormat="1" ht="20.100000000000001" customHeight="1" x14ac:dyDescent="0.25">
      <c r="A232" s="122"/>
      <c r="B232" s="122"/>
      <c r="E232" s="119">
        <f>1/25.4*9.4</f>
        <v>0.37007874015748032</v>
      </c>
      <c r="M232" s="123"/>
      <c r="N232" s="123"/>
      <c r="O232" s="123"/>
      <c r="W232" s="122"/>
      <c r="AA232" s="122"/>
    </row>
    <row r="233" spans="1:27" s="118" customFormat="1" ht="20.100000000000001" customHeight="1" x14ac:dyDescent="0.25">
      <c r="E233" s="118" t="s">
        <v>640</v>
      </c>
      <c r="H233" s="120"/>
      <c r="M233" s="121"/>
      <c r="N233" s="121"/>
      <c r="O233" s="121"/>
      <c r="Q233" s="120"/>
      <c r="R233" s="120"/>
      <c r="S233" s="120"/>
      <c r="T233" s="120"/>
      <c r="U233" s="120"/>
      <c r="V233" s="120"/>
    </row>
    <row r="234" spans="1:27" s="119" customFormat="1" ht="20.100000000000001" customHeight="1" x14ac:dyDescent="0.25">
      <c r="A234" s="122"/>
      <c r="B234" s="122"/>
      <c r="E234" s="119">
        <f>1/25.4*9.5</f>
        <v>0.37401574803149606</v>
      </c>
      <c r="M234" s="123"/>
      <c r="N234" s="123"/>
      <c r="O234" s="123"/>
      <c r="W234" s="122"/>
      <c r="AA234" s="122"/>
    </row>
    <row r="235" spans="1:27" s="118" customFormat="1" ht="20.100000000000001" customHeight="1" x14ac:dyDescent="0.25">
      <c r="E235" s="118" t="s">
        <v>580</v>
      </c>
      <c r="H235" s="120"/>
      <c r="M235" s="121"/>
      <c r="N235" s="121"/>
      <c r="O235" s="121"/>
      <c r="Q235" s="120"/>
      <c r="R235" s="120"/>
      <c r="S235" s="120"/>
      <c r="T235" s="120"/>
      <c r="U235" s="120"/>
      <c r="V235" s="120"/>
    </row>
    <row r="236" spans="1:27" s="119" customFormat="1" ht="20.100000000000001" customHeight="1" x14ac:dyDescent="0.25">
      <c r="A236" s="122"/>
      <c r="B236" s="122"/>
      <c r="E236" s="119">
        <f>1/25.4*9.6</f>
        <v>0.37795275590551181</v>
      </c>
      <c r="M236" s="123"/>
      <c r="N236" s="123"/>
      <c r="O236" s="123"/>
      <c r="W236" s="122"/>
      <c r="AA236" s="122"/>
    </row>
    <row r="237" spans="1:27" s="118" customFormat="1" ht="20.100000000000001" customHeight="1" x14ac:dyDescent="0.25">
      <c r="E237" s="118" t="s">
        <v>581</v>
      </c>
      <c r="H237" s="120"/>
      <c r="M237" s="121"/>
      <c r="N237" s="121"/>
      <c r="O237" s="121"/>
      <c r="Q237" s="120"/>
      <c r="R237" s="120"/>
      <c r="S237" s="120"/>
      <c r="T237" s="120"/>
      <c r="U237" s="120"/>
      <c r="V237" s="120"/>
    </row>
    <row r="238" spans="1:27" s="119" customFormat="1" ht="20.100000000000001" customHeight="1" x14ac:dyDescent="0.25">
      <c r="A238" s="122"/>
      <c r="B238" s="122"/>
      <c r="E238" s="119">
        <f>1/25.4*9.7</f>
        <v>0.38188976377952755</v>
      </c>
      <c r="M238" s="123"/>
      <c r="N238" s="123"/>
      <c r="O238" s="123"/>
      <c r="W238" s="122"/>
      <c r="AA238" s="122"/>
    </row>
    <row r="239" spans="1:27" s="118" customFormat="1" ht="20.100000000000001" customHeight="1" x14ac:dyDescent="0.25">
      <c r="E239" s="118" t="s">
        <v>582</v>
      </c>
      <c r="H239" s="120"/>
      <c r="M239" s="121"/>
      <c r="N239" s="121"/>
      <c r="O239" s="121"/>
      <c r="Q239" s="120"/>
      <c r="R239" s="120"/>
      <c r="S239" s="120"/>
      <c r="T239" s="120"/>
      <c r="U239" s="120"/>
      <c r="V239" s="120"/>
    </row>
    <row r="240" spans="1:27" s="119" customFormat="1" ht="20.100000000000001" customHeight="1" x14ac:dyDescent="0.25">
      <c r="A240" s="122"/>
      <c r="B240" s="122"/>
      <c r="E240" s="119">
        <f>1/25.4*9.8</f>
        <v>0.38582677165354334</v>
      </c>
      <c r="M240" s="123"/>
      <c r="N240" s="123"/>
      <c r="O240" s="123"/>
      <c r="W240" s="122"/>
      <c r="AA240" s="122"/>
    </row>
    <row r="241" spans="1:27" s="118" customFormat="1" ht="20.100000000000001" customHeight="1" x14ac:dyDescent="0.25">
      <c r="E241" s="118" t="s">
        <v>583</v>
      </c>
      <c r="H241" s="120"/>
      <c r="M241" s="121"/>
      <c r="N241" s="121"/>
      <c r="O241" s="121"/>
      <c r="Q241" s="120"/>
      <c r="R241" s="120"/>
      <c r="S241" s="120"/>
      <c r="T241" s="120"/>
      <c r="U241" s="120"/>
      <c r="V241" s="120"/>
    </row>
    <row r="242" spans="1:27" s="119" customFormat="1" ht="20.100000000000001" customHeight="1" x14ac:dyDescent="0.25">
      <c r="A242" s="122"/>
      <c r="B242" s="122"/>
      <c r="E242" s="119">
        <f>1/25.4*9.9</f>
        <v>0.38976377952755908</v>
      </c>
      <c r="M242" s="123"/>
      <c r="N242" s="123"/>
      <c r="O242" s="123"/>
      <c r="W242" s="122"/>
      <c r="AA242" s="122"/>
    </row>
    <row r="243" spans="1:27" s="118" customFormat="1" ht="20.100000000000001" customHeight="1" x14ac:dyDescent="0.25">
      <c r="E243" s="118" t="s">
        <v>585</v>
      </c>
      <c r="H243" s="120"/>
      <c r="M243" s="121"/>
      <c r="N243" s="121"/>
      <c r="O243" s="121"/>
      <c r="Q243" s="120"/>
      <c r="R243" s="120"/>
      <c r="S243" s="120"/>
      <c r="T243" s="120"/>
      <c r="U243" s="120"/>
      <c r="V243" s="120"/>
    </row>
    <row r="244" spans="1:27" s="119" customFormat="1" ht="20.100000000000001" customHeight="1" x14ac:dyDescent="0.25">
      <c r="A244" s="122"/>
      <c r="B244" s="122"/>
      <c r="E244" s="119">
        <f>1/25.4*10</f>
        <v>0.39370078740157477</v>
      </c>
      <c r="M244" s="123"/>
      <c r="N244" s="123"/>
      <c r="O244" s="123"/>
      <c r="W244" s="122"/>
      <c r="AA244" s="122"/>
    </row>
    <row r="245" spans="1:27" s="118" customFormat="1" ht="20.100000000000001" customHeight="1" x14ac:dyDescent="0.25">
      <c r="E245" s="118" t="s">
        <v>584</v>
      </c>
      <c r="H245" s="120"/>
      <c r="M245" s="121"/>
      <c r="N245" s="121"/>
      <c r="O245" s="121"/>
      <c r="Q245" s="120"/>
      <c r="R245" s="120"/>
      <c r="S245" s="120"/>
      <c r="T245" s="120"/>
      <c r="U245" s="120"/>
      <c r="V245" s="120"/>
    </row>
    <row r="246" spans="1:27" s="119" customFormat="1" ht="20.100000000000001" customHeight="1" x14ac:dyDescent="0.25">
      <c r="A246" s="122"/>
      <c r="B246" s="122"/>
      <c r="E246" s="119">
        <f>1/25.4*10.5</f>
        <v>0.41338582677165353</v>
      </c>
      <c r="M246" s="123"/>
      <c r="N246" s="123"/>
      <c r="O246" s="123"/>
      <c r="W246" s="122"/>
      <c r="AA246" s="122"/>
    </row>
    <row r="247" spans="1:27" s="118" customFormat="1" ht="20.100000000000001" customHeight="1" x14ac:dyDescent="0.25">
      <c r="E247" s="118" t="s">
        <v>586</v>
      </c>
      <c r="H247" s="120"/>
      <c r="M247" s="121"/>
      <c r="N247" s="121"/>
      <c r="O247" s="121"/>
      <c r="Q247" s="120"/>
      <c r="R247" s="120"/>
      <c r="S247" s="120"/>
      <c r="T247" s="120"/>
      <c r="U247" s="120"/>
      <c r="V247" s="120"/>
    </row>
    <row r="248" spans="1:27" s="119" customFormat="1" ht="20.100000000000001" customHeight="1" x14ac:dyDescent="0.25">
      <c r="A248" s="122"/>
      <c r="B248" s="122"/>
      <c r="E248" s="119">
        <f>1/25.4*11</f>
        <v>0.43307086614173229</v>
      </c>
      <c r="M248" s="123"/>
      <c r="N248" s="123"/>
      <c r="O248" s="123"/>
      <c r="W248" s="122"/>
      <c r="AA248" s="122"/>
    </row>
    <row r="249" spans="1:27" s="118" customFormat="1" ht="20.100000000000001" customHeight="1" x14ac:dyDescent="0.25">
      <c r="E249" s="118" t="s">
        <v>641</v>
      </c>
      <c r="H249" s="120"/>
      <c r="M249" s="121"/>
      <c r="N249" s="121"/>
      <c r="O249" s="121"/>
      <c r="Q249" s="120"/>
      <c r="R249" s="120"/>
      <c r="S249" s="120"/>
      <c r="T249" s="120"/>
      <c r="U249" s="120"/>
      <c r="V249" s="120"/>
    </row>
    <row r="250" spans="1:27" s="119" customFormat="1" ht="20.100000000000001" customHeight="1" x14ac:dyDescent="0.25">
      <c r="A250" s="122"/>
      <c r="B250" s="122"/>
      <c r="E250" s="119">
        <f>1/25.4*11.5</f>
        <v>0.452755905511811</v>
      </c>
      <c r="M250" s="123"/>
      <c r="N250" s="123"/>
      <c r="O250" s="123"/>
      <c r="W250" s="122"/>
      <c r="AA250" s="122"/>
    </row>
    <row r="251" spans="1:27" s="118" customFormat="1" ht="20.100000000000001" customHeight="1" x14ac:dyDescent="0.25">
      <c r="E251" s="118" t="s">
        <v>587</v>
      </c>
      <c r="H251" s="120"/>
      <c r="M251" s="121"/>
      <c r="N251" s="121"/>
      <c r="O251" s="121"/>
      <c r="Q251" s="120"/>
      <c r="R251" s="120"/>
      <c r="S251" s="120"/>
      <c r="T251" s="120"/>
      <c r="U251" s="120"/>
      <c r="V251" s="120"/>
    </row>
    <row r="252" spans="1:27" s="119" customFormat="1" ht="20.100000000000001" customHeight="1" x14ac:dyDescent="0.25">
      <c r="A252" s="122"/>
      <c r="B252" s="122"/>
      <c r="E252" s="119">
        <f>1/25.4*12</f>
        <v>0.47244094488188976</v>
      </c>
      <c r="M252" s="123"/>
      <c r="N252" s="123"/>
      <c r="O252" s="123"/>
      <c r="W252" s="122"/>
      <c r="AA252" s="122"/>
    </row>
    <row r="253" spans="1:27" s="118" customFormat="1" ht="20.100000000000001" customHeight="1" x14ac:dyDescent="0.25">
      <c r="E253" s="118" t="s">
        <v>588</v>
      </c>
      <c r="H253" s="120"/>
      <c r="M253" s="121"/>
      <c r="N253" s="121"/>
      <c r="O253" s="121"/>
      <c r="Q253" s="120"/>
      <c r="R253" s="120"/>
      <c r="S253" s="120"/>
      <c r="T253" s="120"/>
      <c r="U253" s="120"/>
      <c r="V253" s="120"/>
    </row>
    <row r="254" spans="1:27" s="119" customFormat="1" ht="20.100000000000001" customHeight="1" x14ac:dyDescent="0.25">
      <c r="A254" s="122"/>
      <c r="B254" s="122"/>
      <c r="E254" s="119">
        <f>1/25.4*12.5</f>
        <v>0.49212598425196852</v>
      </c>
      <c r="M254" s="123"/>
      <c r="N254" s="123"/>
      <c r="O254" s="123"/>
      <c r="W254" s="122"/>
      <c r="AA254" s="122"/>
    </row>
    <row r="255" spans="1:27" s="118" customFormat="1" ht="20.100000000000001" customHeight="1" x14ac:dyDescent="0.25">
      <c r="E255" s="118" t="s">
        <v>589</v>
      </c>
      <c r="H255" s="120"/>
      <c r="M255" s="121"/>
      <c r="N255" s="121"/>
      <c r="O255" s="121"/>
      <c r="Q255" s="120"/>
      <c r="R255" s="120"/>
      <c r="S255" s="120"/>
      <c r="T255" s="120"/>
      <c r="U255" s="120"/>
      <c r="V255" s="120"/>
    </row>
    <row r="256" spans="1:27" s="119" customFormat="1" ht="20.100000000000001" customHeight="1" x14ac:dyDescent="0.25">
      <c r="A256" s="122"/>
      <c r="B256" s="122"/>
      <c r="E256" s="119">
        <f>1/25.4*13</f>
        <v>0.51181102362204722</v>
      </c>
      <c r="M256" s="123"/>
      <c r="N256" s="123"/>
      <c r="O256" s="123"/>
      <c r="W256" s="122"/>
      <c r="AA256" s="122"/>
    </row>
    <row r="257" spans="1:27" s="118" customFormat="1" ht="20.100000000000001" customHeight="1" x14ac:dyDescent="0.25">
      <c r="E257" s="118" t="s">
        <v>590</v>
      </c>
      <c r="H257" s="120"/>
      <c r="M257" s="121"/>
      <c r="N257" s="121"/>
      <c r="O257" s="121"/>
      <c r="Q257" s="120"/>
      <c r="R257" s="120"/>
      <c r="S257" s="120"/>
      <c r="T257" s="120"/>
      <c r="U257" s="120"/>
      <c r="V257" s="120"/>
    </row>
    <row r="258" spans="1:27" s="119" customFormat="1" ht="20.100000000000001" customHeight="1" x14ac:dyDescent="0.25">
      <c r="A258" s="122"/>
      <c r="B258" s="122"/>
      <c r="E258" s="119">
        <f>1/25.4*13.5</f>
        <v>0.53149606299212593</v>
      </c>
      <c r="M258" s="123"/>
      <c r="N258" s="123"/>
      <c r="O258" s="123"/>
      <c r="W258" s="122"/>
      <c r="AA258" s="122"/>
    </row>
    <row r="259" spans="1:27" s="118" customFormat="1" ht="20.100000000000001" customHeight="1" x14ac:dyDescent="0.25">
      <c r="E259" s="118" t="s">
        <v>591</v>
      </c>
      <c r="H259" s="120"/>
      <c r="M259" s="121"/>
      <c r="N259" s="121"/>
      <c r="O259" s="121"/>
      <c r="Q259" s="120"/>
      <c r="R259" s="120"/>
      <c r="S259" s="120"/>
      <c r="T259" s="120"/>
      <c r="U259" s="120"/>
      <c r="V259" s="120"/>
    </row>
    <row r="260" spans="1:27" s="119" customFormat="1" ht="20.100000000000001" customHeight="1" x14ac:dyDescent="0.25">
      <c r="A260" s="122"/>
      <c r="B260" s="122"/>
      <c r="E260" s="119">
        <f>1/25.4*14</f>
        <v>0.55118110236220474</v>
      </c>
      <c r="M260" s="123"/>
      <c r="N260" s="123"/>
      <c r="O260" s="123"/>
      <c r="W260" s="122"/>
      <c r="AA260" s="122"/>
    </row>
    <row r="261" spans="1:27" s="118" customFormat="1" ht="20.100000000000001" customHeight="1" x14ac:dyDescent="0.25">
      <c r="E261" s="118" t="s">
        <v>616</v>
      </c>
      <c r="H261" s="120"/>
      <c r="M261" s="121"/>
      <c r="N261" s="121"/>
      <c r="O261" s="121"/>
      <c r="Q261" s="120"/>
      <c r="R261" s="120"/>
      <c r="S261" s="120"/>
      <c r="T261" s="120"/>
      <c r="U261" s="120"/>
      <c r="V261" s="120"/>
    </row>
    <row r="262" spans="1:27" s="119" customFormat="1" ht="20.100000000000001" customHeight="1" x14ac:dyDescent="0.25">
      <c r="A262" s="122"/>
      <c r="B262" s="122"/>
      <c r="E262" s="119">
        <f>1/25.4*14.5</f>
        <v>0.57086614173228345</v>
      </c>
      <c r="M262" s="123"/>
      <c r="N262" s="123"/>
      <c r="O262" s="123"/>
      <c r="W262" s="122"/>
      <c r="AA262" s="122"/>
    </row>
    <row r="263" spans="1:27" s="118" customFormat="1" ht="20.100000000000001" customHeight="1" x14ac:dyDescent="0.25">
      <c r="E263" s="118" t="s">
        <v>592</v>
      </c>
      <c r="F263" s="118" t="s">
        <v>592</v>
      </c>
      <c r="H263" s="120"/>
      <c r="M263" s="121"/>
      <c r="N263" s="121"/>
      <c r="O263" s="121"/>
      <c r="Q263" s="120"/>
      <c r="R263" s="120"/>
      <c r="S263" s="120"/>
      <c r="T263" s="120"/>
      <c r="U263" s="120"/>
      <c r="V263" s="120"/>
    </row>
    <row r="264" spans="1:27" s="119" customFormat="1" ht="20.100000000000001" customHeight="1" x14ac:dyDescent="0.25">
      <c r="A264" s="122"/>
      <c r="B264" s="122"/>
      <c r="E264" s="119">
        <f>1/25.4*15</f>
        <v>0.59055118110236215</v>
      </c>
      <c r="F264" s="119">
        <f>1/25.4*15</f>
        <v>0.59055118110236215</v>
      </c>
      <c r="M264" s="123"/>
      <c r="N264" s="123"/>
      <c r="O264" s="123"/>
      <c r="W264" s="122"/>
      <c r="AA264" s="122"/>
    </row>
    <row r="265" spans="1:27" s="118" customFormat="1" ht="20.100000000000001" customHeight="1" x14ac:dyDescent="0.25">
      <c r="F265" s="118" t="s">
        <v>617</v>
      </c>
      <c r="H265" s="120"/>
      <c r="M265" s="121"/>
      <c r="N265" s="121"/>
      <c r="O265" s="121"/>
      <c r="Q265" s="120"/>
      <c r="R265" s="120"/>
      <c r="S265" s="120"/>
      <c r="T265" s="120"/>
      <c r="U265" s="120"/>
      <c r="V265" s="120"/>
    </row>
    <row r="266" spans="1:27" s="119" customFormat="1" ht="20.100000000000001" customHeight="1" x14ac:dyDescent="0.25">
      <c r="A266" s="122"/>
      <c r="B266" s="122"/>
      <c r="F266" s="119">
        <f>1/25.4*15.5</f>
        <v>0.61023622047244097</v>
      </c>
      <c r="M266" s="123"/>
      <c r="N266" s="123"/>
      <c r="O266" s="123"/>
      <c r="W266" s="122"/>
      <c r="AA266" s="122"/>
    </row>
    <row r="267" spans="1:27" s="118" customFormat="1" ht="20.100000000000001" customHeight="1" x14ac:dyDescent="0.25">
      <c r="F267" s="118" t="s">
        <v>593</v>
      </c>
      <c r="H267" s="120"/>
      <c r="M267" s="121"/>
      <c r="N267" s="121"/>
      <c r="O267" s="121"/>
      <c r="Q267" s="120"/>
      <c r="R267" s="120"/>
      <c r="S267" s="120"/>
      <c r="T267" s="120"/>
      <c r="U267" s="120"/>
      <c r="V267" s="120"/>
    </row>
    <row r="268" spans="1:27" s="119" customFormat="1" ht="20.100000000000001" customHeight="1" x14ac:dyDescent="0.25">
      <c r="A268" s="122"/>
      <c r="B268" s="122"/>
      <c r="F268" s="119">
        <f>1/25.4*16</f>
        <v>0.62992125984251968</v>
      </c>
      <c r="M268" s="123"/>
      <c r="N268" s="123"/>
      <c r="O268" s="123"/>
      <c r="W268" s="122"/>
      <c r="AA268" s="122"/>
    </row>
    <row r="269" spans="1:27" s="118" customFormat="1" ht="20.100000000000001" customHeight="1" x14ac:dyDescent="0.25">
      <c r="F269" s="118" t="s">
        <v>618</v>
      </c>
      <c r="H269" s="120"/>
      <c r="M269" s="121"/>
      <c r="N269" s="121"/>
      <c r="O269" s="121"/>
      <c r="Q269" s="120"/>
      <c r="R269" s="120"/>
      <c r="S269" s="120"/>
      <c r="T269" s="120"/>
      <c r="U269" s="120"/>
      <c r="V269" s="120"/>
    </row>
    <row r="270" spans="1:27" s="119" customFormat="1" ht="20.100000000000001" customHeight="1" x14ac:dyDescent="0.25">
      <c r="A270" s="122"/>
      <c r="B270" s="122"/>
      <c r="F270" s="119">
        <f>1/25.4*16.5</f>
        <v>0.64960629921259838</v>
      </c>
      <c r="M270" s="123"/>
      <c r="N270" s="123"/>
      <c r="O270" s="123"/>
      <c r="W270" s="122"/>
      <c r="AA270" s="122"/>
    </row>
    <row r="271" spans="1:27" s="118" customFormat="1" ht="20.100000000000001" customHeight="1" x14ac:dyDescent="0.25">
      <c r="F271" s="118" t="s">
        <v>594</v>
      </c>
      <c r="H271" s="120"/>
      <c r="M271" s="121"/>
      <c r="N271" s="121"/>
      <c r="O271" s="121"/>
      <c r="Q271" s="120"/>
      <c r="R271" s="120"/>
      <c r="S271" s="120"/>
      <c r="T271" s="120"/>
      <c r="U271" s="120"/>
      <c r="V271" s="120"/>
    </row>
    <row r="272" spans="1:27" s="119" customFormat="1" ht="20.100000000000001" customHeight="1" x14ac:dyDescent="0.25">
      <c r="A272" s="122"/>
      <c r="B272" s="122"/>
      <c r="F272" s="119">
        <f>1/25.4*17</f>
        <v>0.6692913385826772</v>
      </c>
      <c r="M272" s="123"/>
      <c r="N272" s="123"/>
      <c r="O272" s="123"/>
      <c r="W272" s="122"/>
      <c r="AA272" s="122"/>
    </row>
    <row r="273" spans="1:27" s="118" customFormat="1" ht="20.100000000000001" customHeight="1" x14ac:dyDescent="0.25">
      <c r="F273" s="118" t="s">
        <v>619</v>
      </c>
      <c r="H273" s="120"/>
      <c r="M273" s="121"/>
      <c r="N273" s="121"/>
      <c r="O273" s="121"/>
      <c r="Q273" s="120"/>
      <c r="R273" s="120"/>
      <c r="S273" s="120"/>
      <c r="T273" s="120"/>
      <c r="U273" s="120"/>
      <c r="V273" s="120"/>
    </row>
    <row r="274" spans="1:27" s="119" customFormat="1" ht="20.100000000000001" customHeight="1" x14ac:dyDescent="0.25">
      <c r="A274" s="122"/>
      <c r="B274" s="122"/>
      <c r="F274" s="119">
        <f>1/25.4*17.5</f>
        <v>0.6889763779527559</v>
      </c>
      <c r="M274" s="123"/>
      <c r="N274" s="123"/>
      <c r="O274" s="123"/>
      <c r="W274" s="122"/>
      <c r="AA274" s="122"/>
    </row>
    <row r="275" spans="1:27" s="118" customFormat="1" ht="20.100000000000001" customHeight="1" x14ac:dyDescent="0.25">
      <c r="F275" s="118" t="s">
        <v>595</v>
      </c>
      <c r="H275" s="120"/>
      <c r="M275" s="121"/>
      <c r="N275" s="121"/>
      <c r="O275" s="121"/>
      <c r="Q275" s="120"/>
      <c r="R275" s="120"/>
      <c r="S275" s="120"/>
      <c r="T275" s="120"/>
      <c r="U275" s="120"/>
      <c r="V275" s="120"/>
    </row>
    <row r="276" spans="1:27" s="119" customFormat="1" ht="20.100000000000001" customHeight="1" x14ac:dyDescent="0.25">
      <c r="A276" s="122"/>
      <c r="B276" s="122"/>
      <c r="F276" s="119">
        <f>1/25.4*18</f>
        <v>0.70866141732283461</v>
      </c>
      <c r="M276" s="123"/>
      <c r="N276" s="123"/>
      <c r="O276" s="123"/>
      <c r="W276" s="122"/>
      <c r="AA276" s="122"/>
    </row>
    <row r="277" spans="1:27" s="118" customFormat="1" ht="20.100000000000001" customHeight="1" x14ac:dyDescent="0.25">
      <c r="F277" s="118" t="s">
        <v>620</v>
      </c>
      <c r="H277" s="120"/>
      <c r="M277" s="121"/>
      <c r="N277" s="121"/>
      <c r="O277" s="121"/>
      <c r="Q277" s="120"/>
      <c r="R277" s="120"/>
      <c r="S277" s="120"/>
      <c r="T277" s="120"/>
      <c r="U277" s="120"/>
      <c r="V277" s="120"/>
    </row>
    <row r="278" spans="1:27" s="119" customFormat="1" ht="20.100000000000001" customHeight="1" x14ac:dyDescent="0.25">
      <c r="A278" s="122"/>
      <c r="B278" s="122"/>
      <c r="F278" s="119">
        <f>1/25.4*18.5</f>
        <v>0.72834645669291342</v>
      </c>
      <c r="M278" s="123"/>
      <c r="N278" s="123"/>
      <c r="O278" s="123"/>
      <c r="W278" s="122"/>
      <c r="AA278" s="122"/>
    </row>
    <row r="279" spans="1:27" s="118" customFormat="1" ht="20.100000000000001" customHeight="1" x14ac:dyDescent="0.25">
      <c r="F279" s="118" t="s">
        <v>596</v>
      </c>
      <c r="H279" s="120"/>
      <c r="M279" s="121"/>
      <c r="N279" s="121"/>
      <c r="O279" s="121"/>
      <c r="Q279" s="120"/>
      <c r="R279" s="120"/>
      <c r="S279" s="120"/>
      <c r="T279" s="120"/>
      <c r="U279" s="120"/>
      <c r="V279" s="120"/>
    </row>
    <row r="280" spans="1:27" s="119" customFormat="1" ht="20.100000000000001" customHeight="1" x14ac:dyDescent="0.25">
      <c r="A280" s="122"/>
      <c r="B280" s="122"/>
      <c r="F280" s="119">
        <f>1/25.4*19</f>
        <v>0.74803149606299213</v>
      </c>
      <c r="M280" s="123"/>
      <c r="N280" s="123"/>
      <c r="O280" s="123"/>
      <c r="W280" s="122"/>
      <c r="AA280" s="122"/>
    </row>
    <row r="281" spans="1:27" s="118" customFormat="1" ht="20.100000000000001" customHeight="1" x14ac:dyDescent="0.25">
      <c r="F281" s="118" t="s">
        <v>621</v>
      </c>
      <c r="H281" s="120"/>
      <c r="M281" s="121"/>
      <c r="N281" s="121"/>
      <c r="O281" s="121"/>
      <c r="Q281" s="120"/>
      <c r="R281" s="120"/>
      <c r="S281" s="120"/>
      <c r="T281" s="120"/>
      <c r="U281" s="120"/>
      <c r="V281" s="120"/>
    </row>
    <row r="282" spans="1:27" s="119" customFormat="1" ht="20.100000000000001" customHeight="1" x14ac:dyDescent="0.25">
      <c r="A282" s="122"/>
      <c r="B282" s="122"/>
      <c r="F282" s="119">
        <f>1/25.4*19.5</f>
        <v>0.76771653543307083</v>
      </c>
      <c r="M282" s="123"/>
      <c r="N282" s="123"/>
      <c r="O282" s="123"/>
      <c r="W282" s="122"/>
      <c r="AA282" s="122"/>
    </row>
    <row r="283" spans="1:27" s="118" customFormat="1" ht="20.100000000000001" customHeight="1" x14ac:dyDescent="0.25">
      <c r="F283" s="118" t="s">
        <v>597</v>
      </c>
      <c r="H283" s="120"/>
      <c r="M283" s="121"/>
      <c r="N283" s="121"/>
      <c r="O283" s="121"/>
      <c r="Q283" s="120"/>
      <c r="R283" s="120"/>
      <c r="S283" s="120"/>
      <c r="T283" s="120"/>
      <c r="U283" s="120"/>
      <c r="V283" s="120"/>
    </row>
    <row r="284" spans="1:27" s="119" customFormat="1" ht="20.100000000000001" customHeight="1" x14ac:dyDescent="0.25">
      <c r="A284" s="122"/>
      <c r="B284" s="122"/>
      <c r="F284" s="119">
        <f>1/25.4*20</f>
        <v>0.78740157480314954</v>
      </c>
      <c r="M284" s="123"/>
      <c r="N284" s="123"/>
      <c r="O284" s="123"/>
      <c r="W284" s="122"/>
      <c r="AA284" s="122"/>
    </row>
    <row r="285" spans="1:27" s="118" customFormat="1" ht="20.100000000000001" customHeight="1" x14ac:dyDescent="0.25">
      <c r="F285" s="118" t="s">
        <v>622</v>
      </c>
      <c r="H285" s="120"/>
      <c r="M285" s="121"/>
      <c r="N285" s="121"/>
      <c r="O285" s="121"/>
      <c r="Q285" s="120"/>
      <c r="R285" s="120"/>
      <c r="S285" s="120"/>
      <c r="T285" s="120"/>
      <c r="U285" s="120"/>
      <c r="V285" s="120"/>
    </row>
    <row r="286" spans="1:27" s="119" customFormat="1" ht="20.100000000000001" customHeight="1" x14ac:dyDescent="0.25">
      <c r="A286" s="122"/>
      <c r="B286" s="122"/>
      <c r="F286" s="119">
        <f>1/25.4*20.5</f>
        <v>0.80708661417322836</v>
      </c>
      <c r="M286" s="123"/>
      <c r="N286" s="123"/>
      <c r="O286" s="123"/>
      <c r="W286" s="122"/>
      <c r="AA286" s="122"/>
    </row>
    <row r="287" spans="1:27" s="118" customFormat="1" ht="20.100000000000001" customHeight="1" x14ac:dyDescent="0.25">
      <c r="F287" s="118" t="s">
        <v>598</v>
      </c>
      <c r="H287" s="120"/>
      <c r="M287" s="121"/>
      <c r="N287" s="121"/>
      <c r="O287" s="121"/>
      <c r="Q287" s="120"/>
      <c r="R287" s="120"/>
      <c r="S287" s="120"/>
      <c r="T287" s="120"/>
      <c r="U287" s="120"/>
      <c r="V287" s="120"/>
    </row>
    <row r="288" spans="1:27" s="119" customFormat="1" ht="20.100000000000001" customHeight="1" x14ac:dyDescent="0.25">
      <c r="A288" s="122"/>
      <c r="B288" s="122"/>
      <c r="F288" s="119">
        <f>1/25.4*21</f>
        <v>0.82677165354330706</v>
      </c>
      <c r="M288" s="123"/>
      <c r="N288" s="123"/>
      <c r="O288" s="123"/>
      <c r="W288" s="122"/>
      <c r="AA288" s="122"/>
    </row>
    <row r="289" spans="1:27" s="118" customFormat="1" ht="20.100000000000001" customHeight="1" x14ac:dyDescent="0.25">
      <c r="F289" s="118" t="s">
        <v>623</v>
      </c>
      <c r="H289" s="120"/>
      <c r="M289" s="121"/>
      <c r="N289" s="121"/>
      <c r="O289" s="121"/>
      <c r="Q289" s="120"/>
      <c r="R289" s="120"/>
      <c r="S289" s="120"/>
      <c r="T289" s="120"/>
      <c r="U289" s="120"/>
      <c r="V289" s="120"/>
    </row>
    <row r="290" spans="1:27" s="119" customFormat="1" ht="20.100000000000001" customHeight="1" x14ac:dyDescent="0.25">
      <c r="A290" s="122"/>
      <c r="B290" s="122"/>
      <c r="F290" s="119">
        <f>1/25.4*21.5</f>
        <v>0.84645669291338577</v>
      </c>
      <c r="M290" s="123"/>
      <c r="N290" s="123"/>
      <c r="O290" s="123"/>
      <c r="W290" s="122"/>
      <c r="AA290" s="122"/>
    </row>
    <row r="291" spans="1:27" s="118" customFormat="1" ht="20.100000000000001" customHeight="1" x14ac:dyDescent="0.25">
      <c r="F291" s="118" t="s">
        <v>599</v>
      </c>
      <c r="H291" s="120"/>
      <c r="M291" s="121"/>
      <c r="N291" s="121"/>
      <c r="O291" s="121"/>
      <c r="Q291" s="120"/>
      <c r="R291" s="120"/>
      <c r="S291" s="120"/>
      <c r="T291" s="120"/>
      <c r="U291" s="120"/>
      <c r="V291" s="120"/>
    </row>
    <row r="292" spans="1:27" s="119" customFormat="1" ht="20.100000000000001" customHeight="1" x14ac:dyDescent="0.25">
      <c r="A292" s="122"/>
      <c r="B292" s="122"/>
      <c r="F292" s="119">
        <f>1/25.4*22</f>
        <v>0.86614173228346458</v>
      </c>
      <c r="M292" s="123"/>
      <c r="N292" s="123"/>
      <c r="O292" s="123"/>
      <c r="W292" s="122"/>
      <c r="AA292" s="122"/>
    </row>
    <row r="293" spans="1:27" s="118" customFormat="1" ht="20.100000000000001" customHeight="1" x14ac:dyDescent="0.25">
      <c r="F293" s="118" t="s">
        <v>624</v>
      </c>
      <c r="H293" s="120"/>
      <c r="M293" s="121"/>
      <c r="N293" s="121"/>
      <c r="O293" s="121"/>
      <c r="Q293" s="120"/>
      <c r="R293" s="120"/>
      <c r="S293" s="120"/>
      <c r="T293" s="120"/>
      <c r="U293" s="120"/>
      <c r="V293" s="120"/>
    </row>
    <row r="294" spans="1:27" s="119" customFormat="1" ht="20.100000000000001" customHeight="1" x14ac:dyDescent="0.25">
      <c r="A294" s="122"/>
      <c r="B294" s="122"/>
      <c r="F294" s="119">
        <f>1/25.4*22.5</f>
        <v>0.88582677165354329</v>
      </c>
      <c r="M294" s="123"/>
      <c r="N294" s="123"/>
      <c r="O294" s="123"/>
      <c r="W294" s="122"/>
      <c r="AA294" s="122"/>
    </row>
    <row r="295" spans="1:27" s="118" customFormat="1" ht="20.100000000000001" customHeight="1" x14ac:dyDescent="0.25">
      <c r="F295" s="118" t="s">
        <v>600</v>
      </c>
      <c r="H295" s="120"/>
      <c r="M295" s="121"/>
      <c r="N295" s="121"/>
      <c r="O295" s="121"/>
      <c r="Q295" s="120"/>
      <c r="R295" s="120"/>
      <c r="S295" s="120"/>
      <c r="T295" s="120"/>
      <c r="U295" s="120"/>
      <c r="V295" s="120"/>
    </row>
    <row r="296" spans="1:27" s="119" customFormat="1" ht="20.100000000000001" customHeight="1" x14ac:dyDescent="0.25">
      <c r="A296" s="122"/>
      <c r="B296" s="122"/>
      <c r="F296" s="119">
        <f>1/25.4*23</f>
        <v>0.90551181102362199</v>
      </c>
      <c r="M296" s="123"/>
      <c r="N296" s="123"/>
      <c r="O296" s="123"/>
      <c r="W296" s="122"/>
      <c r="AA296" s="122"/>
    </row>
    <row r="297" spans="1:27" s="118" customFormat="1" ht="20.100000000000001" customHeight="1" x14ac:dyDescent="0.25">
      <c r="F297" s="118" t="s">
        <v>625</v>
      </c>
      <c r="H297" s="120"/>
      <c r="M297" s="121"/>
      <c r="N297" s="121"/>
      <c r="O297" s="121"/>
      <c r="Q297" s="120"/>
      <c r="R297" s="120"/>
      <c r="S297" s="120"/>
      <c r="T297" s="120"/>
      <c r="U297" s="120"/>
      <c r="V297" s="120"/>
    </row>
    <row r="298" spans="1:27" s="119" customFormat="1" ht="20.100000000000001" customHeight="1" x14ac:dyDescent="0.25">
      <c r="A298" s="122"/>
      <c r="B298" s="122"/>
      <c r="F298" s="119">
        <f>1/25.4*23.5</f>
        <v>0.92519685039370081</v>
      </c>
      <c r="M298" s="123"/>
      <c r="N298" s="123"/>
      <c r="O298" s="123"/>
      <c r="W298" s="122"/>
      <c r="AA298" s="122"/>
    </row>
    <row r="299" spans="1:27" s="118" customFormat="1" ht="20.100000000000001" customHeight="1" x14ac:dyDescent="0.25">
      <c r="F299" s="118" t="s">
        <v>601</v>
      </c>
      <c r="H299" s="120"/>
      <c r="M299" s="121"/>
      <c r="N299" s="121"/>
      <c r="O299" s="121"/>
      <c r="Q299" s="120"/>
      <c r="R299" s="120"/>
      <c r="S299" s="120"/>
      <c r="T299" s="120"/>
      <c r="U299" s="120"/>
      <c r="V299" s="120"/>
    </row>
    <row r="300" spans="1:27" s="119" customFormat="1" ht="20.100000000000001" customHeight="1" x14ac:dyDescent="0.25">
      <c r="A300" s="122"/>
      <c r="B300" s="122"/>
      <c r="F300" s="119">
        <f>1/25.4*24</f>
        <v>0.94488188976377951</v>
      </c>
      <c r="M300" s="123"/>
      <c r="N300" s="123"/>
      <c r="O300" s="123"/>
      <c r="W300" s="122"/>
      <c r="AA300" s="122"/>
    </row>
    <row r="301" spans="1:27" s="118" customFormat="1" ht="20.100000000000001" customHeight="1" x14ac:dyDescent="0.25">
      <c r="F301" s="118" t="s">
        <v>626</v>
      </c>
      <c r="H301" s="120"/>
      <c r="M301" s="121"/>
      <c r="N301" s="121"/>
      <c r="O301" s="121"/>
      <c r="Q301" s="120"/>
      <c r="R301" s="120"/>
      <c r="S301" s="120"/>
      <c r="T301" s="120"/>
      <c r="U301" s="120"/>
      <c r="V301" s="120"/>
    </row>
    <row r="302" spans="1:27" s="119" customFormat="1" ht="20.100000000000001" customHeight="1" x14ac:dyDescent="0.25">
      <c r="A302" s="122"/>
      <c r="B302" s="122"/>
      <c r="F302" s="119">
        <f>1/25.4*24.5</f>
        <v>0.96456692913385822</v>
      </c>
      <c r="M302" s="123"/>
      <c r="N302" s="123"/>
      <c r="O302" s="123"/>
      <c r="W302" s="122"/>
      <c r="AA302" s="122"/>
    </row>
    <row r="303" spans="1:27" s="118" customFormat="1" ht="20.100000000000001" customHeight="1" x14ac:dyDescent="0.25">
      <c r="F303" s="118" t="s">
        <v>602</v>
      </c>
      <c r="H303" s="120"/>
      <c r="M303" s="121"/>
      <c r="N303" s="121"/>
      <c r="O303" s="121"/>
      <c r="Q303" s="120"/>
      <c r="R303" s="120"/>
      <c r="S303" s="120"/>
      <c r="T303" s="120"/>
      <c r="U303" s="120"/>
      <c r="V303" s="120"/>
    </row>
    <row r="304" spans="1:27" s="119" customFormat="1" ht="20.100000000000001" customHeight="1" x14ac:dyDescent="0.25">
      <c r="A304" s="122"/>
      <c r="B304" s="122"/>
      <c r="F304" s="119">
        <f>1/25.4*25</f>
        <v>0.98425196850393704</v>
      </c>
      <c r="M304" s="123"/>
      <c r="N304" s="123"/>
      <c r="O304" s="123"/>
      <c r="W304" s="122"/>
      <c r="AA304" s="122"/>
    </row>
    <row r="305" spans="1:27" s="118" customFormat="1" ht="20.100000000000001" customHeight="1" x14ac:dyDescent="0.25">
      <c r="F305" s="118" t="s">
        <v>627</v>
      </c>
      <c r="H305" s="120"/>
      <c r="M305" s="121"/>
      <c r="N305" s="121"/>
      <c r="O305" s="121"/>
      <c r="Q305" s="120"/>
      <c r="R305" s="120"/>
      <c r="S305" s="120"/>
      <c r="T305" s="120"/>
      <c r="U305" s="120"/>
      <c r="V305" s="120"/>
    </row>
    <row r="306" spans="1:27" s="119" customFormat="1" ht="20.100000000000001" customHeight="1" x14ac:dyDescent="0.25">
      <c r="A306" s="122"/>
      <c r="B306" s="122"/>
      <c r="F306" s="119">
        <f>1/25.4*25.5</f>
        <v>1.0039370078740157</v>
      </c>
      <c r="M306" s="123"/>
      <c r="N306" s="123"/>
      <c r="O306" s="123"/>
      <c r="W306" s="122"/>
      <c r="AA306" s="122"/>
    </row>
    <row r="307" spans="1:27" s="118" customFormat="1" ht="20.100000000000001" customHeight="1" x14ac:dyDescent="0.25">
      <c r="F307" s="118" t="s">
        <v>603</v>
      </c>
      <c r="H307" s="120"/>
      <c r="M307" s="121"/>
      <c r="N307" s="121"/>
      <c r="O307" s="121"/>
      <c r="Q307" s="120"/>
      <c r="R307" s="120"/>
      <c r="S307" s="120"/>
      <c r="T307" s="120"/>
      <c r="U307" s="120"/>
      <c r="V307" s="120"/>
    </row>
    <row r="308" spans="1:27" s="119" customFormat="1" ht="20.100000000000001" customHeight="1" x14ac:dyDescent="0.25">
      <c r="A308" s="122"/>
      <c r="B308" s="122"/>
      <c r="F308" s="119">
        <f>1/25.4*26</f>
        <v>1.0236220472440944</v>
      </c>
      <c r="M308" s="123"/>
      <c r="N308" s="123"/>
      <c r="O308" s="123"/>
      <c r="W308" s="122"/>
      <c r="AA308" s="122"/>
    </row>
    <row r="309" spans="1:27" s="118" customFormat="1" ht="20.100000000000001" customHeight="1" x14ac:dyDescent="0.25">
      <c r="F309" s="118" t="s">
        <v>628</v>
      </c>
      <c r="H309" s="120"/>
      <c r="M309" s="121"/>
      <c r="N309" s="121"/>
      <c r="O309" s="121"/>
      <c r="Q309" s="120"/>
      <c r="R309" s="120"/>
      <c r="S309" s="120"/>
      <c r="T309" s="120"/>
      <c r="U309" s="120"/>
      <c r="V309" s="120"/>
    </row>
    <row r="310" spans="1:27" s="119" customFormat="1" ht="20.100000000000001" customHeight="1" x14ac:dyDescent="0.25">
      <c r="A310" s="122"/>
      <c r="B310" s="122"/>
      <c r="F310" s="119">
        <f>1/25.4*26.5</f>
        <v>1.0433070866141732</v>
      </c>
      <c r="M310" s="123"/>
      <c r="N310" s="123"/>
      <c r="O310" s="123"/>
      <c r="W310" s="122"/>
      <c r="AA310" s="122"/>
    </row>
    <row r="311" spans="1:27" s="118" customFormat="1" ht="20.100000000000001" customHeight="1" x14ac:dyDescent="0.25">
      <c r="F311" s="118" t="s">
        <v>604</v>
      </c>
      <c r="H311" s="120"/>
      <c r="M311" s="121"/>
      <c r="N311" s="121"/>
      <c r="O311" s="121"/>
      <c r="Q311" s="120"/>
      <c r="R311" s="120"/>
      <c r="S311" s="120"/>
      <c r="T311" s="120"/>
      <c r="U311" s="120"/>
      <c r="V311" s="120"/>
    </row>
    <row r="312" spans="1:27" s="119" customFormat="1" ht="20.100000000000001" customHeight="1" x14ac:dyDescent="0.25">
      <c r="A312" s="122"/>
      <c r="B312" s="122"/>
      <c r="F312" s="119">
        <f>1/25.4*27</f>
        <v>1.0629921259842519</v>
      </c>
      <c r="M312" s="123"/>
      <c r="N312" s="123"/>
      <c r="O312" s="123"/>
      <c r="W312" s="122"/>
      <c r="AA312" s="122"/>
    </row>
    <row r="313" spans="1:27" s="118" customFormat="1" ht="20.100000000000001" customHeight="1" x14ac:dyDescent="0.25">
      <c r="F313" s="118" t="s">
        <v>629</v>
      </c>
      <c r="H313" s="120"/>
      <c r="M313" s="121"/>
      <c r="N313" s="121"/>
      <c r="O313" s="121"/>
      <c r="Q313" s="120"/>
      <c r="R313" s="120"/>
      <c r="S313" s="120"/>
      <c r="T313" s="120"/>
      <c r="U313" s="120"/>
      <c r="V313" s="120"/>
    </row>
    <row r="314" spans="1:27" s="119" customFormat="1" ht="20.100000000000001" customHeight="1" x14ac:dyDescent="0.25">
      <c r="A314" s="122"/>
      <c r="B314" s="122"/>
      <c r="F314" s="119">
        <f>1/25.4*27.5</f>
        <v>1.0826771653543308</v>
      </c>
      <c r="M314" s="123"/>
      <c r="N314" s="123"/>
      <c r="O314" s="123"/>
      <c r="W314" s="122"/>
      <c r="AA314" s="122"/>
    </row>
    <row r="315" spans="1:27" s="118" customFormat="1" ht="20.100000000000001" customHeight="1" x14ac:dyDescent="0.25">
      <c r="F315" s="118" t="s">
        <v>605</v>
      </c>
      <c r="H315" s="120"/>
      <c r="M315" s="121"/>
      <c r="N315" s="121"/>
      <c r="O315" s="121"/>
      <c r="Q315" s="120"/>
      <c r="R315" s="120"/>
      <c r="S315" s="120"/>
      <c r="T315" s="120"/>
      <c r="U315" s="120"/>
      <c r="V315" s="120"/>
    </row>
    <row r="316" spans="1:27" s="119" customFormat="1" ht="20.100000000000001" customHeight="1" x14ac:dyDescent="0.25">
      <c r="A316" s="122"/>
      <c r="B316" s="122"/>
      <c r="F316" s="119">
        <f>1/25.4*28</f>
        <v>1.1023622047244095</v>
      </c>
      <c r="M316" s="123"/>
      <c r="N316" s="123"/>
      <c r="O316" s="123"/>
      <c r="W316" s="122"/>
      <c r="AA316" s="122"/>
    </row>
    <row r="317" spans="1:27" s="118" customFormat="1" ht="20.100000000000001" customHeight="1" x14ac:dyDescent="0.25">
      <c r="F317" s="118" t="s">
        <v>630</v>
      </c>
      <c r="H317" s="120"/>
      <c r="M317" s="121"/>
      <c r="N317" s="121"/>
      <c r="O317" s="121"/>
      <c r="Q317" s="120"/>
      <c r="R317" s="120"/>
      <c r="S317" s="120"/>
      <c r="T317" s="120"/>
      <c r="U317" s="120"/>
      <c r="V317" s="120"/>
    </row>
    <row r="318" spans="1:27" s="119" customFormat="1" ht="20.100000000000001" customHeight="1" x14ac:dyDescent="0.25">
      <c r="A318" s="122"/>
      <c r="B318" s="122"/>
      <c r="F318" s="119">
        <f>1/25.4*28.5</f>
        <v>1.1220472440944882</v>
      </c>
      <c r="M318" s="123"/>
      <c r="N318" s="123"/>
      <c r="O318" s="123"/>
      <c r="W318" s="122"/>
      <c r="AA318" s="122"/>
    </row>
    <row r="319" spans="1:27" s="118" customFormat="1" ht="20.100000000000001" customHeight="1" x14ac:dyDescent="0.25">
      <c r="F319" s="118" t="s">
        <v>606</v>
      </c>
      <c r="H319" s="120"/>
      <c r="M319" s="121"/>
      <c r="N319" s="121"/>
      <c r="O319" s="121"/>
      <c r="Q319" s="120"/>
      <c r="R319" s="120"/>
      <c r="S319" s="120"/>
      <c r="T319" s="120"/>
      <c r="U319" s="120"/>
      <c r="V319" s="120"/>
    </row>
    <row r="320" spans="1:27" s="119" customFormat="1" ht="20.100000000000001" customHeight="1" x14ac:dyDescent="0.25">
      <c r="A320" s="122"/>
      <c r="B320" s="122"/>
      <c r="F320" s="119">
        <f>1/25.4*29</f>
        <v>1.1417322834645669</v>
      </c>
      <c r="M320" s="123"/>
      <c r="N320" s="123"/>
      <c r="O320" s="123"/>
      <c r="W320" s="122"/>
      <c r="AA320" s="122"/>
    </row>
    <row r="321" spans="1:27" s="118" customFormat="1" ht="20.100000000000001" customHeight="1" x14ac:dyDescent="0.25">
      <c r="F321" s="118" t="s">
        <v>631</v>
      </c>
      <c r="H321" s="120"/>
      <c r="M321" s="121"/>
      <c r="N321" s="121"/>
      <c r="O321" s="121"/>
      <c r="Q321" s="120"/>
      <c r="R321" s="120"/>
      <c r="S321" s="120"/>
      <c r="T321" s="120"/>
      <c r="U321" s="120"/>
      <c r="V321" s="120"/>
    </row>
    <row r="322" spans="1:27" s="119" customFormat="1" ht="20.100000000000001" customHeight="1" x14ac:dyDescent="0.25">
      <c r="A322" s="122"/>
      <c r="B322" s="122"/>
      <c r="F322" s="119">
        <f>1/25.4*29.5</f>
        <v>1.1614173228346456</v>
      </c>
      <c r="M322" s="123"/>
      <c r="N322" s="123"/>
      <c r="O322" s="123"/>
      <c r="W322" s="122"/>
      <c r="AA322" s="122"/>
    </row>
    <row r="323" spans="1:27" s="118" customFormat="1" ht="20.100000000000001" customHeight="1" x14ac:dyDescent="0.25">
      <c r="F323" s="118" t="s">
        <v>607</v>
      </c>
      <c r="H323" s="120"/>
      <c r="M323" s="121"/>
      <c r="N323" s="121"/>
      <c r="O323" s="121"/>
      <c r="Q323" s="120"/>
      <c r="R323" s="120"/>
      <c r="S323" s="120"/>
      <c r="T323" s="120"/>
      <c r="U323" s="120"/>
      <c r="V323" s="120"/>
    </row>
    <row r="324" spans="1:27" s="119" customFormat="1" ht="20.100000000000001" customHeight="1" x14ac:dyDescent="0.25">
      <c r="A324" s="122"/>
      <c r="B324" s="122"/>
      <c r="F324" s="119">
        <f>1/25.4*30</f>
        <v>1.1811023622047243</v>
      </c>
      <c r="M324" s="123"/>
      <c r="N324" s="123"/>
      <c r="O324" s="123"/>
      <c r="W324" s="122"/>
      <c r="AA324" s="122"/>
    </row>
    <row r="325" spans="1:27" s="118" customFormat="1" ht="20.100000000000001" customHeight="1" x14ac:dyDescent="0.25">
      <c r="F325" s="118" t="s">
        <v>632</v>
      </c>
      <c r="H325" s="120"/>
      <c r="M325" s="121"/>
      <c r="N325" s="121"/>
      <c r="O325" s="121"/>
      <c r="Q325" s="120"/>
      <c r="R325" s="120"/>
      <c r="S325" s="120"/>
      <c r="T325" s="120"/>
      <c r="U325" s="120"/>
      <c r="V325" s="120"/>
    </row>
    <row r="326" spans="1:27" s="119" customFormat="1" ht="20.100000000000001" customHeight="1" x14ac:dyDescent="0.25">
      <c r="A326" s="122"/>
      <c r="B326" s="122"/>
      <c r="F326" s="119">
        <f>1/25.4*30.5</f>
        <v>1.2007874015748032</v>
      </c>
      <c r="M326" s="123"/>
      <c r="N326" s="123"/>
      <c r="O326" s="123"/>
      <c r="W326" s="122"/>
      <c r="AA326" s="122"/>
    </row>
    <row r="327" spans="1:27" s="118" customFormat="1" ht="20.100000000000001" customHeight="1" x14ac:dyDescent="0.25">
      <c r="F327" s="118" t="s">
        <v>608</v>
      </c>
      <c r="H327" s="120"/>
      <c r="M327" s="121"/>
      <c r="N327" s="121"/>
      <c r="O327" s="121"/>
      <c r="Q327" s="120"/>
      <c r="R327" s="120"/>
      <c r="S327" s="120"/>
      <c r="T327" s="120"/>
      <c r="U327" s="120"/>
      <c r="V327" s="120"/>
    </row>
    <row r="328" spans="1:27" s="119" customFormat="1" ht="20.100000000000001" customHeight="1" x14ac:dyDescent="0.25">
      <c r="A328" s="122"/>
      <c r="B328" s="122"/>
      <c r="F328" s="119">
        <f>1/25.4*31</f>
        <v>1.2204724409448819</v>
      </c>
      <c r="M328" s="123"/>
      <c r="N328" s="123"/>
      <c r="O328" s="123"/>
      <c r="W328" s="122"/>
      <c r="AA328" s="122"/>
    </row>
    <row r="329" spans="1:27" s="118" customFormat="1" ht="20.100000000000001" customHeight="1" x14ac:dyDescent="0.25">
      <c r="F329" s="118" t="s">
        <v>633</v>
      </c>
      <c r="H329" s="120"/>
      <c r="M329" s="121"/>
      <c r="N329" s="121"/>
      <c r="O329" s="121"/>
      <c r="Q329" s="120"/>
      <c r="R329" s="120"/>
      <c r="S329" s="120"/>
      <c r="T329" s="120"/>
      <c r="U329" s="120"/>
      <c r="V329" s="120"/>
    </row>
    <row r="330" spans="1:27" s="119" customFormat="1" ht="20.100000000000001" customHeight="1" x14ac:dyDescent="0.25">
      <c r="A330" s="122"/>
      <c r="B330" s="122"/>
      <c r="F330" s="119">
        <f>1/25.4*31.5</f>
        <v>1.2401574803149606</v>
      </c>
      <c r="M330" s="123"/>
      <c r="N330" s="123"/>
      <c r="O330" s="123"/>
      <c r="W330" s="122"/>
      <c r="AA330" s="122"/>
    </row>
    <row r="331" spans="1:27" s="118" customFormat="1" ht="20.100000000000001" customHeight="1" x14ac:dyDescent="0.25">
      <c r="F331" s="118" t="s">
        <v>609</v>
      </c>
      <c r="H331" s="120"/>
      <c r="M331" s="121"/>
      <c r="N331" s="121"/>
      <c r="O331" s="121"/>
      <c r="Q331" s="120"/>
      <c r="R331" s="120"/>
      <c r="S331" s="120"/>
      <c r="T331" s="120"/>
      <c r="U331" s="120"/>
      <c r="V331" s="120"/>
    </row>
    <row r="332" spans="1:27" s="119" customFormat="1" ht="20.100000000000001" customHeight="1" x14ac:dyDescent="0.25">
      <c r="A332" s="122"/>
      <c r="B332" s="122"/>
      <c r="F332" s="119">
        <f>1/25.4*32</f>
        <v>1.2598425196850394</v>
      </c>
      <c r="M332" s="123"/>
      <c r="N332" s="123"/>
      <c r="O332" s="123"/>
      <c r="W332" s="122"/>
      <c r="AA332" s="122"/>
    </row>
    <row r="333" spans="1:27" s="118" customFormat="1" ht="20.100000000000001" customHeight="1" x14ac:dyDescent="0.25">
      <c r="F333" s="118" t="s">
        <v>634</v>
      </c>
      <c r="H333" s="120"/>
      <c r="M333" s="121"/>
      <c r="N333" s="121"/>
      <c r="O333" s="121"/>
      <c r="Q333" s="120"/>
      <c r="R333" s="120"/>
      <c r="S333" s="120"/>
      <c r="T333" s="120"/>
      <c r="U333" s="120"/>
      <c r="V333" s="120"/>
    </row>
    <row r="334" spans="1:27" s="119" customFormat="1" ht="20.100000000000001" customHeight="1" x14ac:dyDescent="0.25">
      <c r="A334" s="122"/>
      <c r="B334" s="122"/>
      <c r="F334" s="119">
        <f>1/25.4*32.5</f>
        <v>1.2795275590551181</v>
      </c>
      <c r="M334" s="123"/>
      <c r="N334" s="123"/>
      <c r="O334" s="123"/>
      <c r="W334" s="122"/>
      <c r="AA334" s="122"/>
    </row>
    <row r="335" spans="1:27" s="118" customFormat="1" ht="20.100000000000001" customHeight="1" x14ac:dyDescent="0.25">
      <c r="F335" s="118" t="s">
        <v>610</v>
      </c>
      <c r="H335" s="120"/>
      <c r="M335" s="121"/>
      <c r="N335" s="121"/>
      <c r="O335" s="121"/>
      <c r="Q335" s="120"/>
      <c r="R335" s="120"/>
      <c r="S335" s="120"/>
      <c r="T335" s="120"/>
      <c r="U335" s="120"/>
      <c r="V335" s="120"/>
    </row>
    <row r="336" spans="1:27" s="119" customFormat="1" ht="20.100000000000001" customHeight="1" x14ac:dyDescent="0.25">
      <c r="A336" s="122"/>
      <c r="B336" s="122"/>
      <c r="F336" s="119">
        <f>1/25.4*33</f>
        <v>1.2992125984251968</v>
      </c>
      <c r="M336" s="123"/>
      <c r="N336" s="123"/>
      <c r="O336" s="123"/>
      <c r="W336" s="122"/>
      <c r="AA336" s="122"/>
    </row>
    <row r="337" spans="1:27" s="118" customFormat="1" ht="20.100000000000001" customHeight="1" x14ac:dyDescent="0.25">
      <c r="F337" s="118" t="s">
        <v>635</v>
      </c>
      <c r="H337" s="120"/>
      <c r="M337" s="121"/>
      <c r="N337" s="121"/>
      <c r="O337" s="121"/>
      <c r="Q337" s="120"/>
      <c r="R337" s="120"/>
      <c r="S337" s="120"/>
      <c r="T337" s="120"/>
      <c r="U337" s="120"/>
      <c r="V337" s="120"/>
    </row>
    <row r="338" spans="1:27" s="119" customFormat="1" ht="20.100000000000001" customHeight="1" x14ac:dyDescent="0.25">
      <c r="A338" s="122"/>
      <c r="B338" s="122"/>
      <c r="F338" s="119">
        <f>1/25.4*33.5</f>
        <v>1.3188976377952755</v>
      </c>
      <c r="M338" s="123"/>
      <c r="N338" s="123"/>
      <c r="O338" s="123"/>
      <c r="W338" s="122"/>
      <c r="AA338" s="122"/>
    </row>
    <row r="339" spans="1:27" s="118" customFormat="1" ht="20.100000000000001" customHeight="1" x14ac:dyDescent="0.25">
      <c r="F339" s="118" t="s">
        <v>611</v>
      </c>
      <c r="H339" s="120"/>
      <c r="M339" s="121"/>
      <c r="N339" s="121"/>
      <c r="O339" s="121"/>
      <c r="Q339" s="120"/>
      <c r="R339" s="120"/>
      <c r="S339" s="120"/>
      <c r="T339" s="120"/>
      <c r="U339" s="120"/>
      <c r="V339" s="120"/>
    </row>
    <row r="340" spans="1:27" s="119" customFormat="1" ht="20.100000000000001" customHeight="1" x14ac:dyDescent="0.25">
      <c r="A340" s="122"/>
      <c r="B340" s="122"/>
      <c r="F340" s="119">
        <f>1/25.4*34</f>
        <v>1.3385826771653544</v>
      </c>
      <c r="M340" s="123"/>
      <c r="N340" s="123"/>
      <c r="O340" s="123"/>
      <c r="W340" s="122"/>
      <c r="AA340" s="122"/>
    </row>
    <row r="341" spans="1:27" s="118" customFormat="1" ht="20.100000000000001" customHeight="1" x14ac:dyDescent="0.25">
      <c r="F341" s="118" t="s">
        <v>636</v>
      </c>
      <c r="H341" s="120"/>
      <c r="M341" s="121"/>
      <c r="N341" s="121"/>
      <c r="O341" s="121"/>
      <c r="Q341" s="120"/>
      <c r="R341" s="120"/>
      <c r="S341" s="120"/>
      <c r="T341" s="120"/>
      <c r="U341" s="120"/>
      <c r="V341" s="120"/>
    </row>
    <row r="342" spans="1:27" s="119" customFormat="1" ht="20.100000000000001" customHeight="1" x14ac:dyDescent="0.25">
      <c r="A342" s="122"/>
      <c r="B342" s="122"/>
      <c r="F342" s="119">
        <f>1/25.4*34.5</f>
        <v>1.3582677165354331</v>
      </c>
      <c r="M342" s="123"/>
      <c r="N342" s="123"/>
      <c r="O342" s="123"/>
      <c r="W342" s="122"/>
      <c r="AA342" s="122"/>
    </row>
    <row r="343" spans="1:27" s="118" customFormat="1" ht="20.100000000000001" customHeight="1" x14ac:dyDescent="0.25">
      <c r="F343" s="118" t="s">
        <v>612</v>
      </c>
      <c r="H343" s="120"/>
      <c r="M343" s="121"/>
      <c r="N343" s="121"/>
      <c r="O343" s="121"/>
      <c r="Q343" s="120"/>
      <c r="R343" s="120"/>
      <c r="S343" s="120"/>
      <c r="T343" s="120"/>
      <c r="U343" s="120"/>
      <c r="V343" s="120"/>
    </row>
    <row r="344" spans="1:27" s="119" customFormat="1" ht="20.100000000000001" customHeight="1" x14ac:dyDescent="0.25">
      <c r="A344" s="122"/>
      <c r="B344" s="122"/>
      <c r="F344" s="119">
        <f>1/25.4*35</f>
        <v>1.3779527559055118</v>
      </c>
      <c r="M344" s="123"/>
      <c r="N344" s="123"/>
      <c r="O344" s="123"/>
      <c r="W344" s="122"/>
      <c r="AA344" s="122"/>
    </row>
    <row r="345" spans="1:27" s="118" customFormat="1" ht="20.100000000000001" customHeight="1" x14ac:dyDescent="0.25">
      <c r="F345" s="118" t="s">
        <v>637</v>
      </c>
      <c r="H345" s="120"/>
      <c r="M345" s="121"/>
      <c r="N345" s="121"/>
      <c r="O345" s="121"/>
      <c r="Q345" s="120"/>
      <c r="R345" s="120"/>
      <c r="S345" s="120"/>
      <c r="T345" s="120"/>
      <c r="U345" s="120"/>
      <c r="V345" s="120"/>
    </row>
    <row r="346" spans="1:27" s="119" customFormat="1" ht="20.100000000000001" customHeight="1" x14ac:dyDescent="0.25">
      <c r="A346" s="122"/>
      <c r="B346" s="122"/>
      <c r="F346" s="119">
        <f>1/25.4*35.5</f>
        <v>1.3976377952755905</v>
      </c>
      <c r="M346" s="123"/>
      <c r="N346" s="123"/>
      <c r="O346" s="123"/>
      <c r="W346" s="122"/>
      <c r="AA346" s="122"/>
    </row>
    <row r="347" spans="1:27" s="118" customFormat="1" ht="20.100000000000001" customHeight="1" x14ac:dyDescent="0.25">
      <c r="F347" s="118" t="s">
        <v>613</v>
      </c>
      <c r="H347" s="120"/>
      <c r="M347" s="121"/>
      <c r="N347" s="121"/>
      <c r="O347" s="121"/>
      <c r="Q347" s="120"/>
      <c r="R347" s="120"/>
      <c r="S347" s="120"/>
      <c r="T347" s="120"/>
      <c r="U347" s="120"/>
      <c r="V347" s="120"/>
    </row>
    <row r="348" spans="1:27" s="119" customFormat="1" ht="20.100000000000001" customHeight="1" x14ac:dyDescent="0.25">
      <c r="A348" s="122"/>
      <c r="B348" s="122"/>
      <c r="F348" s="119">
        <f>1/25.4*36</f>
        <v>1.4173228346456692</v>
      </c>
      <c r="M348" s="123"/>
      <c r="N348" s="123"/>
      <c r="O348" s="123"/>
      <c r="W348" s="122"/>
      <c r="AA348" s="122"/>
    </row>
    <row r="349" spans="1:27" s="118" customFormat="1" ht="20.100000000000001" customHeight="1" x14ac:dyDescent="0.25">
      <c r="F349" s="118" t="s">
        <v>638</v>
      </c>
      <c r="H349" s="120"/>
      <c r="M349" s="121"/>
      <c r="N349" s="121"/>
      <c r="O349" s="121"/>
      <c r="Q349" s="120"/>
      <c r="R349" s="120"/>
      <c r="S349" s="120"/>
      <c r="T349" s="120"/>
      <c r="U349" s="120"/>
      <c r="V349" s="120"/>
    </row>
    <row r="350" spans="1:27" s="119" customFormat="1" ht="20.100000000000001" customHeight="1" x14ac:dyDescent="0.25">
      <c r="A350" s="122"/>
      <c r="B350" s="122"/>
      <c r="F350" s="119">
        <f>1/25.4*36.5</f>
        <v>1.4370078740157479</v>
      </c>
      <c r="M350" s="123"/>
      <c r="N350" s="123"/>
      <c r="O350" s="123"/>
      <c r="W350" s="122"/>
      <c r="AA350" s="122"/>
    </row>
    <row r="351" spans="1:27" s="118" customFormat="1" ht="19.5" customHeight="1" x14ac:dyDescent="0.25">
      <c r="F351" s="118" t="s">
        <v>614</v>
      </c>
      <c r="H351" s="120"/>
      <c r="M351" s="121"/>
      <c r="N351" s="121"/>
      <c r="O351" s="121"/>
      <c r="Q351" s="120"/>
      <c r="R351" s="120"/>
      <c r="S351" s="120"/>
      <c r="T351" s="120"/>
      <c r="U351" s="120"/>
      <c r="V351" s="120"/>
    </row>
    <row r="352" spans="1:27" s="119" customFormat="1" ht="20.100000000000001" customHeight="1" x14ac:dyDescent="0.25">
      <c r="A352" s="122"/>
      <c r="B352" s="122"/>
      <c r="F352" s="119">
        <f>1/25.4*37</f>
        <v>1.4566929133858268</v>
      </c>
      <c r="M352" s="123"/>
      <c r="N352" s="123"/>
      <c r="O352" s="123"/>
      <c r="W352" s="122"/>
      <c r="AA352" s="122"/>
    </row>
    <row r="353" spans="1:27" s="118" customFormat="1" ht="19.5" customHeight="1" x14ac:dyDescent="0.25">
      <c r="F353" s="118" t="s">
        <v>639</v>
      </c>
      <c r="H353" s="120"/>
      <c r="M353" s="121"/>
      <c r="N353" s="121"/>
      <c r="O353" s="121"/>
      <c r="Q353" s="120"/>
      <c r="R353" s="120"/>
      <c r="S353" s="120"/>
      <c r="T353" s="120"/>
      <c r="U353" s="120"/>
      <c r="V353" s="120"/>
    </row>
    <row r="354" spans="1:27" s="119" customFormat="1" ht="20.100000000000001" customHeight="1" x14ac:dyDescent="0.25">
      <c r="A354" s="122"/>
      <c r="B354" s="122"/>
      <c r="F354" s="119">
        <f>1/25.4*37.5</f>
        <v>1.4763779527559056</v>
      </c>
      <c r="M354" s="123"/>
      <c r="N354" s="123"/>
      <c r="O354" s="123"/>
      <c r="W354" s="122"/>
      <c r="AA354" s="122"/>
    </row>
    <row r="355" spans="1:27" s="118" customFormat="1" ht="19.5" customHeight="1" x14ac:dyDescent="0.25">
      <c r="F355" s="118" t="s">
        <v>615</v>
      </c>
      <c r="H355" s="120"/>
      <c r="M355" s="121"/>
      <c r="N355" s="121"/>
      <c r="O355" s="121"/>
      <c r="Q355" s="120"/>
      <c r="R355" s="120"/>
      <c r="S355" s="120"/>
      <c r="T355" s="120"/>
      <c r="U355" s="120"/>
      <c r="V355" s="120"/>
    </row>
    <row r="356" spans="1:27" s="119" customFormat="1" ht="20.100000000000001" customHeight="1" x14ac:dyDescent="0.25">
      <c r="A356" s="122"/>
      <c r="B356" s="122"/>
      <c r="F356" s="119">
        <f>1/25.4*38</f>
        <v>1.4960629921259843</v>
      </c>
      <c r="M356" s="123"/>
      <c r="N356" s="123"/>
      <c r="O356" s="123"/>
      <c r="W356" s="122"/>
      <c r="AA356" s="122"/>
    </row>
  </sheetData>
  <sheetProtection algorithmName="SHA-512" hashValue="yUKr2GAh0XkzX/BzYrM2QoVKtYzV/giZWhaDH7gRh5cGZCBFXe1PaVsUQ7gM9U17MdhVyNf+tD9pKXSqXeAeyQ==" saltValue="c/EUd+Hnun9Bhhy4kmwGyw==" spinCount="100000" sheet="1" objects="1" scenarios="1" selectLockedCells="1" selectUnlockedCells="1"/>
  <dataConsolidate link="1"/>
  <conditionalFormatting sqref="A171:XFD171 A173:XFD173 A175:XFD175 A177:XFD177 A179:XFD179 A181:XFD181 A183:XFD183 A185:XFD185 A187:XFD187 A189:XFD189 A191:XFD191 A193:XFD193 A195:XFD195 A197:XFD197 A199:XFD199 A201:XFD201 A203:XFD203 A205:XFD205 A207:XFD207 A209:XFD209 A211:XFD211 A213:XFD213 A215:XFD215 A251:XFD251 A253:XFD253 A255:XFD255 A249:XFD249 A259:XFD259 A261:XFD261 A263:XFD263 A271:XFD271 A273:XFD273 A275:XFD275 A277:XFD277 A279:XFD279 A281:XFD281 A283:XFD283 A285:XFD285 A287:XFD287 A289:XFD289 A291:XFD291 A293:XFD293 A295:XFD295 A297:XFD297 A299:XFD299 A301:XFD301 A303:XFD303 A305:XFD305 A307:XFD307 A309:XFD309 A311:XFD311 A313:XFD313 A315:XFD315 A317:XFD317 A319:XFD319 A321:XFD321 A323:XFD323 A325:XFD325 A327:XFD327 A329:XFD329 A331:XFD331 A333:XFD333 A335:XFD335 A337:XFD337 A339:XFD339 A341:XFD341 A343:XFD343 A345:XFD345 A347:XFD347 A349:XFD349 A265:XFD265 A267:XFD267 A269:XFD269 A351:XFD351 A257:XFD257 A91:XFD91 A93:XFD93 A95:XFD95 A97:XFD97 A99:XFD99 A101:XFD101 A103:XFD103 A105:XFD105 A107:XFD107 A109:XFD109 A111:XFD111 A113:XFD113 A115:XFD115 A117:XFD117 A119:XFD119 A121:XFD121 A123:XFD123 A125:XFD125 A127:XFD127 A129:XFD129 A131:XFD131 A133:XFD133 A135:XFD135 A137:XFD137 A139:XFD139 A141:XFD141 A143:XFD143 A145:XFD145 A147:XFD147 A149:XFD149 A151:XFD151 A153:XFD153 A155:XFD155 A157:XFD157 A159:XFD159 A161:XFD161 A163:XFD163 A165:XFD165 A167:XFD167 A169:XFD169 A355:XFD355 A217:XFD217 A247:XFD247 A245:XFD245 A243:XFD243 A241:XFD241 A239:XFD239 A237:XFD237 A235:XFD235 A233:XFD233 A231:XFD231 A229:XFD229 A227:XFD227 A225:XFD225 A223:XFD223 A221:XFD221 A219:XFD219 A353:XFD353 A45:XFD45 A43:XFD43 A47:XFD47 A49:XFD49 A51:XFD51 A53:XFD53 A55:XFD55 A57:XFD57 A59:XFD59 A61:XFD61 A63:XFD63 A65:XFD65 A67:XFD67 A69:XFD69 A71:XFD71 A73:XFD73 A75:XFD75 A77:XFD77 A79:XFD79 A81:XFD81 A83:XFD83 A85:XFD85 A87:XFD87 A89:XFD89">
    <cfRule type="expression" dxfId="9" priority="54">
      <formula>ISNUMBER(A43)</formula>
    </cfRule>
  </conditionalFormatting>
  <conditionalFormatting sqref="E225:F225 E227:F227 E229:F229 E231:F231 E233:F233 E235:F235 E237:F237 E239:F239 E241:F241 E245:F245 E247:F247 E243:F243">
    <cfRule type="expression" dxfId="8" priority="40">
      <formula>ISNUMBER(E225)</formula>
    </cfRule>
  </conditionalFormatting>
  <conditionalFormatting sqref="E243:F243">
    <cfRule type="expression" dxfId="7" priority="37">
      <formula>ISNUMBER(E243)</formula>
    </cfRule>
  </conditionalFormatting>
  <conditionalFormatting sqref="E249">
    <cfRule type="expression" dxfId="6" priority="36">
      <formula>ISNUMBER(E249)</formula>
    </cfRule>
  </conditionalFormatting>
  <conditionalFormatting sqref="E249">
    <cfRule type="expression" dxfId="5" priority="35">
      <formula>ISNUMBER(E249)</formula>
    </cfRule>
  </conditionalFormatting>
  <conditionalFormatting sqref="A11:XFD11">
    <cfRule type="expression" dxfId="4" priority="33">
      <formula>A12&lt;A11</formula>
    </cfRule>
  </conditionalFormatting>
  <conditionalFormatting sqref="A12:XFD12">
    <cfRule type="expression" dxfId="3" priority="32">
      <formula>A12&lt;A11</formula>
    </cfRule>
  </conditionalFormatting>
  <conditionalFormatting sqref="A1:XFD1">
    <cfRule type="expression" dxfId="2" priority="2">
      <formula>AND(ISBLANK(A$1), NOT(ISBLANK(A$3)))</formula>
    </cfRule>
    <cfRule type="expression" dxfId="1" priority="7">
      <formula>COUNTIF($1:$1,A1)&gt;1</formula>
    </cfRule>
  </conditionalFormatting>
  <conditionalFormatting sqref="A3:XFD3">
    <cfRule type="expression" dxfId="0" priority="1">
      <formula>AND($A1=$A2, $A1&lt;&gt;$A3)</formula>
    </cfRule>
  </conditionalFormatting>
  <dataValidations count="15">
    <dataValidation type="list" allowBlank="1" showInputMessage="1" showErrorMessage="1" promptTitle="Matériau de l'outil de coupe" prompt="[Matoutil]" sqref="Y16:Z22 P16:V22 W15:X22 P13:Z14 AA13:XFD22 A13:O22" xr:uid="{E717B174-34BC-4D3C-951F-6C5949BD6C79}">
      <formula1>tblVitesseMatOutil</formula1>
    </dataValidation>
    <dataValidation type="whole" allowBlank="1" showErrorMessage="1" sqref="AD3:XFD3" xr:uid="{DD12D19F-C725-44D6-9BEF-CCB95554DB6D}">
      <formula1>0</formula1>
      <formula2>3</formula2>
    </dataValidation>
    <dataValidation allowBlank="1" showInputMessage="1" showErrorMessage="1" promptTitle="Liste des diamètres" prompt="- (gris) Appellation du Ø_x000a_- (blanc) Ø en pouces" sqref="A43:XFD356" xr:uid="{A04B9FFD-55F8-4302-950C-8C9E791DFC20}"/>
    <dataValidation allowBlank="1" showInputMessage="1" showErrorMessage="1" promptTitle="Pour ajouter une image outil" prompt="1-Fonction &quot;Enlever l'arrière plan&quot;_x000a_2-Ajuster la dimension de l'image_x000a_3-Compresser en qualité courriel" sqref="A2:XFD2" xr:uid="{0FFF6E8C-48E9-4F69-A951-146CBAF54085}"/>
    <dataValidation allowBlank="1" showInputMessage="1" showErrorMessage="1" promptTitle="Format général d'appellation" prompt="[NoCol]  [NomOutil]  [Commentaires]  [Operation]  [Critere]  [IdDia]  [Pas]  [Dia]  [NbDent]  [Matoutil]  [Couleur]  [FactVc]  [FactAv]  [LimitRpm]  [LimitAv]" sqref="A4:XFD4" xr:uid="{6B9931F7-EB5A-4417-BFBC-F676BC65F9DA}"/>
    <dataValidation type="decimal" operator="greaterThan" allowBlank="1" showInputMessage="1" showErrorMessage="1" promptTitle="Avance par dent maximale" prompt="[LimitAv]" sqref="A10:XFD10" xr:uid="{A287C5B1-120E-4C33-B23E-2872857CC724}">
      <formula1>0</formula1>
    </dataValidation>
    <dataValidation type="list" allowBlank="1" showInputMessage="1" showErrorMessage="1" promptTitle="Opération d'usinage" prompt="[Operation]" sqref="A6:XFD6" xr:uid="{165587D8-8F68-4E92-96C9-67A99E18F6ED}">
      <formula1>INDIRECT("tblAvance[Opération]")</formula1>
    </dataValidation>
    <dataValidation allowBlank="1" showInputMessage="1" showErrorMessage="1" promptTitle="Commentaire affiché au quiz" prompt="[Commentaires]" sqref="A5:XFD5" xr:uid="{79E7BDC9-9ECB-413C-BE35-DBDFCC3A046E}"/>
    <dataValidation type="whole" operator="greaterThanOrEqual" allowBlank="1" showInputMessage="1" showErrorMessage="1" promptTitle="Nombre de dents minimum" prompt="[NbDent]" sqref="A11:XFD11" xr:uid="{B6B6EB27-6D1C-46B8-B855-272DA10D9784}">
      <formula1>1</formula1>
    </dataValidation>
    <dataValidation type="decimal" operator="greaterThan" allowBlank="1" showInputMessage="1" showErrorMessage="1" promptTitle="Vitesse maximale de révolution" prompt="[LimitRpm]" sqref="A9:XFD9" xr:uid="{D5BDF120-8C23-4A3E-9FB5-4BAD06E7CF82}">
      <formula1>0</formula1>
    </dataValidation>
    <dataValidation type="decimal" operator="greaterThan" allowBlank="1" showInputMessage="1" showErrorMessage="1" promptTitle="Facteur d'ajustement - Av" prompt="[FactAv]" sqref="A8:XFD8" xr:uid="{1C5490D8-490D-42DA-8983-E7B6FB202D57}">
      <formula1>0</formula1>
    </dataValidation>
    <dataValidation type="decimal" operator="greaterThan" allowBlank="1" showInputMessage="1" showErrorMessage="1" promptTitle="Facteur d'ajustement - Vc" prompt="[FactVc]" sqref="A7:XFD7" xr:uid="{93597935-A23E-465C-A2F4-7D6F499CCE99}">
      <formula1>0</formula1>
    </dataValidation>
    <dataValidation allowBlank="1" showInputMessage="1" showErrorMessage="1" promptTitle="Nom du type d'outil" prompt="[NomOutil]" sqref="A1:XFD1" xr:uid="{98216B73-3361-45E1-AAFF-2BE3590BE7C4}"/>
    <dataValidation type="whole" operator="greaterThanOrEqual" allowBlank="1" showInputMessage="1" showErrorMessage="1" promptTitle="Nombre de dents maximum" prompt="[NbDent]" sqref="A12:XFD12" xr:uid="{23EAABC5-F8DE-4C34-95F2-43F5EDF36A86}">
      <formula1>1</formula1>
    </dataValidation>
    <dataValidation type="whole" allowBlank="1" showInputMessage="1" showErrorMessage="1" sqref="A3:AC3" xr:uid="{9EF4C552-B688-453B-BC64-706C3C3C5A25}">
      <formula1>0</formula1>
      <formula2>3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6742" r:id="rId4" name="CheckBox2">
          <controlPr defaultSize="0" disabled="1" autoLine="0" r:id="rId5">
            <anchor>
              <from>
                <xdr:col>2</xdr:col>
                <xdr:colOff>914400</xdr:colOff>
                <xdr:row>0</xdr:row>
                <xdr:rowOff>47625</xdr:rowOff>
              </from>
              <to>
                <xdr:col>3</xdr:col>
                <xdr:colOff>790575</xdr:colOff>
                <xdr:row>0</xdr:row>
                <xdr:rowOff>361950</xdr:rowOff>
              </to>
            </anchor>
          </controlPr>
        </control>
      </mc:Choice>
      <mc:Fallback>
        <control shapeId="116742" r:id="rId4" name="CheckBox2"/>
      </mc:Fallback>
    </mc:AlternateContent>
    <mc:AlternateContent xmlns:mc="http://schemas.openxmlformats.org/markup-compatibility/2006">
      <mc:Choice Requires="x14">
        <control shapeId="116737" r:id="rId6" name="TextBox1">
          <controlPr defaultSize="0" disabled="1" autoLine="0" r:id="rId7">
            <anchor>
              <from>
                <xdr:col>0</xdr:col>
                <xdr:colOff>876300</xdr:colOff>
                <xdr:row>0</xdr:row>
                <xdr:rowOff>38100</xdr:rowOff>
              </from>
              <to>
                <xdr:col>2</xdr:col>
                <xdr:colOff>828675</xdr:colOff>
                <xdr:row>0</xdr:row>
                <xdr:rowOff>428625</xdr:rowOff>
              </to>
            </anchor>
          </controlPr>
        </control>
      </mc:Choice>
      <mc:Fallback>
        <control shapeId="116737" r:id="rId6" name="TextBox1"/>
      </mc:Fallback>
    </mc:AlternateContent>
    <mc:AlternateContent xmlns:mc="http://schemas.openxmlformats.org/markup-compatibility/2006">
      <mc:Choice Requires="x14">
        <control shapeId="116740" r:id="rId8" name="CheckBox1">
          <controlPr defaultSize="0" disabled="1" autoLine="0" r:id="rId9">
            <anchor>
              <from>
                <xdr:col>3</xdr:col>
                <xdr:colOff>1000125</xdr:colOff>
                <xdr:row>0</xdr:row>
                <xdr:rowOff>47625</xdr:rowOff>
              </from>
              <to>
                <xdr:col>4</xdr:col>
                <xdr:colOff>1143000</xdr:colOff>
                <xdr:row>0</xdr:row>
                <xdr:rowOff>361950</xdr:rowOff>
              </to>
            </anchor>
          </controlPr>
        </control>
      </mc:Choice>
      <mc:Fallback>
        <control shapeId="116740" r:id="rId8" name="CheckBox1"/>
      </mc:Fallback>
    </mc:AlternateContent>
    <mc:AlternateContent xmlns:mc="http://schemas.openxmlformats.org/markup-compatibility/2006">
      <mc:Choice Requires="x14">
        <control shapeId="116741" r:id="rId10" name="TextBox2">
          <controlPr defaultSize="0" disabled="1" autoLine="0" r:id="rId11">
            <anchor>
              <from>
                <xdr:col>4</xdr:col>
                <xdr:colOff>1295400</xdr:colOff>
                <xdr:row>0</xdr:row>
                <xdr:rowOff>47625</xdr:rowOff>
              </from>
              <to>
                <xdr:col>4</xdr:col>
                <xdr:colOff>1952625</xdr:colOff>
                <xdr:row>0</xdr:row>
                <xdr:rowOff>342900</xdr:rowOff>
              </to>
            </anchor>
          </controlPr>
        </control>
      </mc:Choice>
      <mc:Fallback>
        <control shapeId="116741" r:id="rId10" name="Text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844CCB-B327-42A3-9EFF-39FC270572DB}">
          <x14:formula1>
            <xm:f>_xlfn.ANCHORARRAY('Vitesses de coupe'!$K$1)</xm:f>
          </x14:formula1>
          <xm:sqref>A23:XFD42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20782-DE09-4EC0-B78C-FABDEC7C47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Quiz - Menu Principal</vt:lpstr>
      <vt:lpstr>Vitesses de coupe</vt:lpstr>
      <vt:lpstr>Avances d'usinage</vt:lpstr>
      <vt:lpstr>Liste d'outils</vt:lpstr>
      <vt:lpstr>'Rapport de réussite'!Impression_des_titres</vt:lpstr>
      <vt:lpstr>'Liste d''outils'!tblVitesseMatOutil</vt:lpstr>
      <vt:lpstr>tblVitesseMatOutil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Thierry Leroux Paquette</dc:creator>
  <cp:lastModifiedBy>Leroux-Paquette Thierry</cp:lastModifiedBy>
  <cp:revision>54321</cp:revision>
  <cp:lastPrinted>2025-02-11T15:24:24Z</cp:lastPrinted>
  <dcterms:created xsi:type="dcterms:W3CDTF">2022-03-10T18:35:21Z</dcterms:created>
  <dcterms:modified xsi:type="dcterms:W3CDTF">2025-04-29T20:19:39Z</dcterms:modified>
</cp:coreProperties>
</file>