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A31E53FE-5180-4D0C-BE94-B1E7CA7613BF}" xr6:coauthVersionLast="47" xr6:coauthVersionMax="47" xr10:uidLastSave="{00000000-0000-0000-0000-000000000000}"/>
  <bookViews>
    <workbookView xWindow="-120" yWindow="-120" windowWidth="38640" windowHeight="21120" tabRatio="888" xr2:uid="{00000000-000D-0000-FFFF-FFFF00000000}"/>
  </bookViews>
  <sheets>
    <sheet name="汇总" sheetId="4" r:id="rId1"/>
    <sheet name="1#厂房" sheetId="56" r:id="rId2"/>
    <sheet name="2#厂房" sheetId="57" r:id="rId3"/>
    <sheet name="3#厂房" sheetId="58" r:id="rId4"/>
  </sheets>
  <definedNames>
    <definedName name="_xlnm.Print_Titles" localSheetId="1">'1#厂房'!$1:$1</definedName>
    <definedName name="_xlnm.Print_Titles" localSheetId="2">'2#厂房'!$1:$1</definedName>
    <definedName name="_xlnm.Print_Titles" localSheetId="3">'3#厂房'!$1:$1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58" l="1"/>
  <c r="E6" i="58"/>
  <c r="E5" i="58"/>
  <c r="F5" i="58" s="1"/>
  <c r="E4" i="58"/>
  <c r="F4" i="58" s="1"/>
  <c r="E3" i="58"/>
  <c r="E15" i="58"/>
  <c r="E14" i="58"/>
  <c r="E13" i="58"/>
  <c r="E12" i="58"/>
  <c r="E11" i="58"/>
  <c r="F11" i="58" s="1"/>
  <c r="E10" i="58"/>
  <c r="E9" i="58"/>
  <c r="E8" i="58"/>
  <c r="F6" i="58"/>
  <c r="F10" i="58"/>
  <c r="F12" i="58"/>
  <c r="C15" i="58"/>
  <c r="F15" i="58" s="1"/>
  <c r="C14" i="58"/>
  <c r="F14" i="58" s="1"/>
  <c r="C13" i="58"/>
  <c r="F13" i="58" s="1"/>
  <c r="C12" i="58"/>
  <c r="C11" i="58"/>
  <c r="C10" i="58"/>
  <c r="C9" i="58"/>
  <c r="F9" i="58" s="1"/>
  <c r="C8" i="58"/>
  <c r="F8" i="58" s="1"/>
  <c r="C7" i="58"/>
  <c r="F7" i="58" s="1"/>
  <c r="C6" i="58"/>
  <c r="C5" i="58"/>
  <c r="C4" i="58"/>
  <c r="C3" i="58"/>
  <c r="F3" i="58" s="1"/>
  <c r="C10" i="4" s="1"/>
  <c r="E10" i="4" s="1"/>
  <c r="F2" i="58"/>
  <c r="F16" i="58" s="1"/>
  <c r="D13" i="57"/>
  <c r="C13" i="57"/>
  <c r="F13" i="57" s="1"/>
  <c r="D12" i="57"/>
  <c r="C12" i="57"/>
  <c r="D11" i="57"/>
  <c r="C11" i="57"/>
  <c r="F11" i="57" s="1"/>
  <c r="C9" i="57"/>
  <c r="D9" i="57"/>
  <c r="C10" i="57"/>
  <c r="F10" i="57" s="1"/>
  <c r="F8" i="57"/>
  <c r="C8" i="57"/>
  <c r="C7" i="57"/>
  <c r="F7" i="57" s="1"/>
  <c r="F6" i="57"/>
  <c r="E65" i="57"/>
  <c r="E64" i="57"/>
  <c r="D64" i="57"/>
  <c r="E63" i="57"/>
  <c r="D63" i="57"/>
  <c r="C63" i="57"/>
  <c r="F63" i="57" s="1"/>
  <c r="E62" i="57"/>
  <c r="D62" i="57"/>
  <c r="D61" i="57"/>
  <c r="D60" i="57"/>
  <c r="E58" i="57"/>
  <c r="D58" i="57"/>
  <c r="C58" i="57"/>
  <c r="D57" i="57"/>
  <c r="C57" i="57"/>
  <c r="D56" i="57"/>
  <c r="C56" i="57"/>
  <c r="F56" i="57" s="1"/>
  <c r="D55" i="57"/>
  <c r="C55" i="57"/>
  <c r="D54" i="57"/>
  <c r="C54" i="57"/>
  <c r="D53" i="57"/>
  <c r="C53" i="57"/>
  <c r="D52" i="57"/>
  <c r="C51" i="57"/>
  <c r="F51" i="57" s="1"/>
  <c r="C50" i="57"/>
  <c r="F50" i="57" s="1"/>
  <c r="C66" i="57"/>
  <c r="F66" i="57" s="1"/>
  <c r="C65" i="57"/>
  <c r="C64" i="57"/>
  <c r="C62" i="57"/>
  <c r="C61" i="57"/>
  <c r="F61" i="57" s="1"/>
  <c r="C60" i="57"/>
  <c r="C59" i="57"/>
  <c r="F59" i="57" s="1"/>
  <c r="C52" i="57"/>
  <c r="C49" i="57"/>
  <c r="F49" i="57" s="1"/>
  <c r="C48" i="57"/>
  <c r="F48" i="57" s="1"/>
  <c r="C47" i="57"/>
  <c r="F47" i="57" s="1"/>
  <c r="F46" i="57"/>
  <c r="D45" i="57"/>
  <c r="C45" i="57"/>
  <c r="C43" i="57"/>
  <c r="F43" i="57" s="1"/>
  <c r="C42" i="57"/>
  <c r="F42" i="57" s="1"/>
  <c r="E39" i="57"/>
  <c r="C39" i="57"/>
  <c r="E38" i="57"/>
  <c r="E37" i="57"/>
  <c r="D37" i="57"/>
  <c r="C38" i="57"/>
  <c r="C37" i="57"/>
  <c r="C36" i="57"/>
  <c r="F36" i="57" s="1"/>
  <c r="C35" i="57"/>
  <c r="F35" i="57" s="1"/>
  <c r="C34" i="57"/>
  <c r="F34" i="57" s="1"/>
  <c r="D30" i="57"/>
  <c r="C30" i="57"/>
  <c r="E33" i="57"/>
  <c r="D33" i="57"/>
  <c r="C33" i="57"/>
  <c r="C32" i="57"/>
  <c r="F32" i="57" s="1"/>
  <c r="E44" i="57"/>
  <c r="D44" i="57"/>
  <c r="C44" i="57"/>
  <c r="E41" i="57"/>
  <c r="C41" i="57"/>
  <c r="F40" i="57"/>
  <c r="E27" i="57"/>
  <c r="C27" i="57"/>
  <c r="E31" i="57"/>
  <c r="E29" i="57"/>
  <c r="E26" i="57"/>
  <c r="E24" i="57"/>
  <c r="E23" i="57"/>
  <c r="E22" i="57"/>
  <c r="E21" i="57"/>
  <c r="E20" i="57"/>
  <c r="E19" i="57"/>
  <c r="E18" i="57"/>
  <c r="E17" i="57"/>
  <c r="E16" i="57"/>
  <c r="E15" i="57"/>
  <c r="E5" i="57"/>
  <c r="E4" i="57"/>
  <c r="E3" i="57"/>
  <c r="C31" i="57"/>
  <c r="F31" i="57" s="1"/>
  <c r="C29" i="57"/>
  <c r="F29" i="57" s="1"/>
  <c r="F28" i="57"/>
  <c r="C26" i="57"/>
  <c r="F25" i="57"/>
  <c r="E348" i="56"/>
  <c r="C348" i="56"/>
  <c r="F348" i="56" s="1"/>
  <c r="E347" i="56"/>
  <c r="C347" i="56"/>
  <c r="E346" i="56"/>
  <c r="C346" i="56"/>
  <c r="F346" i="56" s="1"/>
  <c r="C24" i="57"/>
  <c r="F24" i="57" s="1"/>
  <c r="C23" i="57"/>
  <c r="C22" i="57"/>
  <c r="C21" i="57"/>
  <c r="C20" i="57"/>
  <c r="C4" i="57"/>
  <c r="C19" i="57"/>
  <c r="C18" i="57"/>
  <c r="C17" i="57"/>
  <c r="C16" i="57"/>
  <c r="C15" i="57"/>
  <c r="F14" i="57"/>
  <c r="D5" i="57"/>
  <c r="C5" i="57"/>
  <c r="D3" i="57"/>
  <c r="C3" i="57"/>
  <c r="F2" i="57"/>
  <c r="E326" i="56"/>
  <c r="C326" i="56"/>
  <c r="E325" i="56"/>
  <c r="C325" i="56"/>
  <c r="E324" i="56"/>
  <c r="C324" i="56"/>
  <c r="E323" i="56"/>
  <c r="C323" i="56"/>
  <c r="E322" i="56"/>
  <c r="F322" i="56" s="1"/>
  <c r="C322" i="56"/>
  <c r="E321" i="56"/>
  <c r="C321" i="56"/>
  <c r="E320" i="56"/>
  <c r="C320" i="56"/>
  <c r="F319" i="56"/>
  <c r="E319" i="56"/>
  <c r="C319" i="56"/>
  <c r="E318" i="56"/>
  <c r="C318" i="56"/>
  <c r="E317" i="56"/>
  <c r="C317" i="56"/>
  <c r="E316" i="56"/>
  <c r="C316" i="56"/>
  <c r="E315" i="56"/>
  <c r="C315" i="56"/>
  <c r="E314" i="56"/>
  <c r="C314" i="56"/>
  <c r="E313" i="56"/>
  <c r="C313" i="56"/>
  <c r="E299" i="56"/>
  <c r="E300" i="56"/>
  <c r="E301" i="56"/>
  <c r="E302" i="56"/>
  <c r="E303" i="56"/>
  <c r="E304" i="56"/>
  <c r="E305" i="56"/>
  <c r="E285" i="56"/>
  <c r="E286" i="56"/>
  <c r="E287" i="56"/>
  <c r="E288" i="56"/>
  <c r="E289" i="56"/>
  <c r="E290" i="56"/>
  <c r="E291" i="56"/>
  <c r="E271" i="56"/>
  <c r="E272" i="56"/>
  <c r="E273" i="56"/>
  <c r="E274" i="56"/>
  <c r="E275" i="56"/>
  <c r="E276" i="56"/>
  <c r="E277" i="56"/>
  <c r="E264" i="56"/>
  <c r="E265" i="56"/>
  <c r="E266" i="56"/>
  <c r="E267" i="56"/>
  <c r="E268" i="56"/>
  <c r="E269" i="56"/>
  <c r="E270" i="56"/>
  <c r="E250" i="56"/>
  <c r="E251" i="56"/>
  <c r="E252" i="56"/>
  <c r="E253" i="56"/>
  <c r="E254" i="56"/>
  <c r="E255" i="56"/>
  <c r="E256" i="56"/>
  <c r="E232" i="56"/>
  <c r="E233" i="56"/>
  <c r="E234" i="56"/>
  <c r="E235" i="56"/>
  <c r="F235" i="56" s="1"/>
  <c r="E236" i="56"/>
  <c r="E237" i="56"/>
  <c r="E238" i="56"/>
  <c r="E239" i="56"/>
  <c r="E240" i="56"/>
  <c r="E223" i="56"/>
  <c r="E224" i="56"/>
  <c r="E225" i="56"/>
  <c r="E226" i="56"/>
  <c r="E227" i="56"/>
  <c r="E228" i="56"/>
  <c r="E229" i="56"/>
  <c r="E230" i="56"/>
  <c r="E231" i="56"/>
  <c r="E216" i="56"/>
  <c r="E217" i="56"/>
  <c r="E218" i="56"/>
  <c r="E219" i="56"/>
  <c r="E220" i="56"/>
  <c r="E221" i="56"/>
  <c r="E222" i="56"/>
  <c r="E202" i="56"/>
  <c r="E203" i="56"/>
  <c r="E204" i="56"/>
  <c r="E205" i="56"/>
  <c r="E206" i="56"/>
  <c r="E207" i="56"/>
  <c r="E208" i="56"/>
  <c r="E201" i="56"/>
  <c r="E200" i="56"/>
  <c r="E199" i="56"/>
  <c r="E198" i="56"/>
  <c r="E197" i="56"/>
  <c r="E196" i="56"/>
  <c r="E195" i="56"/>
  <c r="E181" i="56"/>
  <c r="E182" i="56"/>
  <c r="E183" i="56"/>
  <c r="E184" i="56"/>
  <c r="E185" i="56"/>
  <c r="E186" i="56"/>
  <c r="E187" i="56"/>
  <c r="E167" i="56"/>
  <c r="E168" i="56"/>
  <c r="E169" i="56"/>
  <c r="E170" i="56"/>
  <c r="E171" i="56"/>
  <c r="E172" i="56"/>
  <c r="E173" i="56"/>
  <c r="E174" i="56"/>
  <c r="E175" i="56"/>
  <c r="E176" i="56"/>
  <c r="E177" i="56"/>
  <c r="E178" i="56"/>
  <c r="E179" i="56"/>
  <c r="E180" i="56"/>
  <c r="E188" i="56"/>
  <c r="E189" i="56"/>
  <c r="E190" i="56"/>
  <c r="E191" i="56"/>
  <c r="E192" i="56"/>
  <c r="E193" i="56"/>
  <c r="E194" i="56"/>
  <c r="E209" i="56"/>
  <c r="E210" i="56"/>
  <c r="E211" i="56"/>
  <c r="E212" i="56"/>
  <c r="E213" i="56"/>
  <c r="E214" i="56"/>
  <c r="E215" i="56"/>
  <c r="E241" i="56"/>
  <c r="E242" i="56"/>
  <c r="E243" i="56"/>
  <c r="E244" i="56"/>
  <c r="E245" i="56"/>
  <c r="E246" i="56"/>
  <c r="E247" i="56"/>
  <c r="E248" i="56"/>
  <c r="E249" i="56"/>
  <c r="E257" i="56"/>
  <c r="E258" i="56"/>
  <c r="E259" i="56"/>
  <c r="E260" i="56"/>
  <c r="E261" i="56"/>
  <c r="E262" i="56"/>
  <c r="E263" i="56"/>
  <c r="E278" i="56"/>
  <c r="E279" i="56"/>
  <c r="E280" i="56"/>
  <c r="E281" i="56"/>
  <c r="E282" i="56"/>
  <c r="E283" i="56"/>
  <c r="E284" i="56"/>
  <c r="E292" i="56"/>
  <c r="E293" i="56"/>
  <c r="E294" i="56"/>
  <c r="E295" i="56"/>
  <c r="E296" i="56"/>
  <c r="E297" i="56"/>
  <c r="E298" i="56"/>
  <c r="E306" i="56"/>
  <c r="E307" i="56"/>
  <c r="E308" i="56"/>
  <c r="E309" i="56"/>
  <c r="E310" i="56"/>
  <c r="E311" i="56"/>
  <c r="E312" i="56"/>
  <c r="F181" i="56"/>
  <c r="F183" i="56"/>
  <c r="F209" i="56"/>
  <c r="F245" i="56"/>
  <c r="F303" i="56"/>
  <c r="F309" i="56"/>
  <c r="F311" i="56"/>
  <c r="C312" i="56"/>
  <c r="C311" i="56"/>
  <c r="C310" i="56"/>
  <c r="F310" i="56" s="1"/>
  <c r="C309" i="56"/>
  <c r="C308" i="56"/>
  <c r="C307" i="56"/>
  <c r="C306" i="56"/>
  <c r="F306" i="56" s="1"/>
  <c r="C305" i="56"/>
  <c r="F305" i="56" s="1"/>
  <c r="C304" i="56"/>
  <c r="C303" i="56"/>
  <c r="C302" i="56"/>
  <c r="F302" i="56" s="1"/>
  <c r="C301" i="56"/>
  <c r="C300" i="56"/>
  <c r="C299" i="56"/>
  <c r="C298" i="56"/>
  <c r="F298" i="56" s="1"/>
  <c r="C297" i="56"/>
  <c r="F297" i="56" s="1"/>
  <c r="C296" i="56"/>
  <c r="C295" i="56"/>
  <c r="C294" i="56"/>
  <c r="C293" i="56"/>
  <c r="C292" i="56"/>
  <c r="C291" i="56"/>
  <c r="F291" i="56" s="1"/>
  <c r="C290" i="56"/>
  <c r="F290" i="56" s="1"/>
  <c r="C289" i="56"/>
  <c r="F289" i="56" s="1"/>
  <c r="C288" i="56"/>
  <c r="C287" i="56"/>
  <c r="C286" i="56"/>
  <c r="C285" i="56"/>
  <c r="F285" i="56" s="1"/>
  <c r="C284" i="56"/>
  <c r="C283" i="56"/>
  <c r="C282" i="56"/>
  <c r="C281" i="56"/>
  <c r="C280" i="56"/>
  <c r="C279" i="56"/>
  <c r="C278" i="56"/>
  <c r="F278" i="56" s="1"/>
  <c r="C277" i="56"/>
  <c r="C276" i="56"/>
  <c r="F276" i="56" s="1"/>
  <c r="C275" i="56"/>
  <c r="C274" i="56"/>
  <c r="F274" i="56" s="1"/>
  <c r="C273" i="56"/>
  <c r="C272" i="56"/>
  <c r="F272" i="56" s="1"/>
  <c r="C271" i="56"/>
  <c r="C270" i="56"/>
  <c r="C269" i="56"/>
  <c r="C268" i="56"/>
  <c r="C267" i="56"/>
  <c r="F267" i="56" s="1"/>
  <c r="C266" i="56"/>
  <c r="C265" i="56"/>
  <c r="F265" i="56" s="1"/>
  <c r="C264" i="56"/>
  <c r="C263" i="56"/>
  <c r="F263" i="56" s="1"/>
  <c r="C262" i="56"/>
  <c r="C261" i="56"/>
  <c r="F261" i="56" s="1"/>
  <c r="C260" i="56"/>
  <c r="C259" i="56"/>
  <c r="F259" i="56" s="1"/>
  <c r="C258" i="56"/>
  <c r="F258" i="56" s="1"/>
  <c r="C257" i="56"/>
  <c r="C256" i="56"/>
  <c r="C255" i="56"/>
  <c r="F255" i="56" s="1"/>
  <c r="C254" i="56"/>
  <c r="F254" i="56" s="1"/>
  <c r="C253" i="56"/>
  <c r="F253" i="56" s="1"/>
  <c r="C252" i="56"/>
  <c r="F252" i="56" s="1"/>
  <c r="C251" i="56"/>
  <c r="C250" i="56"/>
  <c r="C249" i="56"/>
  <c r="C248" i="56"/>
  <c r="C247" i="56"/>
  <c r="F247" i="56" s="1"/>
  <c r="C246" i="56"/>
  <c r="F246" i="56" s="1"/>
  <c r="C245" i="56"/>
  <c r="C244" i="56"/>
  <c r="C243" i="56"/>
  <c r="C242" i="56"/>
  <c r="F242" i="56" s="1"/>
  <c r="C241" i="56"/>
  <c r="C240" i="56"/>
  <c r="F240" i="56" s="1"/>
  <c r="C239" i="56"/>
  <c r="F239" i="56" s="1"/>
  <c r="C238" i="56"/>
  <c r="C237" i="56"/>
  <c r="F237" i="56" s="1"/>
  <c r="C236" i="56"/>
  <c r="F236" i="56" s="1"/>
  <c r="C235" i="56"/>
  <c r="C234" i="56"/>
  <c r="C233" i="56"/>
  <c r="F233" i="56" s="1"/>
  <c r="C232" i="56"/>
  <c r="F232" i="56" s="1"/>
  <c r="C231" i="56"/>
  <c r="F231" i="56" s="1"/>
  <c r="C230" i="56"/>
  <c r="F230" i="56" s="1"/>
  <c r="C229" i="56"/>
  <c r="C228" i="56"/>
  <c r="C227" i="56"/>
  <c r="C226" i="56"/>
  <c r="F226" i="56" s="1"/>
  <c r="C225" i="56"/>
  <c r="C224" i="56"/>
  <c r="C223" i="56"/>
  <c r="F223" i="56" s="1"/>
  <c r="C222" i="56"/>
  <c r="F222" i="56" s="1"/>
  <c r="C221" i="56"/>
  <c r="C220" i="56"/>
  <c r="C219" i="56"/>
  <c r="F219" i="56" s="1"/>
  <c r="C218" i="56"/>
  <c r="F218" i="56" s="1"/>
  <c r="C217" i="56"/>
  <c r="C216" i="56"/>
  <c r="C215" i="56"/>
  <c r="F215" i="56" s="1"/>
  <c r="C214" i="56"/>
  <c r="F214" i="56" s="1"/>
  <c r="C213" i="56"/>
  <c r="F213" i="56" s="1"/>
  <c r="C212" i="56"/>
  <c r="C211" i="56"/>
  <c r="F211" i="56" s="1"/>
  <c r="C210" i="56"/>
  <c r="F210" i="56" s="1"/>
  <c r="C209" i="56"/>
  <c r="C208" i="56"/>
  <c r="C207" i="56"/>
  <c r="C206" i="56"/>
  <c r="F206" i="56" s="1"/>
  <c r="C205" i="56"/>
  <c r="C204" i="56"/>
  <c r="C203" i="56"/>
  <c r="C202" i="56"/>
  <c r="F202" i="56" s="1"/>
  <c r="C201" i="56"/>
  <c r="F201" i="56" s="1"/>
  <c r="C200" i="56"/>
  <c r="F200" i="56" s="1"/>
  <c r="C199" i="56"/>
  <c r="C198" i="56"/>
  <c r="C197" i="56"/>
  <c r="C196" i="56"/>
  <c r="F196" i="56" s="1"/>
  <c r="C195" i="56"/>
  <c r="F195" i="56" s="1"/>
  <c r="C194" i="56"/>
  <c r="F194" i="56" s="1"/>
  <c r="C193" i="56"/>
  <c r="F193" i="56" s="1"/>
  <c r="C192" i="56"/>
  <c r="C191" i="56"/>
  <c r="C190" i="56"/>
  <c r="F190" i="56" s="1"/>
  <c r="C189" i="56"/>
  <c r="F189" i="56" s="1"/>
  <c r="C188" i="56"/>
  <c r="C187" i="56"/>
  <c r="C186" i="56"/>
  <c r="F186" i="56" s="1"/>
  <c r="C185" i="56"/>
  <c r="F185" i="56" s="1"/>
  <c r="C184" i="56"/>
  <c r="C183" i="56"/>
  <c r="C182" i="56"/>
  <c r="F182" i="56" s="1"/>
  <c r="C181" i="56"/>
  <c r="C180" i="56"/>
  <c r="C179" i="56"/>
  <c r="C178" i="56"/>
  <c r="C177" i="56"/>
  <c r="F177" i="56" s="1"/>
  <c r="C176" i="56"/>
  <c r="C175" i="56"/>
  <c r="F175" i="56" s="1"/>
  <c r="C174" i="56"/>
  <c r="C173" i="56"/>
  <c r="C172" i="56"/>
  <c r="C171" i="56"/>
  <c r="C170" i="56"/>
  <c r="C169" i="56"/>
  <c r="C168" i="56"/>
  <c r="C167" i="56"/>
  <c r="C328" i="56"/>
  <c r="F328" i="56" s="1"/>
  <c r="C329" i="56"/>
  <c r="F329" i="56" s="1"/>
  <c r="C330" i="56"/>
  <c r="F330" i="56" s="1"/>
  <c r="C332" i="56"/>
  <c r="F332" i="56" s="1"/>
  <c r="C333" i="56"/>
  <c r="F333" i="56" s="1"/>
  <c r="C334" i="56"/>
  <c r="C336" i="56"/>
  <c r="D336" i="56"/>
  <c r="E336" i="56"/>
  <c r="C337" i="56"/>
  <c r="E337" i="56"/>
  <c r="C338" i="56"/>
  <c r="D338" i="56"/>
  <c r="E338" i="56"/>
  <c r="C339" i="56"/>
  <c r="D339" i="56"/>
  <c r="E339" i="56"/>
  <c r="C340" i="56"/>
  <c r="D340" i="56"/>
  <c r="E340" i="56"/>
  <c r="C341" i="56"/>
  <c r="D341" i="56"/>
  <c r="E341" i="56"/>
  <c r="C342" i="56"/>
  <c r="D342" i="56"/>
  <c r="E342" i="56"/>
  <c r="C343" i="56"/>
  <c r="D343" i="56"/>
  <c r="E343" i="56"/>
  <c r="C344" i="56"/>
  <c r="D344" i="56"/>
  <c r="E344" i="56"/>
  <c r="C345" i="56"/>
  <c r="D345" i="56"/>
  <c r="E345" i="56"/>
  <c r="C350" i="56"/>
  <c r="E350" i="56"/>
  <c r="C351" i="56"/>
  <c r="E351" i="56"/>
  <c r="C352" i="56"/>
  <c r="D352" i="56"/>
  <c r="E352" i="56"/>
  <c r="C353" i="56"/>
  <c r="D353" i="56"/>
  <c r="E353" i="56"/>
  <c r="C355" i="56"/>
  <c r="C356" i="56"/>
  <c r="C357" i="56"/>
  <c r="C358" i="56"/>
  <c r="C359" i="56"/>
  <c r="C360" i="56"/>
  <c r="D360" i="56"/>
  <c r="E360" i="56"/>
  <c r="C361" i="56"/>
  <c r="D361" i="56"/>
  <c r="E361" i="56"/>
  <c r="C362" i="56"/>
  <c r="D362" i="56"/>
  <c r="E362" i="56"/>
  <c r="C363" i="56"/>
  <c r="D363" i="56"/>
  <c r="E363" i="56"/>
  <c r="C364" i="56"/>
  <c r="D364" i="56"/>
  <c r="E364" i="56"/>
  <c r="C365" i="56"/>
  <c r="D365" i="56"/>
  <c r="E365" i="56"/>
  <c r="C366" i="56"/>
  <c r="C367" i="56"/>
  <c r="C368" i="56"/>
  <c r="D368" i="56"/>
  <c r="E368" i="56"/>
  <c r="C369" i="56"/>
  <c r="E369" i="56"/>
  <c r="C370" i="56"/>
  <c r="D370" i="56"/>
  <c r="E370" i="56"/>
  <c r="C371" i="56"/>
  <c r="D371" i="56"/>
  <c r="E371" i="56"/>
  <c r="C372" i="56"/>
  <c r="E372" i="56"/>
  <c r="C373" i="56"/>
  <c r="E373" i="56"/>
  <c r="C374" i="56"/>
  <c r="C376" i="56"/>
  <c r="E376" i="56"/>
  <c r="C377" i="56"/>
  <c r="D377" i="56"/>
  <c r="E377" i="56"/>
  <c r="C378" i="56"/>
  <c r="D378" i="56"/>
  <c r="E378" i="56"/>
  <c r="C379" i="56"/>
  <c r="E379" i="56"/>
  <c r="C380" i="56"/>
  <c r="D380" i="56"/>
  <c r="E380" i="56"/>
  <c r="C381" i="56"/>
  <c r="D381" i="56"/>
  <c r="E381" i="56"/>
  <c r="C382" i="56"/>
  <c r="C383" i="56"/>
  <c r="D383" i="56"/>
  <c r="E383" i="56"/>
  <c r="C384" i="56"/>
  <c r="E384" i="56"/>
  <c r="C385" i="56"/>
  <c r="E385" i="56"/>
  <c r="C387" i="56"/>
  <c r="F387" i="56" s="1"/>
  <c r="E387" i="56"/>
  <c r="C388" i="56"/>
  <c r="E388" i="56"/>
  <c r="C389" i="56"/>
  <c r="E389" i="56"/>
  <c r="C390" i="56"/>
  <c r="E390" i="56"/>
  <c r="C391" i="56"/>
  <c r="F391" i="56" s="1"/>
  <c r="E391" i="56"/>
  <c r="C392" i="56"/>
  <c r="E392" i="56"/>
  <c r="C393" i="56"/>
  <c r="E393" i="56"/>
  <c r="C394" i="56"/>
  <c r="E394" i="56"/>
  <c r="C395" i="56"/>
  <c r="E395" i="56"/>
  <c r="C396" i="56"/>
  <c r="E396" i="56"/>
  <c r="C397" i="56"/>
  <c r="E397" i="56"/>
  <c r="C398" i="56"/>
  <c r="E398" i="56"/>
  <c r="C399" i="56"/>
  <c r="E399" i="56"/>
  <c r="C400" i="56"/>
  <c r="E400" i="56"/>
  <c r="C401" i="56"/>
  <c r="E401" i="56"/>
  <c r="C402" i="56"/>
  <c r="E402" i="56"/>
  <c r="C403" i="56"/>
  <c r="E403" i="56"/>
  <c r="C404" i="56"/>
  <c r="E404" i="56"/>
  <c r="C405" i="56"/>
  <c r="E405" i="56"/>
  <c r="C406" i="56"/>
  <c r="F406" i="56" s="1"/>
  <c r="E406" i="56"/>
  <c r="C407" i="56"/>
  <c r="E407" i="56"/>
  <c r="C408" i="56"/>
  <c r="F408" i="56" s="1"/>
  <c r="E408" i="56"/>
  <c r="C409" i="56"/>
  <c r="F409" i="56" s="1"/>
  <c r="E409" i="56"/>
  <c r="C410" i="56"/>
  <c r="E410" i="56"/>
  <c r="C411" i="56"/>
  <c r="E411" i="56"/>
  <c r="C412" i="56"/>
  <c r="F412" i="56" s="1"/>
  <c r="E412" i="56"/>
  <c r="C413" i="56"/>
  <c r="E413" i="56"/>
  <c r="C414" i="56"/>
  <c r="F414" i="56" s="1"/>
  <c r="E414" i="56"/>
  <c r="C415" i="56"/>
  <c r="F415" i="56" s="1"/>
  <c r="E415" i="56"/>
  <c r="C416" i="56"/>
  <c r="E416" i="56"/>
  <c r="C417" i="56"/>
  <c r="F417" i="56" s="1"/>
  <c r="E417" i="56"/>
  <c r="C418" i="56"/>
  <c r="F418" i="56" s="1"/>
  <c r="E418" i="56"/>
  <c r="C419" i="56"/>
  <c r="E419" i="56"/>
  <c r="C420" i="56"/>
  <c r="F420" i="56" s="1"/>
  <c r="E420" i="56"/>
  <c r="C421" i="56"/>
  <c r="F421" i="56" s="1"/>
  <c r="E421" i="56"/>
  <c r="C422" i="56"/>
  <c r="E422" i="56"/>
  <c r="C423" i="56"/>
  <c r="F423" i="56" s="1"/>
  <c r="E423" i="56"/>
  <c r="C424" i="56"/>
  <c r="F424" i="56" s="1"/>
  <c r="E424" i="56"/>
  <c r="C425" i="56"/>
  <c r="E425" i="56"/>
  <c r="C426" i="56"/>
  <c r="F426" i="56" s="1"/>
  <c r="E426" i="56"/>
  <c r="C427" i="56"/>
  <c r="F427" i="56" s="1"/>
  <c r="E427" i="56"/>
  <c r="C428" i="56"/>
  <c r="E428" i="56"/>
  <c r="C429" i="56"/>
  <c r="F429" i="56" s="1"/>
  <c r="E429" i="56"/>
  <c r="C430" i="56"/>
  <c r="F430" i="56" s="1"/>
  <c r="E430" i="56"/>
  <c r="C431" i="56"/>
  <c r="E431" i="56"/>
  <c r="C432" i="56"/>
  <c r="F432" i="56" s="1"/>
  <c r="E432" i="56"/>
  <c r="C433" i="56"/>
  <c r="F433" i="56" s="1"/>
  <c r="E433" i="56"/>
  <c r="C434" i="56"/>
  <c r="E434" i="56"/>
  <c r="C435" i="56"/>
  <c r="F435" i="56" s="1"/>
  <c r="E435" i="56"/>
  <c r="C436" i="56"/>
  <c r="F436" i="56" s="1"/>
  <c r="E436" i="56"/>
  <c r="C437" i="56"/>
  <c r="E437" i="56"/>
  <c r="C438" i="56"/>
  <c r="F438" i="56" s="1"/>
  <c r="E438" i="56"/>
  <c r="C439" i="56"/>
  <c r="F439" i="56" s="1"/>
  <c r="E439" i="56"/>
  <c r="C440" i="56"/>
  <c r="E440" i="56"/>
  <c r="C441" i="56"/>
  <c r="F441" i="56" s="1"/>
  <c r="E441" i="56"/>
  <c r="C442" i="56"/>
  <c r="E442" i="56"/>
  <c r="C443" i="56"/>
  <c r="E443" i="56"/>
  <c r="C444" i="56"/>
  <c r="F444" i="56" s="1"/>
  <c r="E444" i="56"/>
  <c r="C445" i="56"/>
  <c r="F445" i="56" s="1"/>
  <c r="E445" i="56"/>
  <c r="C446" i="56"/>
  <c r="E446" i="56"/>
  <c r="C447" i="56"/>
  <c r="F447" i="56" s="1"/>
  <c r="E447" i="56"/>
  <c r="F442" i="56"/>
  <c r="F334" i="56"/>
  <c r="C166" i="56"/>
  <c r="F166" i="56" s="1"/>
  <c r="F165" i="56"/>
  <c r="F331" i="56"/>
  <c r="F327" i="56"/>
  <c r="F62" i="57" l="1"/>
  <c r="F446" i="56"/>
  <c r="F440" i="56"/>
  <c r="F434" i="56"/>
  <c r="F428" i="56"/>
  <c r="F419" i="56"/>
  <c r="F413" i="56"/>
  <c r="F395" i="56"/>
  <c r="F172" i="56"/>
  <c r="F9" i="57"/>
  <c r="F443" i="56"/>
  <c r="F437" i="56"/>
  <c r="F431" i="56"/>
  <c r="F425" i="56"/>
  <c r="F422" i="56"/>
  <c r="F416" i="56"/>
  <c r="F410" i="56"/>
  <c r="F178" i="56"/>
  <c r="F250" i="56"/>
  <c r="F256" i="56"/>
  <c r="F262" i="56"/>
  <c r="F286" i="56"/>
  <c r="F64" i="57"/>
  <c r="F173" i="56"/>
  <c r="F197" i="56"/>
  <c r="F203" i="56"/>
  <c r="F221" i="56"/>
  <c r="F257" i="56"/>
  <c r="F269" i="56"/>
  <c r="F281" i="56"/>
  <c r="F20" i="57"/>
  <c r="F41" i="57"/>
  <c r="F65" i="57"/>
  <c r="F168" i="56"/>
  <c r="F174" i="56"/>
  <c r="F198" i="56"/>
  <c r="F270" i="56"/>
  <c r="F282" i="56"/>
  <c r="F288" i="56"/>
  <c r="F294" i="56"/>
  <c r="F316" i="56"/>
  <c r="F16" i="57"/>
  <c r="F347" i="56"/>
  <c r="F57" i="57"/>
  <c r="F205" i="56"/>
  <c r="F307" i="56"/>
  <c r="F283" i="56"/>
  <c r="F39" i="57"/>
  <c r="F12" i="57"/>
  <c r="F52" i="57"/>
  <c r="F55" i="57"/>
  <c r="F18" i="57"/>
  <c r="F33" i="57"/>
  <c r="C9" i="4" s="1"/>
  <c r="E9" i="4" s="1"/>
  <c r="F38" i="57"/>
  <c r="F54" i="57"/>
  <c r="F22" i="57"/>
  <c r="F5" i="57"/>
  <c r="F4" i="57"/>
  <c r="F67" i="57" s="1"/>
  <c r="F53" i="57"/>
  <c r="F58" i="57"/>
  <c r="F60" i="57"/>
  <c r="F15" i="57"/>
  <c r="F19" i="57"/>
  <c r="F21" i="57"/>
  <c r="F37" i="57"/>
  <c r="F45" i="57"/>
  <c r="F17" i="57"/>
  <c r="F26" i="57"/>
  <c r="F23" i="57"/>
  <c r="F44" i="57"/>
  <c r="F30" i="57"/>
  <c r="F27" i="57"/>
  <c r="F3" i="57"/>
  <c r="C5" i="4"/>
  <c r="E5" i="4" s="1"/>
  <c r="F241" i="56"/>
  <c r="F249" i="56"/>
  <c r="F293" i="56"/>
  <c r="F323" i="56"/>
  <c r="F325" i="56"/>
  <c r="F167" i="56"/>
  <c r="F171" i="56"/>
  <c r="F179" i="56"/>
  <c r="F191" i="56"/>
  <c r="F199" i="56"/>
  <c r="F207" i="56"/>
  <c r="F243" i="56"/>
  <c r="F251" i="56"/>
  <c r="F271" i="56"/>
  <c r="F275" i="56"/>
  <c r="F279" i="56"/>
  <c r="F287" i="56"/>
  <c r="F295" i="56"/>
  <c r="F170" i="56"/>
  <c r="F187" i="56"/>
  <c r="F227" i="56"/>
  <c r="F277" i="56"/>
  <c r="F273" i="56"/>
  <c r="F299" i="56"/>
  <c r="F314" i="56"/>
  <c r="F324" i="56"/>
  <c r="F184" i="56"/>
  <c r="F216" i="56"/>
  <c r="F220" i="56"/>
  <c r="F224" i="56"/>
  <c r="F228" i="56"/>
  <c r="F264" i="56"/>
  <c r="F268" i="56"/>
  <c r="F300" i="56"/>
  <c r="F304" i="56"/>
  <c r="F315" i="56"/>
  <c r="F317" i="56"/>
  <c r="F248" i="56"/>
  <c r="F244" i="56"/>
  <c r="F180" i="56"/>
  <c r="F176" i="56"/>
  <c r="F296" i="56"/>
  <c r="F292" i="56"/>
  <c r="F260" i="56"/>
  <c r="F169" i="56"/>
  <c r="F266" i="56"/>
  <c r="F313" i="56"/>
  <c r="F318" i="56"/>
  <c r="F320" i="56"/>
  <c r="F312" i="56"/>
  <c r="F308" i="56"/>
  <c r="F212" i="56"/>
  <c r="F192" i="56"/>
  <c r="F188" i="56"/>
  <c r="F208" i="56"/>
  <c r="F204" i="56"/>
  <c r="F217" i="56"/>
  <c r="F229" i="56"/>
  <c r="F225" i="56"/>
  <c r="F301" i="56"/>
  <c r="F284" i="56"/>
  <c r="F280" i="56"/>
  <c r="F238" i="56"/>
  <c r="F234" i="56"/>
  <c r="F321" i="56"/>
  <c r="F326" i="56"/>
  <c r="F407" i="56"/>
  <c r="F411" i="56"/>
  <c r="F389" i="56"/>
  <c r="F401" i="56"/>
  <c r="F405" i="56"/>
  <c r="F390" i="56"/>
  <c r="F398" i="56"/>
  <c r="F388" i="56"/>
  <c r="F392" i="56"/>
  <c r="F404" i="56"/>
  <c r="F399" i="56"/>
  <c r="F403" i="56"/>
  <c r="F402" i="56"/>
  <c r="F393" i="56"/>
  <c r="F397" i="56"/>
  <c r="F400" i="56"/>
  <c r="F394" i="56"/>
  <c r="F396" i="56"/>
  <c r="F386" i="56"/>
  <c r="F374" i="56"/>
  <c r="F372" i="56"/>
  <c r="F367" i="56"/>
  <c r="F366" i="56"/>
  <c r="F356" i="56"/>
  <c r="F355" i="56"/>
  <c r="F359" i="56"/>
  <c r="F358" i="56"/>
  <c r="C8" i="4" l="1"/>
  <c r="E8" i="4" s="1"/>
  <c r="C7" i="4"/>
  <c r="E7" i="4" s="1"/>
  <c r="F353" i="56"/>
  <c r="F369" i="56"/>
  <c r="F373" i="56"/>
  <c r="F371" i="56"/>
  <c r="F370" i="56"/>
  <c r="F365" i="56"/>
  <c r="F362" i="56"/>
  <c r="F361" i="56"/>
  <c r="F364" i="56"/>
  <c r="F368" i="56"/>
  <c r="F349" i="56"/>
  <c r="F363" i="56"/>
  <c r="F360" i="56"/>
  <c r="F357" i="56"/>
  <c r="F354" i="56"/>
  <c r="F382" i="56"/>
  <c r="F375" i="56"/>
  <c r="F335" i="56"/>
  <c r="C164" i="56"/>
  <c r="F164" i="56" s="1"/>
  <c r="C163" i="56"/>
  <c r="F163" i="56" s="1"/>
  <c r="E3" i="56"/>
  <c r="E4" i="56"/>
  <c r="E5" i="56"/>
  <c r="E6" i="56"/>
  <c r="E7" i="56"/>
  <c r="E8" i="56"/>
  <c r="E9" i="56"/>
  <c r="E10" i="56"/>
  <c r="E11" i="56"/>
  <c r="E12" i="56"/>
  <c r="E13" i="56"/>
  <c r="E14" i="56"/>
  <c r="E15" i="56"/>
  <c r="E16" i="56"/>
  <c r="E17" i="56"/>
  <c r="E18" i="56"/>
  <c r="E19" i="56"/>
  <c r="E20" i="56"/>
  <c r="E21" i="56"/>
  <c r="E22" i="56"/>
  <c r="E23" i="56"/>
  <c r="E24" i="56"/>
  <c r="E25" i="56"/>
  <c r="E26" i="56"/>
  <c r="E27" i="56"/>
  <c r="E28" i="56"/>
  <c r="E29" i="56"/>
  <c r="E30" i="56"/>
  <c r="E31" i="56"/>
  <c r="E32" i="56"/>
  <c r="E33" i="56"/>
  <c r="E34" i="56"/>
  <c r="E35" i="56"/>
  <c r="E36" i="56"/>
  <c r="E37" i="56"/>
  <c r="E38" i="56"/>
  <c r="E39" i="56"/>
  <c r="E40" i="56"/>
  <c r="E41" i="56"/>
  <c r="E42" i="56"/>
  <c r="E43" i="56"/>
  <c r="E44" i="56"/>
  <c r="E45" i="56"/>
  <c r="E46" i="56"/>
  <c r="E47" i="56"/>
  <c r="E48" i="56"/>
  <c r="E49" i="56"/>
  <c r="E50" i="56"/>
  <c r="E51" i="56"/>
  <c r="E52" i="56"/>
  <c r="E53" i="56"/>
  <c r="E54" i="56"/>
  <c r="E55" i="56"/>
  <c r="E56" i="56"/>
  <c r="E57" i="56"/>
  <c r="E58" i="56"/>
  <c r="E59" i="56"/>
  <c r="E60" i="56"/>
  <c r="E61" i="56"/>
  <c r="E62" i="56"/>
  <c r="E63" i="56"/>
  <c r="E64" i="56"/>
  <c r="E65" i="56"/>
  <c r="E66" i="56"/>
  <c r="E67" i="56"/>
  <c r="E68" i="56"/>
  <c r="E69" i="56"/>
  <c r="E70" i="56"/>
  <c r="E71" i="56"/>
  <c r="E72" i="56"/>
  <c r="E73" i="56"/>
  <c r="E74" i="56"/>
  <c r="E75" i="56"/>
  <c r="E76" i="56"/>
  <c r="E77" i="56"/>
  <c r="E78" i="56"/>
  <c r="E79" i="56"/>
  <c r="E80" i="56"/>
  <c r="E81" i="56"/>
  <c r="E82" i="56"/>
  <c r="E83" i="56"/>
  <c r="E84" i="56"/>
  <c r="E85" i="56"/>
  <c r="E86" i="56"/>
  <c r="E87" i="56"/>
  <c r="E88" i="56"/>
  <c r="E89" i="56"/>
  <c r="E90" i="56"/>
  <c r="E91" i="56"/>
  <c r="E92" i="56"/>
  <c r="E93" i="56"/>
  <c r="E94" i="56"/>
  <c r="E95" i="56"/>
  <c r="E96" i="56"/>
  <c r="E97" i="56"/>
  <c r="E98" i="56"/>
  <c r="E99" i="56"/>
  <c r="E100" i="56"/>
  <c r="E101" i="56"/>
  <c r="E102" i="56"/>
  <c r="E103" i="56"/>
  <c r="E104" i="56"/>
  <c r="E105" i="56"/>
  <c r="E106" i="56"/>
  <c r="E107" i="56"/>
  <c r="E108" i="56"/>
  <c r="E109" i="56"/>
  <c r="E110" i="56"/>
  <c r="E111" i="56"/>
  <c r="E112" i="56"/>
  <c r="E113" i="56"/>
  <c r="E114" i="56"/>
  <c r="E115" i="56"/>
  <c r="E116" i="56"/>
  <c r="E117" i="56"/>
  <c r="E118" i="56"/>
  <c r="E119" i="56"/>
  <c r="E120" i="56"/>
  <c r="E121" i="56"/>
  <c r="E122" i="56"/>
  <c r="E123" i="56"/>
  <c r="E124" i="56"/>
  <c r="E125" i="56"/>
  <c r="E126" i="56"/>
  <c r="E127" i="56"/>
  <c r="E128" i="56"/>
  <c r="E129" i="56"/>
  <c r="E130" i="56"/>
  <c r="E131" i="56"/>
  <c r="E132" i="56"/>
  <c r="E133" i="56"/>
  <c r="E134" i="56"/>
  <c r="E135" i="56"/>
  <c r="E136" i="56"/>
  <c r="E137" i="56"/>
  <c r="E138" i="56"/>
  <c r="E139" i="56"/>
  <c r="E140" i="56"/>
  <c r="E141" i="56"/>
  <c r="E142" i="56"/>
  <c r="E143" i="56"/>
  <c r="E144" i="56"/>
  <c r="E145" i="56"/>
  <c r="E146" i="56"/>
  <c r="E147" i="56"/>
  <c r="E148" i="56"/>
  <c r="E149" i="56"/>
  <c r="E150" i="56"/>
  <c r="E151" i="56"/>
  <c r="E152" i="56"/>
  <c r="E153" i="56"/>
  <c r="E154" i="56"/>
  <c r="E155" i="56"/>
  <c r="E156" i="56"/>
  <c r="E157" i="56"/>
  <c r="E158" i="56"/>
  <c r="E159" i="56"/>
  <c r="E160" i="56"/>
  <c r="E161" i="56"/>
  <c r="E162" i="56"/>
  <c r="C162" i="56"/>
  <c r="C161" i="56"/>
  <c r="C160" i="56"/>
  <c r="C159" i="56"/>
  <c r="C158" i="56"/>
  <c r="C157" i="56"/>
  <c r="C156" i="56"/>
  <c r="C155" i="56"/>
  <c r="C154" i="56"/>
  <c r="C153" i="56"/>
  <c r="C152" i="56"/>
  <c r="C151" i="56"/>
  <c r="C150" i="56"/>
  <c r="C149" i="56"/>
  <c r="C148" i="56"/>
  <c r="C147" i="56"/>
  <c r="C146" i="56"/>
  <c r="C145" i="56"/>
  <c r="C144" i="56"/>
  <c r="C143" i="56"/>
  <c r="C142" i="56"/>
  <c r="C141" i="56"/>
  <c r="C140" i="56"/>
  <c r="C139" i="56"/>
  <c r="C138" i="56"/>
  <c r="C137" i="56"/>
  <c r="C136" i="56"/>
  <c r="C135" i="56"/>
  <c r="C134" i="56"/>
  <c r="C133" i="56"/>
  <c r="C132" i="56"/>
  <c r="C131" i="56"/>
  <c r="C130" i="56"/>
  <c r="C129" i="56"/>
  <c r="C128" i="56"/>
  <c r="C127" i="56"/>
  <c r="C126" i="56"/>
  <c r="C125" i="56"/>
  <c r="C124" i="56"/>
  <c r="C123" i="56"/>
  <c r="C122" i="56"/>
  <c r="C121" i="56"/>
  <c r="C120" i="56"/>
  <c r="C119" i="56"/>
  <c r="C118" i="56"/>
  <c r="C117" i="56"/>
  <c r="C116" i="56"/>
  <c r="C115" i="56"/>
  <c r="C114" i="56"/>
  <c r="C113" i="56"/>
  <c r="C112" i="56"/>
  <c r="C111" i="56"/>
  <c r="C110" i="56"/>
  <c r="C109" i="56"/>
  <c r="C108" i="56"/>
  <c r="C107" i="56"/>
  <c r="C106" i="56"/>
  <c r="C105" i="56"/>
  <c r="C104" i="56"/>
  <c r="C103" i="56"/>
  <c r="C102" i="56"/>
  <c r="C101" i="56"/>
  <c r="C100" i="56"/>
  <c r="C99" i="56"/>
  <c r="C98" i="56"/>
  <c r="C97" i="56"/>
  <c r="C96" i="56"/>
  <c r="C95" i="56"/>
  <c r="C94" i="56"/>
  <c r="C93" i="56"/>
  <c r="C92" i="56"/>
  <c r="C91" i="56"/>
  <c r="C90" i="56"/>
  <c r="C89" i="56"/>
  <c r="C88" i="56"/>
  <c r="C87" i="56"/>
  <c r="C86" i="56"/>
  <c r="C85" i="56"/>
  <c r="C84" i="56"/>
  <c r="C83" i="56"/>
  <c r="C82" i="56"/>
  <c r="C81" i="56"/>
  <c r="C80" i="56"/>
  <c r="C79" i="56"/>
  <c r="C78" i="56"/>
  <c r="C77" i="56"/>
  <c r="C76" i="56"/>
  <c r="C75" i="56"/>
  <c r="C74" i="56"/>
  <c r="C73" i="56"/>
  <c r="C72" i="56"/>
  <c r="C71" i="56"/>
  <c r="C70" i="56"/>
  <c r="C69" i="56"/>
  <c r="C68" i="56"/>
  <c r="C67" i="56"/>
  <c r="C66" i="56"/>
  <c r="C65" i="56"/>
  <c r="C64" i="56"/>
  <c r="C63" i="56"/>
  <c r="C62" i="56"/>
  <c r="C61" i="56"/>
  <c r="C60" i="56"/>
  <c r="C59" i="56"/>
  <c r="C58" i="56"/>
  <c r="C57" i="56"/>
  <c r="C56" i="56"/>
  <c r="C55" i="56"/>
  <c r="C54" i="56"/>
  <c r="C53" i="56"/>
  <c r="C52" i="56"/>
  <c r="C51" i="56"/>
  <c r="C50" i="56"/>
  <c r="C49" i="56"/>
  <c r="C48" i="56"/>
  <c r="C47" i="56"/>
  <c r="C46" i="56"/>
  <c r="C45" i="56"/>
  <c r="C44" i="56"/>
  <c r="C43" i="56"/>
  <c r="C42" i="56"/>
  <c r="C41" i="56"/>
  <c r="C40" i="56"/>
  <c r="C39" i="56"/>
  <c r="C38" i="56"/>
  <c r="C37" i="56"/>
  <c r="C36" i="56"/>
  <c r="C35" i="56"/>
  <c r="C34" i="56"/>
  <c r="C33" i="56"/>
  <c r="C32" i="56"/>
  <c r="C31" i="56"/>
  <c r="C30" i="56"/>
  <c r="C29" i="56"/>
  <c r="C28" i="56"/>
  <c r="C27" i="56"/>
  <c r="C26" i="56"/>
  <c r="C25" i="56"/>
  <c r="C24" i="56"/>
  <c r="C23" i="56"/>
  <c r="C22" i="56"/>
  <c r="C21" i="56"/>
  <c r="C20" i="56"/>
  <c r="C19" i="56"/>
  <c r="C18" i="56"/>
  <c r="C17" i="56"/>
  <c r="C16" i="56"/>
  <c r="C15" i="56"/>
  <c r="C14" i="56"/>
  <c r="C13" i="56"/>
  <c r="C12" i="56"/>
  <c r="C11" i="56"/>
  <c r="C10" i="56"/>
  <c r="C9" i="56"/>
  <c r="C8" i="56"/>
  <c r="C7" i="56"/>
  <c r="C6" i="56"/>
  <c r="C5" i="56"/>
  <c r="C4" i="56"/>
  <c r="C3" i="56"/>
  <c r="C6" i="4" l="1"/>
  <c r="E6" i="4" s="1"/>
  <c r="F4" i="56"/>
  <c r="F3" i="56"/>
  <c r="F11" i="56"/>
  <c r="F19" i="56"/>
  <c r="F27" i="56"/>
  <c r="F39" i="56"/>
  <c r="F63" i="56"/>
  <c r="F339" i="56"/>
  <c r="F7" i="56"/>
  <c r="F23" i="56"/>
  <c r="F35" i="56"/>
  <c r="F47" i="56"/>
  <c r="F55" i="56"/>
  <c r="F67" i="56"/>
  <c r="F71" i="56"/>
  <c r="F79" i="56"/>
  <c r="F83" i="56"/>
  <c r="F87" i="56"/>
  <c r="F91" i="56"/>
  <c r="F95" i="56"/>
  <c r="F379" i="56"/>
  <c r="F15" i="56"/>
  <c r="F31" i="56"/>
  <c r="F43" i="56"/>
  <c r="F51" i="56"/>
  <c r="F59" i="56"/>
  <c r="F75" i="56"/>
  <c r="F352" i="56"/>
  <c r="F350" i="56"/>
  <c r="F8" i="56"/>
  <c r="F12" i="56"/>
  <c r="F16" i="56"/>
  <c r="F20" i="56"/>
  <c r="F24" i="56"/>
  <c r="F28" i="56"/>
  <c r="F32" i="56"/>
  <c r="F36" i="56"/>
  <c r="F40" i="56"/>
  <c r="F44" i="56"/>
  <c r="F48" i="56"/>
  <c r="F52" i="56"/>
  <c r="F56" i="56"/>
  <c r="F60" i="56"/>
  <c r="F64" i="56"/>
  <c r="F68" i="56"/>
  <c r="F72" i="56"/>
  <c r="F76" i="56"/>
  <c r="F80" i="56"/>
  <c r="F84" i="56"/>
  <c r="F88" i="56"/>
  <c r="F92" i="56"/>
  <c r="F96" i="56"/>
  <c r="F100" i="56"/>
  <c r="F104" i="56"/>
  <c r="F108" i="56"/>
  <c r="F112" i="56"/>
  <c r="F116" i="56"/>
  <c r="F120" i="56"/>
  <c r="F124" i="56"/>
  <c r="F128" i="56"/>
  <c r="F132" i="56"/>
  <c r="F136" i="56"/>
  <c r="F140" i="56"/>
  <c r="F144" i="56"/>
  <c r="F148" i="56"/>
  <c r="F152" i="56"/>
  <c r="F156" i="56"/>
  <c r="F160" i="56"/>
  <c r="F378" i="56"/>
  <c r="F384" i="56"/>
  <c r="F351" i="56"/>
  <c r="F377" i="56"/>
  <c r="F383" i="56"/>
  <c r="F376" i="56"/>
  <c r="F380" i="56"/>
  <c r="F381" i="56"/>
  <c r="F385" i="56"/>
  <c r="F6" i="56"/>
  <c r="F10" i="56"/>
  <c r="F14" i="56"/>
  <c r="F18" i="56"/>
  <c r="F22" i="56"/>
  <c r="F26" i="56"/>
  <c r="F30" i="56"/>
  <c r="F34" i="56"/>
  <c r="F38" i="56"/>
  <c r="F42" i="56"/>
  <c r="F46" i="56"/>
  <c r="F50" i="56"/>
  <c r="F54" i="56"/>
  <c r="F58" i="56"/>
  <c r="F62" i="56"/>
  <c r="F66" i="56"/>
  <c r="F70" i="56"/>
  <c r="F74" i="56"/>
  <c r="F78" i="56"/>
  <c r="F82" i="56"/>
  <c r="F86" i="56"/>
  <c r="F90" i="56"/>
  <c r="F94" i="56"/>
  <c r="F98" i="56"/>
  <c r="F102" i="56"/>
  <c r="F106" i="56"/>
  <c r="F110" i="56"/>
  <c r="F114" i="56"/>
  <c r="F118" i="56"/>
  <c r="F122" i="56"/>
  <c r="F126" i="56"/>
  <c r="F130" i="56"/>
  <c r="F134" i="56"/>
  <c r="F138" i="56"/>
  <c r="F142" i="56"/>
  <c r="F146" i="56"/>
  <c r="F150" i="56"/>
  <c r="F154" i="56"/>
  <c r="F158" i="56"/>
  <c r="F162" i="56"/>
  <c r="F345" i="56"/>
  <c r="F337" i="56"/>
  <c r="F5" i="56"/>
  <c r="F9" i="56"/>
  <c r="F13" i="56"/>
  <c r="F17" i="56"/>
  <c r="F21" i="56"/>
  <c r="F25" i="56"/>
  <c r="F29" i="56"/>
  <c r="F33" i="56"/>
  <c r="F37" i="56"/>
  <c r="F41" i="56"/>
  <c r="F45" i="56"/>
  <c r="F49" i="56"/>
  <c r="F53" i="56"/>
  <c r="F57" i="56"/>
  <c r="F61" i="56"/>
  <c r="F65" i="56"/>
  <c r="F69" i="56"/>
  <c r="F73" i="56"/>
  <c r="F77" i="56"/>
  <c r="F81" i="56"/>
  <c r="F85" i="56"/>
  <c r="F89" i="56"/>
  <c r="F93" i="56"/>
  <c r="F97" i="56"/>
  <c r="F101" i="56"/>
  <c r="F105" i="56"/>
  <c r="F109" i="56"/>
  <c r="F113" i="56"/>
  <c r="F117" i="56"/>
  <c r="F121" i="56"/>
  <c r="F125" i="56"/>
  <c r="F129" i="56"/>
  <c r="F133" i="56"/>
  <c r="F137" i="56"/>
  <c r="F141" i="56"/>
  <c r="F145" i="56"/>
  <c r="F149" i="56"/>
  <c r="F153" i="56"/>
  <c r="F157" i="56"/>
  <c r="F161" i="56"/>
  <c r="F344" i="56"/>
  <c r="F342" i="56"/>
  <c r="F338" i="56"/>
  <c r="F343" i="56"/>
  <c r="F341" i="56"/>
  <c r="F99" i="56"/>
  <c r="F103" i="56"/>
  <c r="F107" i="56"/>
  <c r="F111" i="56"/>
  <c r="F115" i="56"/>
  <c r="F119" i="56"/>
  <c r="F123" i="56"/>
  <c r="F127" i="56"/>
  <c r="F131" i="56"/>
  <c r="F135" i="56"/>
  <c r="F139" i="56"/>
  <c r="F143" i="56"/>
  <c r="F147" i="56"/>
  <c r="F151" i="56"/>
  <c r="F155" i="56"/>
  <c r="F159" i="56"/>
  <c r="F340" i="56"/>
  <c r="F336" i="56"/>
  <c r="C4" i="4" s="1"/>
  <c r="E4" i="4" s="1"/>
  <c r="C3" i="4" l="1"/>
  <c r="F2" i="56"/>
  <c r="F448" i="56" s="1"/>
  <c r="C11" i="4" l="1"/>
  <c r="E3" i="4" l="1"/>
  <c r="E11" i="4" s="1"/>
</calcChain>
</file>

<file path=xl/sharedStrings.xml><?xml version="1.0" encoding="utf-8"?>
<sst xmlns="http://schemas.openxmlformats.org/spreadsheetml/2006/main" count="1139" uniqueCount="362">
  <si>
    <t>备注</t>
  </si>
  <si>
    <t>名称</t>
  </si>
  <si>
    <t>规格尺寸</t>
  </si>
  <si>
    <t>单位面积</t>
  </si>
  <si>
    <t>长度</t>
  </si>
  <si>
    <t>数量</t>
  </si>
  <si>
    <t>面积</t>
  </si>
  <si>
    <t>合计</t>
    <phoneticPr fontId="3" type="noConversion"/>
  </si>
  <si>
    <t>区域</t>
    <phoneticPr fontId="3" type="noConversion"/>
  </si>
  <si>
    <t>类型</t>
    <phoneticPr fontId="3" type="noConversion"/>
  </si>
  <si>
    <t>计量分类</t>
    <phoneticPr fontId="3" type="noConversion"/>
  </si>
  <si>
    <t>GZ1</t>
  </si>
  <si>
    <t>GZ2</t>
  </si>
  <si>
    <t>GZ3</t>
  </si>
  <si>
    <t>GZ4</t>
  </si>
  <si>
    <t>[16a</t>
  </si>
  <si>
    <t>[14a</t>
  </si>
  <si>
    <t>L50×5</t>
  </si>
  <si>
    <t>GZ5</t>
  </si>
  <si>
    <r>
      <t>单价
(元/m</t>
    </r>
    <r>
      <rPr>
        <b/>
        <vertAlign val="superscript"/>
        <sz val="12"/>
        <rFont val="微软雅黑"/>
        <family val="2"/>
        <charset val="134"/>
      </rPr>
      <t>2</t>
    </r>
    <r>
      <rPr>
        <b/>
        <sz val="12"/>
        <rFont val="微软雅黑"/>
        <family val="2"/>
        <charset val="134"/>
      </rPr>
      <t>)</t>
    </r>
    <phoneticPr fontId="3" type="noConversion"/>
  </si>
  <si>
    <t>金额
(元)</t>
    <phoneticPr fontId="3" type="noConversion"/>
  </si>
  <si>
    <r>
      <t>工程量
(m</t>
    </r>
    <r>
      <rPr>
        <b/>
        <vertAlign val="superscript"/>
        <sz val="12"/>
        <rFont val="微软雅黑"/>
        <family val="2"/>
        <charset val="134"/>
      </rPr>
      <t>2</t>
    </r>
    <r>
      <rPr>
        <b/>
        <sz val="12"/>
        <rFont val="微软雅黑"/>
        <family val="2"/>
        <charset val="134"/>
      </rPr>
      <t>)</t>
    </r>
    <phoneticPr fontId="3" type="noConversion"/>
  </si>
  <si>
    <t>L125×8</t>
  </si>
  <si>
    <t>PL400×20</t>
  </si>
  <si>
    <t>PL760×20</t>
  </si>
  <si>
    <t>PL200×10</t>
  </si>
  <si>
    <t>PL280×8</t>
  </si>
  <si>
    <t>PL190×12</t>
  </si>
  <si>
    <t>PL95×10</t>
  </si>
  <si>
    <t>PL900×36</t>
  </si>
  <si>
    <t>PL250×22</t>
  </si>
  <si>
    <t>PL110×25</t>
  </si>
  <si>
    <t>PL345×8</t>
  </si>
  <si>
    <t>PL230×20</t>
  </si>
  <si>
    <t>PL230×28</t>
  </si>
  <si>
    <t>PL400×22</t>
  </si>
  <si>
    <t>PL190×10</t>
  </si>
  <si>
    <t>PL190×16</t>
  </si>
  <si>
    <t>L50×6</t>
  </si>
  <si>
    <t>PL190×20</t>
  </si>
  <si>
    <t>PL458×20</t>
  </si>
  <si>
    <t>PL150×20</t>
  </si>
  <si>
    <t>PL900×32</t>
  </si>
  <si>
    <t>PL250×20</t>
  </si>
  <si>
    <t>PL110×22</t>
  </si>
  <si>
    <t>PL340×8</t>
  </si>
  <si>
    <t>PL300×16</t>
  </si>
  <si>
    <t>PL768×20</t>
  </si>
  <si>
    <t>PL860×22</t>
  </si>
  <si>
    <t>PL300×20</t>
  </si>
  <si>
    <t>PL140×10</t>
  </si>
  <si>
    <t>PL768×12</t>
  </si>
  <si>
    <t>PL140×12</t>
  </si>
  <si>
    <t>PL300×12</t>
  </si>
  <si>
    <t>PL800×30</t>
  </si>
  <si>
    <t>PL520×30</t>
  </si>
  <si>
    <t>PL392×22</t>
  </si>
  <si>
    <t>PL500×16</t>
  </si>
  <si>
    <t>PL100×12</t>
  </si>
  <si>
    <t>PL287×12</t>
  </si>
  <si>
    <t>PL133×12</t>
  </si>
  <si>
    <t>PL900×20</t>
  </si>
  <si>
    <t>PL420×32</t>
  </si>
  <si>
    <t>PL768×25</t>
  </si>
  <si>
    <t>PL620×20</t>
  </si>
  <si>
    <t>PL400×30</t>
  </si>
  <si>
    <t>PL768×30</t>
  </si>
  <si>
    <t>PL138×30</t>
  </si>
  <si>
    <t>PL140×30</t>
  </si>
  <si>
    <t>PL400×25</t>
  </si>
  <si>
    <t>PL900×30</t>
  </si>
  <si>
    <t>PL230×25</t>
  </si>
  <si>
    <t>钢柱</t>
    <phoneticPr fontId="3" type="noConversion"/>
  </si>
  <si>
    <t>KFZ1</t>
    <phoneticPr fontId="3" type="noConversion"/>
  </si>
  <si>
    <t>H600×300×8×14</t>
    <phoneticPr fontId="3" type="noConversion"/>
  </si>
  <si>
    <t>钢梁</t>
    <phoneticPr fontId="3" type="noConversion"/>
  </si>
  <si>
    <t>框架梁</t>
    <phoneticPr fontId="3" type="noConversion"/>
  </si>
  <si>
    <t>H1100～600×270×14×16</t>
    <phoneticPr fontId="3" type="noConversion"/>
  </si>
  <si>
    <t>GZ6</t>
    <phoneticPr fontId="3" type="noConversion"/>
  </si>
  <si>
    <t>H200×100×5.5×8</t>
    <phoneticPr fontId="3" type="noConversion"/>
  </si>
  <si>
    <t>H1200～600×270×14×16</t>
    <phoneticPr fontId="3" type="noConversion"/>
  </si>
  <si>
    <t>气楼</t>
    <phoneticPr fontId="3" type="noConversion"/>
  </si>
  <si>
    <t>ZC23</t>
    <phoneticPr fontId="3" type="noConversion"/>
  </si>
  <si>
    <t>D25</t>
    <phoneticPr fontId="3" type="noConversion"/>
  </si>
  <si>
    <t>XG2</t>
    <phoneticPr fontId="3" type="noConversion"/>
  </si>
  <si>
    <t>D140×3.5</t>
    <phoneticPr fontId="3" type="noConversion"/>
  </si>
  <si>
    <t>SC2</t>
    <phoneticPr fontId="3" type="noConversion"/>
  </si>
  <si>
    <t>柱间支撑</t>
    <phoneticPr fontId="3" type="noConversion"/>
  </si>
  <si>
    <t>系杆</t>
    <phoneticPr fontId="3" type="noConversion"/>
  </si>
  <si>
    <t>水平支撑</t>
    <phoneticPr fontId="3" type="noConversion"/>
  </si>
  <si>
    <t>LT1</t>
    <phoneticPr fontId="3" type="noConversion"/>
  </si>
  <si>
    <t>C300×80×20×3.0</t>
    <phoneticPr fontId="3" type="noConversion"/>
  </si>
  <si>
    <t>屋面檩条</t>
    <phoneticPr fontId="3" type="noConversion"/>
  </si>
  <si>
    <t>LG1</t>
    <phoneticPr fontId="3" type="noConversion"/>
  </si>
  <si>
    <t>XLG1</t>
    <phoneticPr fontId="3" type="noConversion"/>
  </si>
  <si>
    <t>CG1</t>
    <phoneticPr fontId="3" type="noConversion"/>
  </si>
  <si>
    <t>D12</t>
    <phoneticPr fontId="3" type="noConversion"/>
  </si>
  <si>
    <t>D32×2.5</t>
    <phoneticPr fontId="3" type="noConversion"/>
  </si>
  <si>
    <t>直拉条</t>
    <phoneticPr fontId="3" type="noConversion"/>
  </si>
  <si>
    <t>斜拉条</t>
    <phoneticPr fontId="3" type="noConversion"/>
  </si>
  <si>
    <t>撑杆</t>
    <phoneticPr fontId="3" type="noConversion"/>
  </si>
  <si>
    <t>刚架屋面</t>
    <phoneticPr fontId="3" type="noConversion"/>
  </si>
  <si>
    <t>XG-1</t>
    <phoneticPr fontId="3" type="noConversion"/>
  </si>
  <si>
    <t>SC-1</t>
    <phoneticPr fontId="3" type="noConversion"/>
  </si>
  <si>
    <t>SC-2</t>
    <phoneticPr fontId="3" type="noConversion"/>
  </si>
  <si>
    <t>D168×4.5</t>
    <phoneticPr fontId="3" type="noConversion"/>
  </si>
  <si>
    <t>L125×8</t>
    <phoneticPr fontId="3" type="noConversion"/>
  </si>
  <si>
    <t>D30</t>
    <phoneticPr fontId="3" type="noConversion"/>
  </si>
  <si>
    <t>雨棚</t>
    <phoneticPr fontId="3" type="noConversion"/>
  </si>
  <si>
    <t>Gla</t>
    <phoneticPr fontId="3" type="noConversion"/>
  </si>
  <si>
    <t>H600～300×200×10×12</t>
    <phoneticPr fontId="3" type="noConversion"/>
  </si>
  <si>
    <t>D165×5.0</t>
    <phoneticPr fontId="3" type="noConversion"/>
  </si>
  <si>
    <t>LGa</t>
    <phoneticPr fontId="3" type="noConversion"/>
  </si>
  <si>
    <t>GLb</t>
    <phoneticPr fontId="3" type="noConversion"/>
  </si>
  <si>
    <t>H350～280×200×6×8</t>
    <phoneticPr fontId="3" type="noConversion"/>
  </si>
  <si>
    <t>H500×300×6×12</t>
    <phoneticPr fontId="3" type="noConversion"/>
  </si>
  <si>
    <t>LT2</t>
    <phoneticPr fontId="3" type="noConversion"/>
  </si>
  <si>
    <t>YC</t>
    <phoneticPr fontId="3" type="noConversion"/>
  </si>
  <si>
    <t>C280×80×20×2.0</t>
    <phoneticPr fontId="3" type="noConversion"/>
  </si>
  <si>
    <t>L63×6</t>
    <phoneticPr fontId="3" type="noConversion"/>
  </si>
  <si>
    <t>隅撑</t>
    <phoneticPr fontId="3" type="noConversion"/>
  </si>
  <si>
    <t>吊车梁</t>
    <phoneticPr fontId="3" type="noConversion"/>
  </si>
  <si>
    <t>GDLM9-8Z</t>
    <phoneticPr fontId="3" type="noConversion"/>
  </si>
  <si>
    <t>PL400×18</t>
    <phoneticPr fontId="3" type="noConversion"/>
  </si>
  <si>
    <t>PL250×18</t>
    <phoneticPr fontId="3" type="noConversion"/>
  </si>
  <si>
    <t>PL864×10</t>
    <phoneticPr fontId="3" type="noConversion"/>
  </si>
  <si>
    <t>PL220×14</t>
    <phoneticPr fontId="3" type="noConversion"/>
  </si>
  <si>
    <t>PL90×8</t>
    <phoneticPr fontId="3" type="noConversion"/>
  </si>
  <si>
    <t>GDLM9-8B</t>
    <phoneticPr fontId="3" type="noConversion"/>
  </si>
  <si>
    <t>PL250×18</t>
    <phoneticPr fontId="3" type="noConversion"/>
  </si>
  <si>
    <t>PL110×12</t>
    <phoneticPr fontId="3" type="noConversion"/>
  </si>
  <si>
    <t>吊车梁</t>
    <phoneticPr fontId="3" type="noConversion"/>
  </si>
  <si>
    <t>GCD-2</t>
    <phoneticPr fontId="3" type="noConversion"/>
  </si>
  <si>
    <t>PL420×8</t>
    <phoneticPr fontId="3" type="noConversion"/>
  </si>
  <si>
    <t>PL280×12</t>
    <phoneticPr fontId="3" type="noConversion"/>
  </si>
  <si>
    <t>PL220×12</t>
    <phoneticPr fontId="3" type="noConversion"/>
  </si>
  <si>
    <t>PL136×8</t>
    <phoneticPr fontId="3" type="noConversion"/>
  </si>
  <si>
    <t>PL80×6</t>
    <phoneticPr fontId="3" type="noConversion"/>
  </si>
  <si>
    <t>PL280×10</t>
    <phoneticPr fontId="3" type="noConversion"/>
  </si>
  <si>
    <t>GDL1-Z</t>
    <phoneticPr fontId="3" type="noConversion"/>
  </si>
  <si>
    <t>PL520×28</t>
  </si>
  <si>
    <t>PL400×26</t>
  </si>
  <si>
    <t>PL1946×20</t>
  </si>
  <si>
    <t>PL350×40</t>
  </si>
  <si>
    <t>PL110×8</t>
  </si>
  <si>
    <t>GDL1-B</t>
    <phoneticPr fontId="3" type="noConversion"/>
  </si>
  <si>
    <t>PL190×25</t>
  </si>
  <si>
    <t>PL50×22</t>
  </si>
  <si>
    <t>GCD-6</t>
    <phoneticPr fontId="3" type="noConversion"/>
  </si>
  <si>
    <t>PL420×10</t>
    <phoneticPr fontId="3" type="noConversion"/>
  </si>
  <si>
    <t>PL320×20</t>
    <phoneticPr fontId="3" type="noConversion"/>
  </si>
  <si>
    <t>PL80×6</t>
    <phoneticPr fontId="3" type="noConversion"/>
  </si>
  <si>
    <t>PL320×10</t>
    <phoneticPr fontId="3" type="noConversion"/>
  </si>
  <si>
    <t>PL155×8</t>
    <phoneticPr fontId="3" type="noConversion"/>
  </si>
  <si>
    <t>ZDHJ-1</t>
    <phoneticPr fontId="3" type="noConversion"/>
  </si>
  <si>
    <t>[30a</t>
  </si>
  <si>
    <t>L75×6</t>
  </si>
  <si>
    <t>PL315×8</t>
  </si>
  <si>
    <t>PL280×6</t>
  </si>
  <si>
    <t>PL255×6</t>
  </si>
  <si>
    <t>PL270×6</t>
  </si>
  <si>
    <t>ZDHJ-2</t>
    <phoneticPr fontId="3" type="noConversion"/>
  </si>
  <si>
    <t>PL290×8</t>
  </si>
  <si>
    <t>PL300×6</t>
  </si>
  <si>
    <t>PL290×6</t>
  </si>
  <si>
    <t>PL285×6</t>
  </si>
  <si>
    <t>XG-1</t>
  </si>
  <si>
    <t>D168×4.5</t>
  </si>
  <si>
    <t>系杆</t>
  </si>
  <si>
    <t>1轴立面</t>
    <phoneticPr fontId="3" type="noConversion"/>
  </si>
  <si>
    <t>17轴立面</t>
    <phoneticPr fontId="3" type="noConversion"/>
  </si>
  <si>
    <t>A、F、Q、U、X轴立面</t>
    <phoneticPr fontId="3" type="noConversion"/>
  </si>
  <si>
    <t>XG1</t>
    <phoneticPr fontId="3" type="noConversion"/>
  </si>
  <si>
    <t>D168×4.5</t>
    <phoneticPr fontId="3" type="noConversion"/>
  </si>
  <si>
    <t>系杆</t>
    <phoneticPr fontId="3" type="noConversion"/>
  </si>
  <si>
    <t>ZC1</t>
  </si>
  <si>
    <t>L100×6</t>
  </si>
  <si>
    <t xml:space="preserve">PL270×10 </t>
  </si>
  <si>
    <t xml:space="preserve">PL287×10 </t>
  </si>
  <si>
    <t xml:space="preserve">PL229×10 </t>
  </si>
  <si>
    <t>L63×6</t>
  </si>
  <si>
    <t>ZC2</t>
  </si>
  <si>
    <t xml:space="preserve">PL268×10 </t>
  </si>
  <si>
    <t xml:space="preserve">PL290×10 </t>
  </si>
  <si>
    <t xml:space="preserve">PL231×10 </t>
  </si>
  <si>
    <t>ZC3</t>
  </si>
  <si>
    <t xml:space="preserve">PL264×10 </t>
  </si>
  <si>
    <t xml:space="preserve">PL291×10 </t>
  </si>
  <si>
    <t xml:space="preserve">PL234×10 </t>
  </si>
  <si>
    <t>ZC4</t>
  </si>
  <si>
    <t xml:space="preserve">PL262×10 </t>
  </si>
  <si>
    <t xml:space="preserve">PL280×10 </t>
  </si>
  <si>
    <t xml:space="preserve">PL236×10 </t>
  </si>
  <si>
    <t>ZC5</t>
  </si>
  <si>
    <t>L150×8</t>
  </si>
  <si>
    <t xml:space="preserve">PL386×12 </t>
  </si>
  <si>
    <t xml:space="preserve">PL353×12 </t>
  </si>
  <si>
    <t xml:space="preserve">PL357×12 </t>
  </si>
  <si>
    <t>ZC6</t>
  </si>
  <si>
    <t>L80×6</t>
  </si>
  <si>
    <t xml:space="preserve">PL254×10 </t>
  </si>
  <si>
    <t xml:space="preserve">PL295×10 </t>
  </si>
  <si>
    <t xml:space="preserve">PL232×10 </t>
  </si>
  <si>
    <t>ZC7</t>
  </si>
  <si>
    <t xml:space="preserve">PL250×10 </t>
  </si>
  <si>
    <t xml:space="preserve">PL286×10 </t>
  </si>
  <si>
    <t xml:space="preserve">PL227×10 </t>
  </si>
  <si>
    <t>ZC8</t>
  </si>
  <si>
    <t xml:space="preserve">PL322×10 </t>
  </si>
  <si>
    <t xml:space="preserve">PL294×10 </t>
  </si>
  <si>
    <t xml:space="preserve">PL261×10 </t>
  </si>
  <si>
    <t>L90×6</t>
  </si>
  <si>
    <t>ZC9</t>
  </si>
  <si>
    <t xml:space="preserve">PL433×18 </t>
  </si>
  <si>
    <t xml:space="preserve">PL190×18 </t>
  </si>
  <si>
    <t xml:space="preserve">PL301×18 </t>
  </si>
  <si>
    <t xml:space="preserve">PL440×18 </t>
  </si>
  <si>
    <t xml:space="preserve">PL60×18 </t>
  </si>
  <si>
    <t>ZC10</t>
  </si>
  <si>
    <t xml:space="preserve">PL448×16 </t>
  </si>
  <si>
    <t xml:space="preserve">PL190×16 </t>
  </si>
  <si>
    <t xml:space="preserve">PL301×16 </t>
  </si>
  <si>
    <t xml:space="preserve">PL452×16 </t>
  </si>
  <si>
    <t xml:space="preserve">PL60×16 </t>
  </si>
  <si>
    <t>ZC11</t>
  </si>
  <si>
    <t xml:space="preserve">PL452×18 </t>
  </si>
  <si>
    <t xml:space="preserve">PL454×18 </t>
  </si>
  <si>
    <t>ZC12</t>
  </si>
  <si>
    <t xml:space="preserve">PL285×10 </t>
  </si>
  <si>
    <t xml:space="preserve">PL222×10 </t>
  </si>
  <si>
    <t>ZC13</t>
  </si>
  <si>
    <t xml:space="preserve">PL277×10 </t>
  </si>
  <si>
    <t xml:space="preserve">PL217×10 </t>
  </si>
  <si>
    <t>ZC14</t>
  </si>
  <si>
    <t>[18a</t>
  </si>
  <si>
    <t xml:space="preserve">PL360×10 </t>
  </si>
  <si>
    <t xml:space="preserve">PL275×10 </t>
  </si>
  <si>
    <t>ZC15</t>
  </si>
  <si>
    <t xml:space="preserve">PL259×10 </t>
  </si>
  <si>
    <t xml:space="preserve">PL203×10 </t>
  </si>
  <si>
    <t>ZC16</t>
  </si>
  <si>
    <t xml:space="preserve">PL252×10 </t>
  </si>
  <si>
    <t xml:space="preserve">PL260×10 </t>
  </si>
  <si>
    <t xml:space="preserve">PL206×10 </t>
  </si>
  <si>
    <t>ZC17</t>
  </si>
  <si>
    <t>ZC18</t>
  </si>
  <si>
    <t xml:space="preserve">PL272×10 </t>
  </si>
  <si>
    <t xml:space="preserve">PL288×10 </t>
  </si>
  <si>
    <t>柱间支撑</t>
  </si>
  <si>
    <t>柱间支撑</t>
    <phoneticPr fontId="3" type="noConversion"/>
  </si>
  <si>
    <t>ZC19</t>
    <phoneticPr fontId="3" type="noConversion"/>
  </si>
  <si>
    <t>ZC20</t>
    <phoneticPr fontId="3" type="noConversion"/>
  </si>
  <si>
    <t>ZC21</t>
    <phoneticPr fontId="3" type="noConversion"/>
  </si>
  <si>
    <t>ZC22</t>
    <phoneticPr fontId="3" type="noConversion"/>
  </si>
  <si>
    <t>汇总</t>
    <phoneticPr fontId="3" type="noConversion"/>
  </si>
  <si>
    <t>1#厂房</t>
    <phoneticPr fontId="3" type="noConversion"/>
  </si>
  <si>
    <t>钢柱</t>
    <phoneticPr fontId="3" type="noConversion"/>
  </si>
  <si>
    <t>钢梁</t>
    <phoneticPr fontId="3" type="noConversion"/>
  </si>
  <si>
    <t>吊车梁</t>
    <phoneticPr fontId="3" type="noConversion"/>
  </si>
  <si>
    <t>屋面支撑</t>
    <phoneticPr fontId="3" type="noConversion"/>
  </si>
  <si>
    <t>2.5h</t>
    <phoneticPr fontId="3" type="noConversion"/>
  </si>
  <si>
    <t>1.5h</t>
    <phoneticPr fontId="3" type="noConversion"/>
  </si>
  <si>
    <t>1.0h</t>
    <phoneticPr fontId="3" type="noConversion"/>
  </si>
  <si>
    <t>框架柱</t>
    <phoneticPr fontId="3" type="noConversion"/>
  </si>
  <si>
    <t>H350～950×400×10×18</t>
    <phoneticPr fontId="3" type="noConversion"/>
  </si>
  <si>
    <t>H350～700×500×8×22</t>
    <phoneticPr fontId="3" type="noConversion"/>
  </si>
  <si>
    <t>钢梁</t>
    <phoneticPr fontId="3" type="noConversion"/>
  </si>
  <si>
    <t>框架梁</t>
    <phoneticPr fontId="3" type="noConversion"/>
  </si>
  <si>
    <t>H1300～600×400×10×16</t>
    <phoneticPr fontId="3" type="noConversion"/>
  </si>
  <si>
    <t>H600～750×350×8×16</t>
    <phoneticPr fontId="3" type="noConversion"/>
  </si>
  <si>
    <t>H600～1350×430×10×18</t>
    <phoneticPr fontId="3" type="noConversion"/>
  </si>
  <si>
    <t>加劲板</t>
    <phoneticPr fontId="3" type="noConversion"/>
  </si>
  <si>
    <t>连接板</t>
    <phoneticPr fontId="3" type="noConversion"/>
  </si>
  <si>
    <t>PL195×614×12</t>
    <phoneticPr fontId="3" type="noConversion"/>
  </si>
  <si>
    <t>PL195×1268×18</t>
    <phoneticPr fontId="3" type="noConversion"/>
  </si>
  <si>
    <t>PL210×1314×22</t>
    <phoneticPr fontId="3" type="noConversion"/>
  </si>
  <si>
    <t>PL400×805×18</t>
    <phoneticPr fontId="3" type="noConversion"/>
  </si>
  <si>
    <t>PL350×935×16</t>
    <phoneticPr fontId="3" type="noConversion"/>
  </si>
  <si>
    <t>PL171×568×8</t>
    <phoneticPr fontId="3" type="noConversion"/>
  </si>
  <si>
    <t>连接板</t>
    <phoneticPr fontId="3" type="noConversion"/>
  </si>
  <si>
    <t>PL270×805×20</t>
    <phoneticPr fontId="3" type="noConversion"/>
  </si>
  <si>
    <t>PL270×1280×16</t>
    <phoneticPr fontId="3" type="noConversion"/>
  </si>
  <si>
    <t>加劲板</t>
    <phoneticPr fontId="3" type="noConversion"/>
  </si>
  <si>
    <t>PL128×1068×12</t>
    <phoneticPr fontId="3" type="noConversion"/>
  </si>
  <si>
    <t>女儿墙</t>
    <phoneticPr fontId="3" type="noConversion"/>
  </si>
  <si>
    <t>立柱</t>
    <phoneticPr fontId="3" type="noConversion"/>
  </si>
  <si>
    <t>H250×150×4.5×8.0</t>
    <phoneticPr fontId="3" type="noConversion"/>
  </si>
  <si>
    <t>天窗</t>
    <phoneticPr fontId="3" type="noConversion"/>
  </si>
  <si>
    <t>柱</t>
    <phoneticPr fontId="3" type="noConversion"/>
  </si>
  <si>
    <t>H200×100×5.5×8</t>
    <phoneticPr fontId="3" type="noConversion"/>
  </si>
  <si>
    <t>梁</t>
    <phoneticPr fontId="3" type="noConversion"/>
  </si>
  <si>
    <t>雨棚</t>
    <phoneticPr fontId="3" type="noConversion"/>
  </si>
  <si>
    <t>H300～600×280×6×12</t>
    <phoneticPr fontId="3" type="noConversion"/>
  </si>
  <si>
    <t>拉杆</t>
    <phoneticPr fontId="3" type="noConversion"/>
  </si>
  <si>
    <t>D165×5.0</t>
    <phoneticPr fontId="3" type="noConversion"/>
  </si>
  <si>
    <t>系杆</t>
    <phoneticPr fontId="3" type="noConversion"/>
  </si>
  <si>
    <t>XG2</t>
    <phoneticPr fontId="3" type="noConversion"/>
  </si>
  <si>
    <t>D194×5.0</t>
    <phoneticPr fontId="3" type="noConversion"/>
  </si>
  <si>
    <t>SC2</t>
    <phoneticPr fontId="3" type="noConversion"/>
  </si>
  <si>
    <t>D25</t>
    <phoneticPr fontId="3" type="noConversion"/>
  </si>
  <si>
    <t>ZC2</t>
    <phoneticPr fontId="3" type="noConversion"/>
  </si>
  <si>
    <t>D22</t>
    <phoneticPr fontId="3" type="noConversion"/>
  </si>
  <si>
    <t>QLA</t>
    <phoneticPr fontId="3" type="noConversion"/>
  </si>
  <si>
    <t>C300×80×20×3.0</t>
    <phoneticPr fontId="3" type="noConversion"/>
  </si>
  <si>
    <t>QLB</t>
    <phoneticPr fontId="3" type="noConversion"/>
  </si>
  <si>
    <t>C180×70×20×2.0</t>
    <phoneticPr fontId="3" type="noConversion"/>
  </si>
  <si>
    <t>LT1</t>
    <phoneticPr fontId="3" type="noConversion"/>
  </si>
  <si>
    <t>H300×150×3.2×4.5</t>
    <phoneticPr fontId="3" type="noConversion"/>
  </si>
  <si>
    <t>CG</t>
    <phoneticPr fontId="3" type="noConversion"/>
  </si>
  <si>
    <t>XLG</t>
    <phoneticPr fontId="3" type="noConversion"/>
  </si>
  <si>
    <t>D12</t>
    <phoneticPr fontId="3" type="noConversion"/>
  </si>
  <si>
    <t>D30×2.0</t>
    <phoneticPr fontId="3" type="noConversion"/>
  </si>
  <si>
    <t>钢柱</t>
    <phoneticPr fontId="3" type="noConversion"/>
  </si>
  <si>
    <t>柱间支撑</t>
    <phoneticPr fontId="3" type="noConversion"/>
  </si>
  <si>
    <t>水平支撑</t>
    <phoneticPr fontId="3" type="noConversion"/>
  </si>
  <si>
    <t>屋面檩条</t>
    <phoneticPr fontId="3" type="noConversion"/>
  </si>
  <si>
    <t>斜拉条</t>
    <phoneticPr fontId="3" type="noConversion"/>
  </si>
  <si>
    <t>撑杆</t>
    <phoneticPr fontId="3" type="noConversion"/>
  </si>
  <si>
    <t>屋面支撑</t>
    <phoneticPr fontId="3" type="noConversion"/>
  </si>
  <si>
    <t>GLA</t>
    <phoneticPr fontId="3" type="noConversion"/>
  </si>
  <si>
    <t>GL1</t>
    <phoneticPr fontId="3" type="noConversion"/>
  </si>
  <si>
    <t>H350～280×200×6×8</t>
    <phoneticPr fontId="3" type="noConversion"/>
  </si>
  <si>
    <t>H500×300×6×14</t>
    <phoneticPr fontId="3" type="noConversion"/>
  </si>
  <si>
    <t>XG</t>
    <phoneticPr fontId="3" type="noConversion"/>
  </si>
  <si>
    <t>SC</t>
    <phoneticPr fontId="3" type="noConversion"/>
  </si>
  <si>
    <t>LT1</t>
    <phoneticPr fontId="3" type="noConversion"/>
  </si>
  <si>
    <t>LT2</t>
    <phoneticPr fontId="3" type="noConversion"/>
  </si>
  <si>
    <t>LT3</t>
    <phoneticPr fontId="3" type="noConversion"/>
  </si>
  <si>
    <t>LG1</t>
    <phoneticPr fontId="3" type="noConversion"/>
  </si>
  <si>
    <t>XLG1</t>
    <phoneticPr fontId="3" type="noConversion"/>
  </si>
  <si>
    <t>CG1</t>
    <phoneticPr fontId="3" type="noConversion"/>
  </si>
  <si>
    <t>YC</t>
    <phoneticPr fontId="3" type="noConversion"/>
  </si>
  <si>
    <t>D219×6.0</t>
    <phoneticPr fontId="3" type="noConversion"/>
  </si>
  <si>
    <t>D36</t>
    <phoneticPr fontId="3" type="noConversion"/>
  </si>
  <si>
    <t>C280×80×20×3.0</t>
    <phoneticPr fontId="3" type="noConversion"/>
  </si>
  <si>
    <t>C280×80×20×2.0</t>
    <phoneticPr fontId="3" type="noConversion"/>
  </si>
  <si>
    <t>L50×5</t>
    <phoneticPr fontId="3" type="noConversion"/>
  </si>
  <si>
    <t>直拉条</t>
    <phoneticPr fontId="3" type="noConversion"/>
  </si>
  <si>
    <t>隅撑</t>
    <phoneticPr fontId="3" type="noConversion"/>
  </si>
  <si>
    <t>A、D、H、M、T、Y轴立面</t>
    <phoneticPr fontId="3" type="noConversion"/>
  </si>
  <si>
    <t>D245×8.0</t>
    <phoneticPr fontId="3" type="noConversion"/>
  </si>
  <si>
    <t>ZC1</t>
    <phoneticPr fontId="3" type="noConversion"/>
  </si>
  <si>
    <t>D299×7.5</t>
    <phoneticPr fontId="3" type="noConversion"/>
  </si>
  <si>
    <t>D245×6.5</t>
    <phoneticPr fontId="3" type="noConversion"/>
  </si>
  <si>
    <t>汇总</t>
    <phoneticPr fontId="3" type="noConversion"/>
  </si>
  <si>
    <t>2#厂房</t>
    <phoneticPr fontId="3" type="noConversion"/>
  </si>
  <si>
    <t>吊车梁</t>
    <phoneticPr fontId="3" type="noConversion"/>
  </si>
  <si>
    <t>GDL9-2Z</t>
    <phoneticPr fontId="3" type="noConversion"/>
  </si>
  <si>
    <t>PL350×14</t>
    <phoneticPr fontId="3" type="noConversion"/>
  </si>
  <si>
    <t>PL220×14</t>
    <phoneticPr fontId="3" type="noConversion"/>
  </si>
  <si>
    <t>PL572×6</t>
    <phoneticPr fontId="3" type="noConversion"/>
  </si>
  <si>
    <t>PL220×12</t>
    <phoneticPr fontId="3" type="noConversion"/>
  </si>
  <si>
    <t>PL90×6</t>
    <phoneticPr fontId="3" type="noConversion"/>
  </si>
  <si>
    <t>GDL9-2B</t>
    <phoneticPr fontId="3" type="noConversion"/>
  </si>
  <si>
    <t>PL100×10</t>
    <phoneticPr fontId="3" type="noConversion"/>
  </si>
  <si>
    <t>PL90×20</t>
    <phoneticPr fontId="3" type="noConversion"/>
  </si>
  <si>
    <t>吊车梁</t>
    <phoneticPr fontId="3" type="noConversion"/>
  </si>
  <si>
    <t>吊车梁</t>
    <phoneticPr fontId="3" type="noConversion"/>
  </si>
  <si>
    <t>吊车梁</t>
    <phoneticPr fontId="3" type="noConversion"/>
  </si>
  <si>
    <t>未说明</t>
    <phoneticPr fontId="3" type="noConversion"/>
  </si>
  <si>
    <t>3#厂房</t>
    <phoneticPr fontId="3" type="noConversion"/>
  </si>
  <si>
    <t>工程量汇总表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</si>
</sst>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 * #,##0.00_ ;_ * \-#,##0.00_ ;_ * &quot;-&quot;??_ ;_ @_ "/>
    <numFmt numFmtId="176" formatCode="0.00_ "/>
    <numFmt numFmtId="177" formatCode="0.00;\-0.00;"/>
  </numFmts>
  <fonts count="13">
    <font>
      <sz val="12"/>
      <name val="宋体"/>
      <charset val="134"/>
    </font>
    <font>
      <sz val="12"/>
      <name val="宋体"/>
      <family val="3"/>
      <charset val="134"/>
    </font>
    <font>
      <b/>
      <sz val="14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b/>
      <vertAlign val="superscript"/>
      <sz val="12"/>
      <name val="微软雅黑"/>
      <family val="2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新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22">
    <xf numFmtId="0" fontId="0" fillId="0" borderId="0" xfId="0">
      <alignment vertical="center"/>
    </xf>
    <xf numFmtId="0" fontId="4" fillId="0" borderId="0" xfId="1" applyFont="1" applyAlignment="1">
      <alignment horizontal="center" vertical="center" wrapText="1"/>
    </xf>
    <xf numFmtId="176" fontId="4" fillId="0" borderId="1" xfId="1" applyNumberFormat="1" applyFont="1" applyBorder="1" applyAlignment="1">
      <alignment horizontal="right" vertical="center" wrapText="1"/>
    </xf>
    <xf numFmtId="176" fontId="5" fillId="0" borderId="1" xfId="1" applyNumberFormat="1" applyFont="1" applyBorder="1" applyAlignment="1">
      <alignment horizontal="right" vertical="center" wrapText="1"/>
    </xf>
    <xf numFmtId="0" fontId="9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right" vertical="center" wrapText="1"/>
    </xf>
    <xf numFmtId="176" fontId="5" fillId="0" borderId="1" xfId="1" applyNumberFormat="1" applyFont="1" applyBorder="1" applyAlignment="1">
      <alignment horizontal="center" vertical="center" wrapText="1"/>
    </xf>
    <xf numFmtId="176" fontId="4" fillId="0" borderId="0" xfId="1" applyNumberFormat="1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1">
    <cellStyle name="常规" xfId="0" builtinId="0"/>
    <cellStyle name="常规 2" xfId="1" xr:uid="{00000000-0005-0000-0000-000001000000}"/>
    <cellStyle name="常规 2 2" xfId="5" xr:uid="{00000000-0005-0000-0000-000002000000}"/>
    <cellStyle name="常规 3" xfId="2" xr:uid="{00000000-0005-0000-0000-000003000000}"/>
    <cellStyle name="常规 4" xfId="3" xr:uid="{00000000-0005-0000-0000-000004000000}"/>
    <cellStyle name="常规 5" xfId="6" xr:uid="{00000000-0005-0000-0000-000005000000}"/>
    <cellStyle name="常规 6" xfId="7" xr:uid="{00000000-0005-0000-0000-000006000000}"/>
    <cellStyle name="常规 7" xfId="8" xr:uid="{00000000-0005-0000-0000-000007000000}"/>
    <cellStyle name="常规 8" xfId="9" xr:uid="{00000000-0005-0000-0000-000008000000}"/>
    <cellStyle name="常规 9" xfId="10" xr:uid="{00000000-0005-0000-0000-000009000000}"/>
    <cellStyle name="千位分隔 2" xfId="4" xr:uid="{00000000-0005-0000-0000-00000A000000}"/>
  </cellStyles>
  <dxfs count="22"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theme="8" tint="0.79995117038483843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fill>
        <patternFill patternType="solid">
          <bgColor theme="8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theme="8" tint="0.79995117038483843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fill>
        <patternFill patternType="solid">
          <bgColor theme="8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theme="8" tint="0.79995117038483843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fill>
        <patternFill patternType="solid">
          <bgColor theme="8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ont>
        <b/>
        <color theme="0"/>
      </font>
      <fill>
        <patternFill patternType="solid">
          <fgColor theme="8"/>
          <bgColor theme="8"/>
        </patternFill>
      </fill>
    </dxf>
    <dxf>
      <font>
        <b/>
        <color theme="0"/>
      </font>
      <fill>
        <patternFill patternType="solid">
          <fgColor theme="8"/>
          <bgColor theme="8"/>
        </patternFill>
      </fill>
    </dxf>
    <dxf>
      <font>
        <b/>
        <color theme="0"/>
      </font>
      <fill>
        <patternFill patternType="solid">
          <fgColor theme="8"/>
          <bgColor theme="8"/>
        </patternFill>
      </fill>
      <border>
        <top style="thick">
          <color theme="0"/>
        </top>
      </border>
    </dxf>
    <dxf>
      <font>
        <b/>
        <i val="0"/>
        <color theme="0"/>
      </font>
      <fill>
        <patternFill patternType="solid">
          <fgColor theme="8"/>
          <bgColor theme="8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8" tint="0.79998168889431442"/>
          <bgColor theme="8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计算书" defaultPivotStyle="PivotStyleLight16">
    <tableStyle name="计算书" pivot="0" count="7" xr9:uid="{00000000-0011-0000-FFFF-FFFF00000000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"/>
  <sheetViews>
    <sheetView tabSelected="1" zoomScaleNormal="100" workbookViewId="0">
      <pane ySplit="2" topLeftCell="A3" activePane="bottomLeft" state="frozen"/>
      <selection activeCell="A14" sqref="A14"/>
      <selection pane="bottomLeft" sqref="A1:F1"/>
    </sheetView>
  </sheetViews>
  <sheetFormatPr defaultRowHeight="17.25"/>
  <cols>
    <col min="1" max="1" width="15.5" style="1" customWidth="1"/>
    <col min="2" max="2" width="14.25" style="1" bestFit="1" customWidth="1"/>
    <col min="3" max="3" width="11.875" style="11" bestFit="1" customWidth="1"/>
    <col min="4" max="4" width="9.125" style="11" bestFit="1" customWidth="1"/>
    <col min="5" max="5" width="14.625" style="11" bestFit="1" customWidth="1"/>
    <col min="6" max="6" width="15.375" style="1" customWidth="1"/>
    <col min="7" max="16384" width="9" style="1"/>
  </cols>
  <sheetData>
    <row r="1" spans="1:6" ht="21">
      <c r="A1" s="16" t="s">
        <v>361</v>
      </c>
      <c r="B1" s="16"/>
      <c r="C1" s="16"/>
      <c r="D1" s="16"/>
      <c r="E1" s="16"/>
      <c r="F1" s="16"/>
    </row>
    <row r="2" spans="1:6" ht="38.25">
      <c r="A2" s="13" t="s">
        <v>8</v>
      </c>
      <c r="B2" s="15" t="s">
        <v>9</v>
      </c>
      <c r="C2" s="10" t="s">
        <v>21</v>
      </c>
      <c r="D2" s="10" t="s">
        <v>19</v>
      </c>
      <c r="E2" s="10" t="s">
        <v>20</v>
      </c>
      <c r="F2" s="13" t="s">
        <v>0</v>
      </c>
    </row>
    <row r="3" spans="1:6">
      <c r="A3" s="19" t="s">
        <v>255</v>
      </c>
      <c r="B3" s="12" t="s">
        <v>256</v>
      </c>
      <c r="C3" s="2">
        <f>SUM(SUMIF('1#厂房'!G:G,{"钢柱","柱间支撑"},'1#厂房'!F:F))</f>
        <v>9501.4500000000007</v>
      </c>
      <c r="D3" s="2"/>
      <c r="E3" s="2">
        <f>C3*D3</f>
        <v>0</v>
      </c>
      <c r="F3" s="5" t="s">
        <v>260</v>
      </c>
    </row>
    <row r="4" spans="1:6">
      <c r="A4" s="20"/>
      <c r="B4" s="12" t="s">
        <v>257</v>
      </c>
      <c r="C4" s="2">
        <f>SUM(SUMIF('1#厂房'!G:G,{"钢梁"},'1#厂房'!F:F))</f>
        <v>5855.5399999999991</v>
      </c>
      <c r="D4" s="2"/>
      <c r="E4" s="2">
        <f t="shared" ref="E4:E10" si="0">C4*D4</f>
        <v>0</v>
      </c>
      <c r="F4" s="5" t="s">
        <v>261</v>
      </c>
    </row>
    <row r="5" spans="1:6">
      <c r="A5" s="20"/>
      <c r="B5" s="12" t="s">
        <v>258</v>
      </c>
      <c r="C5" s="2">
        <f>SUM(SUMIF('1#厂房'!G:G,{"吊车梁"},'1#厂房'!F:F))</f>
        <v>2505.3799999999992</v>
      </c>
      <c r="D5" s="2"/>
      <c r="E5" s="2">
        <f t="shared" si="0"/>
        <v>0</v>
      </c>
      <c r="F5" s="5" t="s">
        <v>261</v>
      </c>
    </row>
    <row r="6" spans="1:6">
      <c r="A6" s="21"/>
      <c r="B6" s="12" t="s">
        <v>259</v>
      </c>
      <c r="C6" s="2">
        <f>SUM(SUMIF('1#厂房'!G:G,{"系杆","水平支撑","屋面檩条","直拉条","斜拉条","撑杆","隅撑"},'1#厂房'!F:F))</f>
        <v>20113.110000000004</v>
      </c>
      <c r="D6" s="2"/>
      <c r="E6" s="2">
        <f t="shared" si="0"/>
        <v>0</v>
      </c>
      <c r="F6" s="5" t="s">
        <v>262</v>
      </c>
    </row>
    <row r="7" spans="1:6">
      <c r="A7" s="19" t="s">
        <v>345</v>
      </c>
      <c r="B7" s="12" t="s">
        <v>256</v>
      </c>
      <c r="C7" s="2">
        <f>SUM(SUMIF('2#厂房'!G:G,{"钢柱","柱间支撑"},'2#厂房'!F:F))</f>
        <v>3092.2799999999997</v>
      </c>
      <c r="D7" s="2"/>
      <c r="E7" s="2">
        <f t="shared" si="0"/>
        <v>0</v>
      </c>
      <c r="F7" s="5" t="s">
        <v>260</v>
      </c>
    </row>
    <row r="8" spans="1:6">
      <c r="A8" s="20"/>
      <c r="B8" s="12" t="s">
        <v>257</v>
      </c>
      <c r="C8" s="2">
        <f>SUM(SUMIF('2#厂房'!G:G,{"钢梁"},'2#厂房'!F:F))</f>
        <v>5862.1599999999971</v>
      </c>
      <c r="D8" s="2"/>
      <c r="E8" s="2">
        <f t="shared" si="0"/>
        <v>0</v>
      </c>
      <c r="F8" s="5" t="s">
        <v>261</v>
      </c>
    </row>
    <row r="9" spans="1:6">
      <c r="A9" s="21"/>
      <c r="B9" s="12" t="s">
        <v>259</v>
      </c>
      <c r="C9" s="2">
        <f>SUM(SUMIF('2#厂房'!G:G,{"系杆","水平支撑","屋面檩条","直拉条","斜拉条","撑杆","隅撑"},'2#厂房'!F:F))</f>
        <v>26659.17</v>
      </c>
      <c r="D9" s="2"/>
      <c r="E9" s="2">
        <f t="shared" si="0"/>
        <v>0</v>
      </c>
      <c r="F9" s="5" t="s">
        <v>262</v>
      </c>
    </row>
    <row r="10" spans="1:6">
      <c r="A10" s="12" t="s">
        <v>360</v>
      </c>
      <c r="B10" s="12" t="s">
        <v>258</v>
      </c>
      <c r="C10" s="2">
        <f>SUM(SUMIF('3#厂房'!G:G,{"吊车梁"},'3#厂房'!F:F))</f>
        <v>173.47999999999996</v>
      </c>
      <c r="D10" s="2"/>
      <c r="E10" s="2">
        <f t="shared" si="0"/>
        <v>0</v>
      </c>
      <c r="F10" s="5" t="s">
        <v>359</v>
      </c>
    </row>
    <row r="11" spans="1:6" ht="18">
      <c r="A11" s="17" t="s">
        <v>7</v>
      </c>
      <c r="B11" s="18"/>
      <c r="C11" s="3">
        <f>SUM(C3:C10)</f>
        <v>73762.569999999992</v>
      </c>
      <c r="D11" s="3"/>
      <c r="E11" s="3">
        <f>SUM(E3:E10)</f>
        <v>0</v>
      </c>
      <c r="F11" s="4"/>
    </row>
  </sheetData>
  <mergeCells count="4">
    <mergeCell ref="A1:F1"/>
    <mergeCell ref="A11:B11"/>
    <mergeCell ref="A3:A6"/>
    <mergeCell ref="A7:A9"/>
  </mergeCells>
  <phoneticPr fontId="3" type="noConversion"/>
  <printOptions horizontalCentered="1"/>
  <pageMargins left="0.59055118110236227" right="0.39370078740157483" top="0.59055118110236227" bottom="0.59055118110236227" header="0.39370078740157483" footer="0.39370078740157483"/>
  <pageSetup paperSize="9" orientation="portrait" blackAndWhite="1" errors="dash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448"/>
  <sheetViews>
    <sheetView zoomScaleNormal="100" workbookViewId="0">
      <pane ySplit="1" topLeftCell="A403" activePane="bottomLeft" state="frozen"/>
      <selection activeCell="A88" sqref="A88:C88"/>
      <selection pane="bottomLeft" activeCell="F448" sqref="F448"/>
    </sheetView>
  </sheetViews>
  <sheetFormatPr defaultRowHeight="14.25"/>
  <cols>
    <col min="1" max="1" width="14.625" style="6" customWidth="1"/>
    <col min="2" max="2" width="19.375" style="6" bestFit="1" customWidth="1"/>
    <col min="3" max="3" width="10.625" style="14" customWidth="1"/>
    <col min="4" max="4" width="7.625" style="14" customWidth="1"/>
    <col min="5" max="5" width="6" style="6" bestFit="1" customWidth="1"/>
    <col min="6" max="6" width="10.625" style="9" customWidth="1"/>
    <col min="7" max="7" width="10.625" style="7" customWidth="1"/>
    <col min="8" max="16384" width="9" style="8"/>
  </cols>
  <sheetData>
    <row r="1" spans="1:7">
      <c r="A1" s="6" t="s">
        <v>1</v>
      </c>
      <c r="B1" s="6" t="s">
        <v>2</v>
      </c>
      <c r="C1" s="14" t="s">
        <v>3</v>
      </c>
      <c r="D1" s="14" t="s">
        <v>4</v>
      </c>
      <c r="E1" s="6" t="s">
        <v>5</v>
      </c>
      <c r="F1" s="7" t="s">
        <v>6</v>
      </c>
      <c r="G1" s="7" t="s">
        <v>10</v>
      </c>
    </row>
    <row r="2" spans="1:7">
      <c r="A2" s="6" t="s">
        <v>72</v>
      </c>
      <c r="F2" s="9">
        <f t="shared" ref="F2:F65" si="0">ROUND(PRODUCT(C2:E2),2)</f>
        <v>0</v>
      </c>
    </row>
    <row r="3" spans="1:7">
      <c r="A3" s="6" t="s">
        <v>11</v>
      </c>
      <c r="B3" s="6" t="s">
        <v>23</v>
      </c>
      <c r="C3" s="14">
        <f>0.4*2</f>
        <v>0.8</v>
      </c>
      <c r="D3" s="14">
        <v>14.629</v>
      </c>
      <c r="E3" s="6">
        <f t="shared" ref="E3:E8" si="1">1*14</f>
        <v>14</v>
      </c>
      <c r="F3" s="9">
        <f t="shared" si="0"/>
        <v>163.84</v>
      </c>
      <c r="G3" s="7" t="s">
        <v>72</v>
      </c>
    </row>
    <row r="4" spans="1:7">
      <c r="B4" s="6" t="s">
        <v>23</v>
      </c>
      <c r="C4" s="14">
        <f>0.4*2</f>
        <v>0.8</v>
      </c>
      <c r="D4" s="14">
        <v>15.81</v>
      </c>
      <c r="E4" s="6">
        <f t="shared" si="1"/>
        <v>14</v>
      </c>
      <c r="F4" s="9">
        <f t="shared" si="0"/>
        <v>177.07</v>
      </c>
      <c r="G4" s="7" t="s">
        <v>72</v>
      </c>
    </row>
    <row r="5" spans="1:7">
      <c r="B5" s="6" t="s">
        <v>24</v>
      </c>
      <c r="C5" s="14">
        <f>0.76*2</f>
        <v>1.52</v>
      </c>
      <c r="D5" s="14">
        <v>15.81</v>
      </c>
      <c r="E5" s="6">
        <f t="shared" si="1"/>
        <v>14</v>
      </c>
      <c r="F5" s="9">
        <f t="shared" si="0"/>
        <v>336.44</v>
      </c>
      <c r="G5" s="7" t="s">
        <v>72</v>
      </c>
    </row>
    <row r="6" spans="1:7">
      <c r="B6" s="6" t="s">
        <v>25</v>
      </c>
      <c r="C6" s="14">
        <f>0.2*2</f>
        <v>0.4</v>
      </c>
      <c r="D6" s="14">
        <v>1.633</v>
      </c>
      <c r="E6" s="6">
        <f t="shared" si="1"/>
        <v>14</v>
      </c>
      <c r="F6" s="9">
        <f t="shared" si="0"/>
        <v>9.14</v>
      </c>
      <c r="G6" s="7" t="s">
        <v>72</v>
      </c>
    </row>
    <row r="7" spans="1:7">
      <c r="B7" s="6" t="s">
        <v>25</v>
      </c>
      <c r="C7" s="14">
        <f>0.2*2</f>
        <v>0.4</v>
      </c>
      <c r="D7" s="14">
        <v>1.754</v>
      </c>
      <c r="E7" s="6">
        <f t="shared" si="1"/>
        <v>14</v>
      </c>
      <c r="F7" s="9">
        <f t="shared" si="0"/>
        <v>9.82</v>
      </c>
      <c r="G7" s="7" t="s">
        <v>72</v>
      </c>
    </row>
    <row r="8" spans="1:7">
      <c r="B8" s="6" t="s">
        <v>26</v>
      </c>
      <c r="C8" s="14">
        <f>0.28*2</f>
        <v>0.56000000000000005</v>
      </c>
      <c r="D8" s="14">
        <v>1.754</v>
      </c>
      <c r="E8" s="6">
        <f t="shared" si="1"/>
        <v>14</v>
      </c>
      <c r="F8" s="9">
        <f t="shared" si="0"/>
        <v>13.75</v>
      </c>
      <c r="G8" s="7" t="s">
        <v>72</v>
      </c>
    </row>
    <row r="9" spans="1:7">
      <c r="B9" s="6" t="s">
        <v>27</v>
      </c>
      <c r="C9" s="14">
        <f>0.19*2</f>
        <v>0.38</v>
      </c>
      <c r="D9" s="14">
        <v>0.76</v>
      </c>
      <c r="E9" s="6">
        <f>4*14</f>
        <v>56</v>
      </c>
      <c r="F9" s="9">
        <f t="shared" si="0"/>
        <v>16.170000000000002</v>
      </c>
      <c r="G9" s="7" t="s">
        <v>72</v>
      </c>
    </row>
    <row r="10" spans="1:7">
      <c r="B10" s="6" t="s">
        <v>28</v>
      </c>
      <c r="C10" s="14">
        <f>0.095*2</f>
        <v>0.19</v>
      </c>
      <c r="D10" s="14">
        <v>0.40600000000000003</v>
      </c>
      <c r="E10" s="6">
        <f>1*14</f>
        <v>14</v>
      </c>
      <c r="F10" s="9">
        <f t="shared" si="0"/>
        <v>1.08</v>
      </c>
      <c r="G10" s="7" t="s">
        <v>72</v>
      </c>
    </row>
    <row r="11" spans="1:7">
      <c r="B11" s="6" t="s">
        <v>29</v>
      </c>
      <c r="C11" s="14">
        <f>0.9*2</f>
        <v>1.8</v>
      </c>
      <c r="D11" s="14">
        <v>1.3</v>
      </c>
      <c r="E11" s="6">
        <f>1*14</f>
        <v>14</v>
      </c>
      <c r="F11" s="9">
        <f t="shared" si="0"/>
        <v>32.76</v>
      </c>
      <c r="G11" s="7" t="s">
        <v>72</v>
      </c>
    </row>
    <row r="12" spans="1:7">
      <c r="B12" s="6" t="s">
        <v>30</v>
      </c>
      <c r="C12" s="14">
        <f>0.25*2</f>
        <v>0.5</v>
      </c>
      <c r="D12" s="14">
        <v>0.8</v>
      </c>
      <c r="E12" s="6">
        <f>2*14</f>
        <v>28</v>
      </c>
      <c r="F12" s="9">
        <f t="shared" si="0"/>
        <v>11.2</v>
      </c>
      <c r="G12" s="7" t="s">
        <v>72</v>
      </c>
    </row>
    <row r="13" spans="1:7">
      <c r="B13" s="6" t="s">
        <v>30</v>
      </c>
      <c r="C13" s="14">
        <f>0.25*2</f>
        <v>0.5</v>
      </c>
      <c r="D13" s="14">
        <v>0.9</v>
      </c>
      <c r="E13" s="6">
        <f>1*14</f>
        <v>14</v>
      </c>
      <c r="F13" s="9">
        <f t="shared" si="0"/>
        <v>6.3</v>
      </c>
      <c r="G13" s="7" t="s">
        <v>72</v>
      </c>
    </row>
    <row r="14" spans="1:7">
      <c r="B14" s="6" t="s">
        <v>30</v>
      </c>
      <c r="C14" s="14">
        <f>0.25*2</f>
        <v>0.5</v>
      </c>
      <c r="D14" s="14">
        <v>0.9</v>
      </c>
      <c r="E14" s="6">
        <f>1*14</f>
        <v>14</v>
      </c>
      <c r="F14" s="9">
        <f t="shared" si="0"/>
        <v>6.3</v>
      </c>
      <c r="G14" s="7" t="s">
        <v>72</v>
      </c>
    </row>
    <row r="15" spans="1:7">
      <c r="B15" s="6" t="s">
        <v>31</v>
      </c>
      <c r="C15" s="14">
        <f>0.11*2</f>
        <v>0.22</v>
      </c>
      <c r="D15" s="14">
        <v>0.11</v>
      </c>
      <c r="E15" s="6">
        <f>10*14</f>
        <v>140</v>
      </c>
      <c r="F15" s="9">
        <f t="shared" si="0"/>
        <v>3.39</v>
      </c>
      <c r="G15" s="7" t="s">
        <v>72</v>
      </c>
    </row>
    <row r="16" spans="1:7">
      <c r="B16" s="6" t="s">
        <v>32</v>
      </c>
      <c r="C16" s="14">
        <f>0.345*2</f>
        <v>0.69</v>
      </c>
      <c r="D16" s="14">
        <v>0.76</v>
      </c>
      <c r="E16" s="6">
        <f>2*14</f>
        <v>28</v>
      </c>
      <c r="F16" s="9">
        <f t="shared" si="0"/>
        <v>14.68</v>
      </c>
      <c r="G16" s="7" t="s">
        <v>72</v>
      </c>
    </row>
    <row r="17" spans="1:7">
      <c r="B17" s="6" t="s">
        <v>33</v>
      </c>
      <c r="C17" s="14">
        <f>0.23*2</f>
        <v>0.46</v>
      </c>
      <c r="D17" s="14">
        <v>0.34500000000000003</v>
      </c>
      <c r="E17" s="6">
        <f>4*14</f>
        <v>56</v>
      </c>
      <c r="F17" s="9">
        <f t="shared" si="0"/>
        <v>8.89</v>
      </c>
      <c r="G17" s="7" t="s">
        <v>72</v>
      </c>
    </row>
    <row r="18" spans="1:7">
      <c r="B18" s="6" t="s">
        <v>34</v>
      </c>
      <c r="C18" s="14">
        <f>0.23*2</f>
        <v>0.46</v>
      </c>
      <c r="D18" s="14">
        <v>0.34500000000000003</v>
      </c>
      <c r="E18" s="6">
        <f>6*14</f>
        <v>84</v>
      </c>
      <c r="F18" s="9">
        <f t="shared" si="0"/>
        <v>13.33</v>
      </c>
      <c r="G18" s="7" t="s">
        <v>72</v>
      </c>
    </row>
    <row r="19" spans="1:7">
      <c r="B19" s="6" t="s">
        <v>35</v>
      </c>
      <c r="C19" s="14">
        <f>0.4*2</f>
        <v>0.8</v>
      </c>
      <c r="D19" s="14">
        <v>1.3029999999999999</v>
      </c>
      <c r="E19" s="6">
        <f>1*14</f>
        <v>14</v>
      </c>
      <c r="F19" s="9">
        <f t="shared" si="0"/>
        <v>14.59</v>
      </c>
      <c r="G19" s="7" t="s">
        <v>72</v>
      </c>
    </row>
    <row r="20" spans="1:7">
      <c r="B20" s="6" t="s">
        <v>36</v>
      </c>
      <c r="C20" s="14">
        <f>0.19*2</f>
        <v>0.38</v>
      </c>
      <c r="D20" s="14">
        <v>0.19</v>
      </c>
      <c r="E20" s="6">
        <f>4*14</f>
        <v>56</v>
      </c>
      <c r="F20" s="9">
        <f t="shared" si="0"/>
        <v>4.04</v>
      </c>
      <c r="G20" s="7" t="s">
        <v>72</v>
      </c>
    </row>
    <row r="21" spans="1:7">
      <c r="B21" s="6" t="s">
        <v>37</v>
      </c>
      <c r="C21" s="14">
        <f>0.19*2</f>
        <v>0.38</v>
      </c>
      <c r="D21" s="14">
        <v>0.78</v>
      </c>
      <c r="E21" s="6">
        <f>2*14</f>
        <v>28</v>
      </c>
      <c r="F21" s="9">
        <f t="shared" si="0"/>
        <v>8.3000000000000007</v>
      </c>
      <c r="G21" s="7" t="s">
        <v>72</v>
      </c>
    </row>
    <row r="22" spans="1:7">
      <c r="B22" s="6" t="s">
        <v>37</v>
      </c>
      <c r="C22" s="14">
        <f>0.19*2</f>
        <v>0.38</v>
      </c>
      <c r="D22" s="14">
        <v>0.76</v>
      </c>
      <c r="E22" s="6">
        <f>2*14</f>
        <v>28</v>
      </c>
      <c r="F22" s="9">
        <f t="shared" si="0"/>
        <v>8.09</v>
      </c>
      <c r="G22" s="7" t="s">
        <v>72</v>
      </c>
    </row>
    <row r="23" spans="1:7">
      <c r="A23" s="6" t="s">
        <v>12</v>
      </c>
      <c r="B23" s="6" t="s">
        <v>23</v>
      </c>
      <c r="C23" s="14">
        <f>0.4*2</f>
        <v>0.8</v>
      </c>
      <c r="D23" s="14">
        <v>14.617000000000001</v>
      </c>
      <c r="E23" s="6">
        <f>1*14</f>
        <v>14</v>
      </c>
      <c r="F23" s="9">
        <f t="shared" si="0"/>
        <v>163.71</v>
      </c>
      <c r="G23" s="7" t="s">
        <v>72</v>
      </c>
    </row>
    <row r="24" spans="1:7">
      <c r="B24" s="6" t="s">
        <v>23</v>
      </c>
      <c r="C24" s="14">
        <f>0.4*2</f>
        <v>0.8</v>
      </c>
      <c r="D24" s="14">
        <v>14.521000000000001</v>
      </c>
      <c r="E24" s="6">
        <f>1*14</f>
        <v>14</v>
      </c>
      <c r="F24" s="9">
        <f t="shared" si="0"/>
        <v>162.63999999999999</v>
      </c>
      <c r="G24" s="7" t="s">
        <v>72</v>
      </c>
    </row>
    <row r="25" spans="1:7">
      <c r="B25" s="6" t="s">
        <v>24</v>
      </c>
      <c r="C25" s="14">
        <f>0.76*2</f>
        <v>1.52</v>
      </c>
      <c r="D25" s="14">
        <v>15.896000000000001</v>
      </c>
      <c r="E25" s="6">
        <f>1*14</f>
        <v>14</v>
      </c>
      <c r="F25" s="9">
        <f t="shared" si="0"/>
        <v>338.27</v>
      </c>
      <c r="G25" s="7" t="s">
        <v>72</v>
      </c>
    </row>
    <row r="26" spans="1:7">
      <c r="B26" s="6" t="s">
        <v>38</v>
      </c>
      <c r="C26" s="14">
        <f>0.05*4</f>
        <v>0.2</v>
      </c>
      <c r="D26" s="14">
        <v>0.4</v>
      </c>
      <c r="E26" s="6">
        <f>1*14</f>
        <v>14</v>
      </c>
      <c r="F26" s="9">
        <f t="shared" si="0"/>
        <v>1.1200000000000001</v>
      </c>
      <c r="G26" s="7" t="s">
        <v>72</v>
      </c>
    </row>
    <row r="27" spans="1:7">
      <c r="B27" s="6" t="s">
        <v>23</v>
      </c>
      <c r="C27" s="14">
        <f>0.4*2</f>
        <v>0.8</v>
      </c>
      <c r="D27" s="14">
        <v>0.48</v>
      </c>
      <c r="E27" s="6">
        <f>1*14</f>
        <v>14</v>
      </c>
      <c r="F27" s="9">
        <f t="shared" si="0"/>
        <v>5.38</v>
      </c>
      <c r="G27" s="7" t="s">
        <v>72</v>
      </c>
    </row>
    <row r="28" spans="1:7">
      <c r="B28" s="6" t="s">
        <v>39</v>
      </c>
      <c r="C28" s="14">
        <f>0.19*2</f>
        <v>0.38</v>
      </c>
      <c r="D28" s="14">
        <v>0.76</v>
      </c>
      <c r="E28" s="6">
        <f>4*14</f>
        <v>56</v>
      </c>
      <c r="F28" s="9">
        <f t="shared" si="0"/>
        <v>16.170000000000002</v>
      </c>
      <c r="G28" s="7" t="s">
        <v>72</v>
      </c>
    </row>
    <row r="29" spans="1:7">
      <c r="B29" s="6" t="s">
        <v>23</v>
      </c>
      <c r="C29" s="14">
        <f>0.4*2</f>
        <v>0.8</v>
      </c>
      <c r="D29" s="14">
        <v>0.52800000000000002</v>
      </c>
      <c r="E29" s="6">
        <f>1*14</f>
        <v>14</v>
      </c>
      <c r="F29" s="9">
        <f t="shared" si="0"/>
        <v>5.91</v>
      </c>
      <c r="G29" s="7" t="s">
        <v>72</v>
      </c>
    </row>
    <row r="30" spans="1:7">
      <c r="B30" s="6" t="s">
        <v>40</v>
      </c>
      <c r="C30" s="14">
        <f>0.458*2</f>
        <v>0.91600000000000004</v>
      </c>
      <c r="D30" s="14">
        <v>0.48</v>
      </c>
      <c r="E30" s="6">
        <f>1*14</f>
        <v>14</v>
      </c>
      <c r="F30" s="9">
        <f t="shared" si="0"/>
        <v>6.16</v>
      </c>
      <c r="G30" s="7" t="s">
        <v>72</v>
      </c>
    </row>
    <row r="31" spans="1:7">
      <c r="B31" s="6" t="s">
        <v>39</v>
      </c>
      <c r="C31" s="14">
        <f>0.19*2</f>
        <v>0.38</v>
      </c>
      <c r="D31" s="14">
        <v>0.30599999999999999</v>
      </c>
      <c r="E31" s="6">
        <f>2*14</f>
        <v>28</v>
      </c>
      <c r="F31" s="9">
        <f t="shared" si="0"/>
        <v>3.26</v>
      </c>
      <c r="G31" s="7" t="s">
        <v>72</v>
      </c>
    </row>
    <row r="32" spans="1:7">
      <c r="B32" s="6" t="s">
        <v>41</v>
      </c>
      <c r="C32" s="14">
        <f>0.15*2</f>
        <v>0.3</v>
      </c>
      <c r="D32" s="14">
        <v>0.15</v>
      </c>
      <c r="E32" s="6">
        <f>1*14</f>
        <v>14</v>
      </c>
      <c r="F32" s="9">
        <f t="shared" si="0"/>
        <v>0.63</v>
      </c>
      <c r="G32" s="7" t="s">
        <v>72</v>
      </c>
    </row>
    <row r="33" spans="1:7">
      <c r="B33" s="6" t="s">
        <v>42</v>
      </c>
      <c r="C33" s="14">
        <f>0.9*2</f>
        <v>1.8</v>
      </c>
      <c r="D33" s="14">
        <v>1.3</v>
      </c>
      <c r="E33" s="6">
        <f>1*14</f>
        <v>14</v>
      </c>
      <c r="F33" s="9">
        <f t="shared" si="0"/>
        <v>32.76</v>
      </c>
      <c r="G33" s="7" t="s">
        <v>72</v>
      </c>
    </row>
    <row r="34" spans="1:7">
      <c r="B34" s="6" t="s">
        <v>43</v>
      </c>
      <c r="C34" s="14">
        <f>0.25*2</f>
        <v>0.5</v>
      </c>
      <c r="D34" s="14">
        <v>0.8</v>
      </c>
      <c r="E34" s="6">
        <f>2*14</f>
        <v>28</v>
      </c>
      <c r="F34" s="9">
        <f t="shared" si="0"/>
        <v>11.2</v>
      </c>
      <c r="G34" s="7" t="s">
        <v>72</v>
      </c>
    </row>
    <row r="35" spans="1:7">
      <c r="B35" s="6" t="s">
        <v>43</v>
      </c>
      <c r="C35" s="14">
        <f>0.25*2</f>
        <v>0.5</v>
      </c>
      <c r="D35" s="14">
        <v>0.9</v>
      </c>
      <c r="E35" s="6">
        <f>1*14</f>
        <v>14</v>
      </c>
      <c r="F35" s="9">
        <f t="shared" si="0"/>
        <v>6.3</v>
      </c>
      <c r="G35" s="7" t="s">
        <v>72</v>
      </c>
    </row>
    <row r="36" spans="1:7">
      <c r="B36" s="6" t="s">
        <v>43</v>
      </c>
      <c r="C36" s="14">
        <f>0.25*2</f>
        <v>0.5</v>
      </c>
      <c r="D36" s="14">
        <v>0.9</v>
      </c>
      <c r="E36" s="6">
        <f>1*14</f>
        <v>14</v>
      </c>
      <c r="F36" s="9">
        <f t="shared" si="0"/>
        <v>6.3</v>
      </c>
      <c r="G36" s="7" t="s">
        <v>72</v>
      </c>
    </row>
    <row r="37" spans="1:7">
      <c r="B37" s="6" t="s">
        <v>44</v>
      </c>
      <c r="C37" s="14">
        <f>0.11*2</f>
        <v>0.22</v>
      </c>
      <c r="D37" s="14">
        <v>0.11</v>
      </c>
      <c r="E37" s="6">
        <f>10*14</f>
        <v>140</v>
      </c>
      <c r="F37" s="9">
        <f t="shared" si="0"/>
        <v>3.39</v>
      </c>
      <c r="G37" s="7" t="s">
        <v>72</v>
      </c>
    </row>
    <row r="38" spans="1:7">
      <c r="B38" s="6" t="s">
        <v>45</v>
      </c>
      <c r="C38" s="14">
        <f>0.34*2</f>
        <v>0.68</v>
      </c>
      <c r="D38" s="14">
        <v>0.76</v>
      </c>
      <c r="E38" s="6">
        <f>2*14</f>
        <v>28</v>
      </c>
      <c r="F38" s="9">
        <f t="shared" si="0"/>
        <v>14.47</v>
      </c>
      <c r="G38" s="7" t="s">
        <v>72</v>
      </c>
    </row>
    <row r="39" spans="1:7">
      <c r="B39" s="6" t="s">
        <v>33</v>
      </c>
      <c r="C39" s="14">
        <f>0.23*2</f>
        <v>0.46</v>
      </c>
      <c r="D39" s="14">
        <v>0.34500000000000003</v>
      </c>
      <c r="E39" s="6">
        <f>4*14</f>
        <v>56</v>
      </c>
      <c r="F39" s="9">
        <f t="shared" si="0"/>
        <v>8.89</v>
      </c>
      <c r="G39" s="7" t="s">
        <v>72</v>
      </c>
    </row>
    <row r="40" spans="1:7">
      <c r="B40" s="6" t="s">
        <v>34</v>
      </c>
      <c r="C40" s="14">
        <f>0.23*2</f>
        <v>0.46</v>
      </c>
      <c r="D40" s="14">
        <v>0.34500000000000003</v>
      </c>
      <c r="E40" s="6">
        <f>6*14</f>
        <v>84</v>
      </c>
      <c r="F40" s="9">
        <f t="shared" si="0"/>
        <v>13.33</v>
      </c>
      <c r="G40" s="7" t="s">
        <v>72</v>
      </c>
    </row>
    <row r="41" spans="1:7">
      <c r="B41" s="6" t="s">
        <v>23</v>
      </c>
      <c r="C41" s="14">
        <f>0.4*2</f>
        <v>0.8</v>
      </c>
      <c r="D41" s="14">
        <v>1.2790000000000001</v>
      </c>
      <c r="E41" s="6">
        <f>1*14</f>
        <v>14</v>
      </c>
      <c r="F41" s="9">
        <f t="shared" si="0"/>
        <v>14.32</v>
      </c>
      <c r="G41" s="7" t="s">
        <v>72</v>
      </c>
    </row>
    <row r="42" spans="1:7">
      <c r="B42" s="6" t="s">
        <v>36</v>
      </c>
      <c r="C42" s="14">
        <f>0.19*2</f>
        <v>0.38</v>
      </c>
      <c r="D42" s="14">
        <v>0.19</v>
      </c>
      <c r="E42" s="6">
        <f>8*14</f>
        <v>112</v>
      </c>
      <c r="F42" s="9">
        <f t="shared" si="0"/>
        <v>8.09</v>
      </c>
      <c r="G42" s="7" t="s">
        <v>72</v>
      </c>
    </row>
    <row r="43" spans="1:7">
      <c r="B43" s="6" t="s">
        <v>23</v>
      </c>
      <c r="C43" s="14">
        <f>0.4*2</f>
        <v>0.8</v>
      </c>
      <c r="D43" s="14">
        <v>1.375</v>
      </c>
      <c r="E43" s="6">
        <f>1*14</f>
        <v>14</v>
      </c>
      <c r="F43" s="9">
        <f t="shared" si="0"/>
        <v>15.4</v>
      </c>
      <c r="G43" s="7" t="s">
        <v>72</v>
      </c>
    </row>
    <row r="44" spans="1:7">
      <c r="B44" s="6" t="s">
        <v>37</v>
      </c>
      <c r="C44" s="14">
        <f>0.19*2</f>
        <v>0.38</v>
      </c>
      <c r="D44" s="14">
        <v>0.76</v>
      </c>
      <c r="E44" s="6">
        <f>2*14</f>
        <v>28</v>
      </c>
      <c r="F44" s="9">
        <f t="shared" si="0"/>
        <v>8.09</v>
      </c>
      <c r="G44" s="7" t="s">
        <v>72</v>
      </c>
    </row>
    <row r="45" spans="1:7">
      <c r="B45" s="6" t="s">
        <v>37</v>
      </c>
      <c r="C45" s="14">
        <f>0.19*2</f>
        <v>0.38</v>
      </c>
      <c r="D45" s="14">
        <v>0.76700000000000002</v>
      </c>
      <c r="E45" s="6">
        <f>2*14</f>
        <v>28</v>
      </c>
      <c r="F45" s="9">
        <f t="shared" si="0"/>
        <v>8.16</v>
      </c>
      <c r="G45" s="7" t="s">
        <v>72</v>
      </c>
    </row>
    <row r="46" spans="1:7">
      <c r="A46" s="6" t="s">
        <v>13</v>
      </c>
      <c r="B46" s="6" t="s">
        <v>46</v>
      </c>
      <c r="C46" s="14">
        <f>0.3*2</f>
        <v>0.6</v>
      </c>
      <c r="D46" s="14">
        <v>13.66</v>
      </c>
      <c r="E46" s="6">
        <f>4*14</f>
        <v>56</v>
      </c>
      <c r="F46" s="9">
        <f t="shared" si="0"/>
        <v>458.98</v>
      </c>
      <c r="G46" s="7" t="s">
        <v>72</v>
      </c>
    </row>
    <row r="47" spans="1:7">
      <c r="B47" s="6" t="s">
        <v>47</v>
      </c>
      <c r="C47" s="14">
        <f>0.768*2</f>
        <v>1.536</v>
      </c>
      <c r="D47" s="14">
        <v>12.43</v>
      </c>
      <c r="E47" s="6">
        <f>1*14</f>
        <v>14</v>
      </c>
      <c r="F47" s="9">
        <f t="shared" si="0"/>
        <v>267.29000000000002</v>
      </c>
      <c r="G47" s="7" t="s">
        <v>72</v>
      </c>
    </row>
    <row r="48" spans="1:7">
      <c r="B48" s="6" t="s">
        <v>47</v>
      </c>
      <c r="C48" s="14">
        <f>0.768*2</f>
        <v>1.536</v>
      </c>
      <c r="D48" s="14">
        <v>13.66</v>
      </c>
      <c r="E48" s="6">
        <f>1*14</f>
        <v>14</v>
      </c>
      <c r="F48" s="9">
        <f t="shared" si="0"/>
        <v>293.74</v>
      </c>
      <c r="G48" s="7" t="s">
        <v>72</v>
      </c>
    </row>
    <row r="49" spans="2:7">
      <c r="B49" s="6" t="s">
        <v>15</v>
      </c>
      <c r="C49" s="14">
        <f>0.16*2+0.063*4</f>
        <v>0.57200000000000006</v>
      </c>
      <c r="D49" s="14">
        <v>2.2000000000000002</v>
      </c>
      <c r="E49" s="6">
        <f>2*14</f>
        <v>28</v>
      </c>
      <c r="F49" s="9">
        <f t="shared" si="0"/>
        <v>35.24</v>
      </c>
      <c r="G49" s="7" t="s">
        <v>72</v>
      </c>
    </row>
    <row r="50" spans="2:7">
      <c r="B50" s="6" t="s">
        <v>15</v>
      </c>
      <c r="C50" s="14">
        <f>0.16*2+0.063*4</f>
        <v>0.57200000000000006</v>
      </c>
      <c r="D50" s="14">
        <v>2.1179999999999999</v>
      </c>
      <c r="E50" s="6">
        <f>8*14</f>
        <v>112</v>
      </c>
      <c r="F50" s="9">
        <f t="shared" si="0"/>
        <v>135.69</v>
      </c>
      <c r="G50" s="7" t="s">
        <v>72</v>
      </c>
    </row>
    <row r="51" spans="2:7">
      <c r="B51" s="6" t="s">
        <v>15</v>
      </c>
      <c r="C51" s="14">
        <f>0.16*2+0.063*4</f>
        <v>0.57200000000000006</v>
      </c>
      <c r="D51" s="14">
        <v>1.2310000000000001</v>
      </c>
      <c r="E51" s="6">
        <f>2*14</f>
        <v>28</v>
      </c>
      <c r="F51" s="9">
        <f t="shared" si="0"/>
        <v>19.72</v>
      </c>
      <c r="G51" s="7" t="s">
        <v>72</v>
      </c>
    </row>
    <row r="52" spans="2:7">
      <c r="B52" s="6" t="s">
        <v>16</v>
      </c>
      <c r="C52" s="14">
        <f>0.14*2+0.058*4</f>
        <v>0.51200000000000001</v>
      </c>
      <c r="D52" s="14">
        <v>1.74</v>
      </c>
      <c r="E52" s="6">
        <f>10*14</f>
        <v>140</v>
      </c>
      <c r="F52" s="9">
        <f t="shared" si="0"/>
        <v>124.72</v>
      </c>
      <c r="G52" s="7" t="s">
        <v>72</v>
      </c>
    </row>
    <row r="53" spans="2:7">
      <c r="B53" s="6" t="s">
        <v>17</v>
      </c>
      <c r="C53" s="14">
        <f t="shared" ref="C53:C60" si="2">0.05*4</f>
        <v>0.2</v>
      </c>
      <c r="D53" s="14">
        <v>0.748</v>
      </c>
      <c r="E53" s="6">
        <f>12*14</f>
        <v>168</v>
      </c>
      <c r="F53" s="9">
        <f t="shared" si="0"/>
        <v>25.13</v>
      </c>
      <c r="G53" s="7" t="s">
        <v>72</v>
      </c>
    </row>
    <row r="54" spans="2:7">
      <c r="B54" s="6" t="s">
        <v>17</v>
      </c>
      <c r="C54" s="14">
        <f t="shared" si="2"/>
        <v>0.2</v>
      </c>
      <c r="D54" s="14">
        <v>1.1739999999999999</v>
      </c>
      <c r="E54" s="6">
        <f>5*14</f>
        <v>70</v>
      </c>
      <c r="F54" s="9">
        <f t="shared" si="0"/>
        <v>16.440000000000001</v>
      </c>
      <c r="G54" s="7" t="s">
        <v>72</v>
      </c>
    </row>
    <row r="55" spans="2:7">
      <c r="B55" s="6" t="s">
        <v>17</v>
      </c>
      <c r="C55" s="14">
        <f t="shared" si="2"/>
        <v>0.2</v>
      </c>
      <c r="D55" s="14">
        <v>1.135</v>
      </c>
      <c r="E55" s="6">
        <f>5*14</f>
        <v>70</v>
      </c>
      <c r="F55" s="9">
        <f t="shared" si="0"/>
        <v>15.89</v>
      </c>
      <c r="G55" s="7" t="s">
        <v>72</v>
      </c>
    </row>
    <row r="56" spans="2:7">
      <c r="B56" s="6" t="s">
        <v>17</v>
      </c>
      <c r="C56" s="14">
        <f t="shared" si="2"/>
        <v>0.2</v>
      </c>
      <c r="D56" s="14">
        <v>0.99299999999999999</v>
      </c>
      <c r="E56" s="6">
        <f>1*14</f>
        <v>14</v>
      </c>
      <c r="F56" s="9">
        <f t="shared" si="0"/>
        <v>2.78</v>
      </c>
      <c r="G56" s="7" t="s">
        <v>72</v>
      </c>
    </row>
    <row r="57" spans="2:7">
      <c r="B57" s="6" t="s">
        <v>17</v>
      </c>
      <c r="C57" s="14">
        <f t="shared" si="2"/>
        <v>0.2</v>
      </c>
      <c r="D57" s="14">
        <v>0.95900000000000007</v>
      </c>
      <c r="E57" s="6">
        <f>6*14</f>
        <v>84</v>
      </c>
      <c r="F57" s="9">
        <f t="shared" si="0"/>
        <v>16.11</v>
      </c>
      <c r="G57" s="7" t="s">
        <v>72</v>
      </c>
    </row>
    <row r="58" spans="2:7">
      <c r="B58" s="6" t="s">
        <v>17</v>
      </c>
      <c r="C58" s="14">
        <f t="shared" si="2"/>
        <v>0.2</v>
      </c>
      <c r="D58" s="14">
        <v>1.034</v>
      </c>
      <c r="E58" s="6">
        <f>1*14</f>
        <v>14</v>
      </c>
      <c r="F58" s="9">
        <f t="shared" si="0"/>
        <v>2.9</v>
      </c>
      <c r="G58" s="7" t="s">
        <v>72</v>
      </c>
    </row>
    <row r="59" spans="2:7">
      <c r="B59" s="6" t="s">
        <v>17</v>
      </c>
      <c r="C59" s="14">
        <f t="shared" si="2"/>
        <v>0.2</v>
      </c>
      <c r="D59" s="14">
        <v>0.998</v>
      </c>
      <c r="E59" s="6">
        <f>1*14</f>
        <v>14</v>
      </c>
      <c r="F59" s="9">
        <f t="shared" si="0"/>
        <v>2.79</v>
      </c>
      <c r="G59" s="7" t="s">
        <v>72</v>
      </c>
    </row>
    <row r="60" spans="2:7">
      <c r="B60" s="6" t="s">
        <v>17</v>
      </c>
      <c r="C60" s="14">
        <f t="shared" si="2"/>
        <v>0.2</v>
      </c>
      <c r="D60" s="14">
        <v>0.92500000000000004</v>
      </c>
      <c r="E60" s="6">
        <f>5*14</f>
        <v>70</v>
      </c>
      <c r="F60" s="9">
        <f t="shared" si="0"/>
        <v>12.95</v>
      </c>
      <c r="G60" s="7" t="s">
        <v>72</v>
      </c>
    </row>
    <row r="61" spans="2:7">
      <c r="B61" s="6" t="s">
        <v>15</v>
      </c>
      <c r="C61" s="14">
        <f>0.16*2+0.063*4</f>
        <v>0.57200000000000006</v>
      </c>
      <c r="D61" s="14">
        <v>1.702</v>
      </c>
      <c r="E61" s="6">
        <f>2*14</f>
        <v>28</v>
      </c>
      <c r="F61" s="9">
        <f t="shared" si="0"/>
        <v>27.26</v>
      </c>
      <c r="G61" s="7" t="s">
        <v>72</v>
      </c>
    </row>
    <row r="62" spans="2:7">
      <c r="B62" s="6" t="s">
        <v>23</v>
      </c>
      <c r="C62" s="14">
        <f>0.4*2</f>
        <v>0.8</v>
      </c>
      <c r="D62" s="14">
        <v>6.9969999999999999</v>
      </c>
      <c r="E62" s="6">
        <f t="shared" ref="E62:E69" si="3">1*14</f>
        <v>14</v>
      </c>
      <c r="F62" s="9">
        <f t="shared" si="0"/>
        <v>78.37</v>
      </c>
      <c r="G62" s="7" t="s">
        <v>72</v>
      </c>
    </row>
    <row r="63" spans="2:7">
      <c r="B63" s="6" t="s">
        <v>23</v>
      </c>
      <c r="C63" s="14">
        <f>0.4*2</f>
        <v>0.8</v>
      </c>
      <c r="D63" s="14">
        <v>2.0420000000000003</v>
      </c>
      <c r="E63" s="6">
        <f t="shared" si="3"/>
        <v>14</v>
      </c>
      <c r="F63" s="9">
        <f t="shared" si="0"/>
        <v>22.87</v>
      </c>
      <c r="G63" s="7" t="s">
        <v>72</v>
      </c>
    </row>
    <row r="64" spans="2:7">
      <c r="B64" s="6" t="s">
        <v>48</v>
      </c>
      <c r="C64" s="14">
        <f>0.86*2</f>
        <v>1.72</v>
      </c>
      <c r="D64" s="14">
        <v>7.3500000000000005</v>
      </c>
      <c r="E64" s="6">
        <f t="shared" si="3"/>
        <v>14</v>
      </c>
      <c r="F64" s="9">
        <f t="shared" si="0"/>
        <v>176.99</v>
      </c>
      <c r="G64" s="7" t="s">
        <v>72</v>
      </c>
    </row>
    <row r="65" spans="2:7">
      <c r="B65" s="6" t="s">
        <v>22</v>
      </c>
      <c r="C65" s="14">
        <f>0.125*4</f>
        <v>0.5</v>
      </c>
      <c r="D65" s="14">
        <v>0.4</v>
      </c>
      <c r="E65" s="6">
        <f t="shared" si="3"/>
        <v>14</v>
      </c>
      <c r="F65" s="9">
        <f t="shared" si="0"/>
        <v>2.8</v>
      </c>
      <c r="G65" s="7" t="s">
        <v>72</v>
      </c>
    </row>
    <row r="66" spans="2:7">
      <c r="B66" s="6" t="s">
        <v>23</v>
      </c>
      <c r="C66" s="14">
        <f>0.4*2</f>
        <v>0.8</v>
      </c>
      <c r="D66" s="14">
        <v>4.6790000000000003</v>
      </c>
      <c r="E66" s="6">
        <f t="shared" si="3"/>
        <v>14</v>
      </c>
      <c r="F66" s="9">
        <f t="shared" ref="F66:F129" si="4">ROUND(PRODUCT(C66:E66),2)</f>
        <v>52.4</v>
      </c>
      <c r="G66" s="7" t="s">
        <v>72</v>
      </c>
    </row>
    <row r="67" spans="2:7">
      <c r="B67" s="6" t="s">
        <v>25</v>
      </c>
      <c r="C67" s="14">
        <f>0.2*2</f>
        <v>0.4</v>
      </c>
      <c r="D67" s="14">
        <v>1.629</v>
      </c>
      <c r="E67" s="6">
        <f t="shared" si="3"/>
        <v>14</v>
      </c>
      <c r="F67" s="9">
        <f t="shared" si="4"/>
        <v>9.1199999999999992</v>
      </c>
      <c r="G67" s="7" t="s">
        <v>72</v>
      </c>
    </row>
    <row r="68" spans="2:7">
      <c r="B68" s="6" t="s">
        <v>25</v>
      </c>
      <c r="C68" s="14">
        <f>0.2*2</f>
        <v>0.4</v>
      </c>
      <c r="D68" s="14">
        <v>1.75</v>
      </c>
      <c r="E68" s="6">
        <f t="shared" si="3"/>
        <v>14</v>
      </c>
      <c r="F68" s="9">
        <f t="shared" si="4"/>
        <v>9.8000000000000007</v>
      </c>
      <c r="G68" s="7" t="s">
        <v>72</v>
      </c>
    </row>
    <row r="69" spans="2:7">
      <c r="B69" s="6" t="s">
        <v>26</v>
      </c>
      <c r="C69" s="14">
        <f>0.28*2</f>
        <v>0.56000000000000005</v>
      </c>
      <c r="D69" s="14">
        <v>1.75</v>
      </c>
      <c r="E69" s="6">
        <f t="shared" si="3"/>
        <v>14</v>
      </c>
      <c r="F69" s="9">
        <f t="shared" si="4"/>
        <v>13.72</v>
      </c>
      <c r="G69" s="7" t="s">
        <v>72</v>
      </c>
    </row>
    <row r="70" spans="2:7">
      <c r="B70" s="6" t="s">
        <v>49</v>
      </c>
      <c r="C70" s="14">
        <f>0.3*2</f>
        <v>0.6</v>
      </c>
      <c r="D70" s="14">
        <v>0.85</v>
      </c>
      <c r="E70" s="6">
        <f>2*14</f>
        <v>28</v>
      </c>
      <c r="F70" s="9">
        <f t="shared" si="4"/>
        <v>14.28</v>
      </c>
      <c r="G70" s="7" t="s">
        <v>72</v>
      </c>
    </row>
    <row r="71" spans="2:7">
      <c r="B71" s="6" t="s">
        <v>50</v>
      </c>
      <c r="C71" s="14">
        <f>0.14*2</f>
        <v>0.28000000000000003</v>
      </c>
      <c r="D71" s="14">
        <v>0.4</v>
      </c>
      <c r="E71" s="6">
        <f>4*14</f>
        <v>56</v>
      </c>
      <c r="F71" s="9">
        <f t="shared" si="4"/>
        <v>6.27</v>
      </c>
      <c r="G71" s="7" t="s">
        <v>72</v>
      </c>
    </row>
    <row r="72" spans="2:7">
      <c r="B72" s="6" t="s">
        <v>51</v>
      </c>
      <c r="C72" s="14">
        <f>0.768*2</f>
        <v>1.536</v>
      </c>
      <c r="D72" s="14">
        <v>1.78</v>
      </c>
      <c r="E72" s="6">
        <f>1*14</f>
        <v>14</v>
      </c>
      <c r="F72" s="9">
        <f t="shared" si="4"/>
        <v>38.28</v>
      </c>
      <c r="G72" s="7" t="s">
        <v>72</v>
      </c>
    </row>
    <row r="73" spans="2:7">
      <c r="B73" s="6" t="s">
        <v>52</v>
      </c>
      <c r="C73" s="14">
        <f>0.14*2</f>
        <v>0.28000000000000003</v>
      </c>
      <c r="D73" s="14">
        <v>0.76800000000000002</v>
      </c>
      <c r="E73" s="6">
        <f>2*14</f>
        <v>28</v>
      </c>
      <c r="F73" s="9">
        <f t="shared" si="4"/>
        <v>6.02</v>
      </c>
      <c r="G73" s="7" t="s">
        <v>72</v>
      </c>
    </row>
    <row r="74" spans="2:7">
      <c r="B74" s="6" t="s">
        <v>53</v>
      </c>
      <c r="C74" s="14">
        <f>0.3*2</f>
        <v>0.6</v>
      </c>
      <c r="D74" s="14">
        <v>1.5</v>
      </c>
      <c r="E74" s="6">
        <f>2*14</f>
        <v>28</v>
      </c>
      <c r="F74" s="9">
        <f t="shared" si="4"/>
        <v>25.2</v>
      </c>
      <c r="G74" s="7" t="s">
        <v>72</v>
      </c>
    </row>
    <row r="75" spans="2:7">
      <c r="B75" s="6" t="s">
        <v>54</v>
      </c>
      <c r="C75" s="14">
        <f>0.8*2</f>
        <v>1.6</v>
      </c>
      <c r="D75" s="14">
        <v>1.78</v>
      </c>
      <c r="E75" s="6">
        <f>2*14</f>
        <v>28</v>
      </c>
      <c r="F75" s="9">
        <f t="shared" si="4"/>
        <v>79.739999999999995</v>
      </c>
      <c r="G75" s="7" t="s">
        <v>72</v>
      </c>
    </row>
    <row r="76" spans="2:7">
      <c r="B76" s="6" t="s">
        <v>55</v>
      </c>
      <c r="C76" s="14">
        <f>0.52*2</f>
        <v>1.04</v>
      </c>
      <c r="D76" s="14">
        <v>0.8</v>
      </c>
      <c r="E76" s="6">
        <f>1*14</f>
        <v>14</v>
      </c>
      <c r="F76" s="9">
        <f t="shared" si="4"/>
        <v>11.65</v>
      </c>
      <c r="G76" s="7" t="s">
        <v>72</v>
      </c>
    </row>
    <row r="77" spans="2:7">
      <c r="B77" s="6" t="s">
        <v>55</v>
      </c>
      <c r="C77" s="14">
        <f>0.52*2</f>
        <v>1.04</v>
      </c>
      <c r="D77" s="14">
        <v>0.8</v>
      </c>
      <c r="E77" s="6">
        <f>1*14</f>
        <v>14</v>
      </c>
      <c r="F77" s="9">
        <f t="shared" si="4"/>
        <v>11.65</v>
      </c>
      <c r="G77" s="7" t="s">
        <v>72</v>
      </c>
    </row>
    <row r="78" spans="2:7">
      <c r="B78" s="6" t="s">
        <v>56</v>
      </c>
      <c r="C78" s="14">
        <f>0.392*2</f>
        <v>0.78400000000000003</v>
      </c>
      <c r="D78" s="14">
        <v>0.5</v>
      </c>
      <c r="E78" s="6">
        <f>2*14</f>
        <v>28</v>
      </c>
      <c r="F78" s="9">
        <f t="shared" si="4"/>
        <v>10.98</v>
      </c>
      <c r="G78" s="7" t="s">
        <v>72</v>
      </c>
    </row>
    <row r="79" spans="2:7">
      <c r="B79" s="6" t="s">
        <v>49</v>
      </c>
      <c r="C79" s="14">
        <f>0.3*2</f>
        <v>0.6</v>
      </c>
      <c r="D79" s="14">
        <v>0.3</v>
      </c>
      <c r="E79" s="6">
        <f>2*14</f>
        <v>28</v>
      </c>
      <c r="F79" s="9">
        <f t="shared" si="4"/>
        <v>5.04</v>
      </c>
      <c r="G79" s="7" t="s">
        <v>72</v>
      </c>
    </row>
    <row r="80" spans="2:7">
      <c r="B80" s="6" t="s">
        <v>57</v>
      </c>
      <c r="C80" s="14">
        <f>0.5*2</f>
        <v>1</v>
      </c>
      <c r="D80" s="14">
        <v>1.78</v>
      </c>
      <c r="E80" s="6">
        <f>1*14</f>
        <v>14</v>
      </c>
      <c r="F80" s="9">
        <f t="shared" si="4"/>
        <v>24.92</v>
      </c>
      <c r="G80" s="7" t="s">
        <v>72</v>
      </c>
    </row>
    <row r="81" spans="2:7">
      <c r="B81" s="6" t="s">
        <v>57</v>
      </c>
      <c r="C81" s="14">
        <f>0.5*2</f>
        <v>1</v>
      </c>
      <c r="D81" s="14">
        <v>0.52</v>
      </c>
      <c r="E81" s="6">
        <f>1*14</f>
        <v>14</v>
      </c>
      <c r="F81" s="9">
        <f t="shared" si="4"/>
        <v>7.28</v>
      </c>
      <c r="G81" s="7" t="s">
        <v>72</v>
      </c>
    </row>
    <row r="82" spans="2:7">
      <c r="B82" s="6" t="s">
        <v>58</v>
      </c>
      <c r="C82" s="14">
        <f>0.1*2</f>
        <v>0.2</v>
      </c>
      <c r="D82" s="14">
        <v>0.41100000000000003</v>
      </c>
      <c r="E82" s="6">
        <f>8*14</f>
        <v>112</v>
      </c>
      <c r="F82" s="9">
        <f t="shared" si="4"/>
        <v>9.2100000000000009</v>
      </c>
      <c r="G82" s="7" t="s">
        <v>72</v>
      </c>
    </row>
    <row r="83" spans="2:7">
      <c r="B83" s="6" t="s">
        <v>59</v>
      </c>
      <c r="C83" s="14">
        <f>0.287*2</f>
        <v>0.57399999999999995</v>
      </c>
      <c r="D83" s="14">
        <v>0.44500000000000001</v>
      </c>
      <c r="E83" s="6">
        <f>2*14</f>
        <v>28</v>
      </c>
      <c r="F83" s="9">
        <f t="shared" si="4"/>
        <v>7.15</v>
      </c>
      <c r="G83" s="7" t="s">
        <v>72</v>
      </c>
    </row>
    <row r="84" spans="2:7">
      <c r="B84" s="6" t="s">
        <v>60</v>
      </c>
      <c r="C84" s="14">
        <f>0.133*2</f>
        <v>0.26600000000000001</v>
      </c>
      <c r="D84" s="14">
        <v>0.17200000000000001</v>
      </c>
      <c r="E84" s="6">
        <f>2*14</f>
        <v>28</v>
      </c>
      <c r="F84" s="9">
        <f t="shared" si="4"/>
        <v>1.28</v>
      </c>
      <c r="G84" s="7" t="s">
        <v>72</v>
      </c>
    </row>
    <row r="85" spans="2:7">
      <c r="B85" s="6" t="s">
        <v>50</v>
      </c>
      <c r="C85" s="14">
        <f>0.14*2</f>
        <v>0.28000000000000003</v>
      </c>
      <c r="D85" s="14">
        <v>0.76800000000000002</v>
      </c>
      <c r="E85" s="6">
        <f>8*14</f>
        <v>112</v>
      </c>
      <c r="F85" s="9">
        <f t="shared" si="4"/>
        <v>24.08</v>
      </c>
      <c r="G85" s="7" t="s">
        <v>72</v>
      </c>
    </row>
    <row r="86" spans="2:7">
      <c r="B86" s="6" t="s">
        <v>61</v>
      </c>
      <c r="C86" s="14">
        <f>0.9*2</f>
        <v>1.8</v>
      </c>
      <c r="D86" s="14">
        <v>1.72</v>
      </c>
      <c r="E86" s="6">
        <f t="shared" ref="E86:E94" si="5">1*14</f>
        <v>14</v>
      </c>
      <c r="F86" s="9">
        <f t="shared" si="4"/>
        <v>43.34</v>
      </c>
      <c r="G86" s="7" t="s">
        <v>72</v>
      </c>
    </row>
    <row r="87" spans="2:7">
      <c r="B87" s="6" t="s">
        <v>62</v>
      </c>
      <c r="C87" s="14">
        <f>0.42*2</f>
        <v>0.84</v>
      </c>
      <c r="D87" s="14">
        <v>0.9</v>
      </c>
      <c r="E87" s="6">
        <f t="shared" si="5"/>
        <v>14</v>
      </c>
      <c r="F87" s="9">
        <f t="shared" si="4"/>
        <v>10.58</v>
      </c>
      <c r="G87" s="7" t="s">
        <v>72</v>
      </c>
    </row>
    <row r="88" spans="2:7">
      <c r="B88" s="6" t="s">
        <v>63</v>
      </c>
      <c r="C88" s="14">
        <f>0.768*2</f>
        <v>1.536</v>
      </c>
      <c r="D88" s="14">
        <v>1.23</v>
      </c>
      <c r="E88" s="6">
        <f t="shared" si="5"/>
        <v>14</v>
      </c>
      <c r="F88" s="9">
        <f t="shared" si="4"/>
        <v>26.45</v>
      </c>
      <c r="G88" s="7" t="s">
        <v>72</v>
      </c>
    </row>
    <row r="89" spans="2:7">
      <c r="B89" s="6" t="s">
        <v>64</v>
      </c>
      <c r="C89" s="14">
        <f>0.62*2</f>
        <v>1.24</v>
      </c>
      <c r="D89" s="14">
        <v>0.84</v>
      </c>
      <c r="E89" s="6">
        <f t="shared" si="5"/>
        <v>14</v>
      </c>
      <c r="F89" s="9">
        <f t="shared" si="4"/>
        <v>14.58</v>
      </c>
      <c r="G89" s="7" t="s">
        <v>72</v>
      </c>
    </row>
    <row r="90" spans="2:7">
      <c r="B90" s="6" t="s">
        <v>65</v>
      </c>
      <c r="C90" s="14">
        <f>0.4*2</f>
        <v>0.8</v>
      </c>
      <c r="D90" s="14">
        <v>0.86</v>
      </c>
      <c r="E90" s="6">
        <f t="shared" si="5"/>
        <v>14</v>
      </c>
      <c r="F90" s="9">
        <f t="shared" si="4"/>
        <v>9.6300000000000008</v>
      </c>
      <c r="G90" s="7" t="s">
        <v>72</v>
      </c>
    </row>
    <row r="91" spans="2:7">
      <c r="B91" s="6" t="s">
        <v>64</v>
      </c>
      <c r="C91" s="14">
        <f>0.62*2</f>
        <v>1.24</v>
      </c>
      <c r="D91" s="14">
        <v>0.84</v>
      </c>
      <c r="E91" s="6">
        <f t="shared" si="5"/>
        <v>14</v>
      </c>
      <c r="F91" s="9">
        <f t="shared" si="4"/>
        <v>14.58</v>
      </c>
      <c r="G91" s="7" t="s">
        <v>72</v>
      </c>
    </row>
    <row r="92" spans="2:7">
      <c r="B92" s="6" t="s">
        <v>66</v>
      </c>
      <c r="C92" s="14">
        <f>0.768*2</f>
        <v>1.536</v>
      </c>
      <c r="D92" s="14">
        <v>1.778</v>
      </c>
      <c r="E92" s="6">
        <f t="shared" si="5"/>
        <v>14</v>
      </c>
      <c r="F92" s="9">
        <f t="shared" si="4"/>
        <v>38.229999999999997</v>
      </c>
      <c r="G92" s="7" t="s">
        <v>72</v>
      </c>
    </row>
    <row r="93" spans="2:7">
      <c r="B93" s="6" t="s">
        <v>67</v>
      </c>
      <c r="C93" s="14">
        <f>0.138*2</f>
        <v>0.27600000000000002</v>
      </c>
      <c r="D93" s="14">
        <v>0.76800000000000002</v>
      </c>
      <c r="E93" s="6">
        <f t="shared" si="5"/>
        <v>14</v>
      </c>
      <c r="F93" s="9">
        <f t="shared" si="4"/>
        <v>2.97</v>
      </c>
      <c r="G93" s="7" t="s">
        <v>72</v>
      </c>
    </row>
    <row r="94" spans="2:7">
      <c r="B94" s="6" t="s">
        <v>68</v>
      </c>
      <c r="C94" s="14">
        <f>0.14*2</f>
        <v>0.28000000000000003</v>
      </c>
      <c r="D94" s="14">
        <v>0.76800000000000002</v>
      </c>
      <c r="E94" s="6">
        <f t="shared" si="5"/>
        <v>14</v>
      </c>
      <c r="F94" s="9">
        <f t="shared" si="4"/>
        <v>3.01</v>
      </c>
      <c r="G94" s="7" t="s">
        <v>72</v>
      </c>
    </row>
    <row r="95" spans="2:7">
      <c r="B95" s="6" t="s">
        <v>58</v>
      </c>
      <c r="C95" s="14">
        <f>0.1*2</f>
        <v>0.2</v>
      </c>
      <c r="D95" s="14">
        <v>0.16300000000000001</v>
      </c>
      <c r="E95" s="6">
        <f>4*14</f>
        <v>56</v>
      </c>
      <c r="F95" s="9">
        <f t="shared" si="4"/>
        <v>1.83</v>
      </c>
      <c r="G95" s="7" t="s">
        <v>72</v>
      </c>
    </row>
    <row r="96" spans="2:7">
      <c r="B96" s="6" t="s">
        <v>69</v>
      </c>
      <c r="C96" s="14">
        <f>0.4*2</f>
        <v>0.8</v>
      </c>
      <c r="D96" s="14">
        <v>1.5489999999999999</v>
      </c>
      <c r="E96" s="6">
        <f>1*14</f>
        <v>14</v>
      </c>
      <c r="F96" s="9">
        <f t="shared" si="4"/>
        <v>17.350000000000001</v>
      </c>
      <c r="G96" s="7" t="s">
        <v>72</v>
      </c>
    </row>
    <row r="97" spans="1:7">
      <c r="B97" s="6" t="s">
        <v>36</v>
      </c>
      <c r="C97" s="14">
        <f>0.19*2</f>
        <v>0.38</v>
      </c>
      <c r="D97" s="14">
        <v>0.19</v>
      </c>
      <c r="E97" s="6">
        <f>12*14</f>
        <v>168</v>
      </c>
      <c r="F97" s="9">
        <f t="shared" si="4"/>
        <v>12.13</v>
      </c>
      <c r="G97" s="7" t="s">
        <v>72</v>
      </c>
    </row>
    <row r="98" spans="1:7">
      <c r="B98" s="6" t="s">
        <v>37</v>
      </c>
      <c r="C98" s="14">
        <f>0.19*2</f>
        <v>0.38</v>
      </c>
      <c r="D98" s="14">
        <v>0.88</v>
      </c>
      <c r="E98" s="6">
        <f>4*14</f>
        <v>56</v>
      </c>
      <c r="F98" s="9">
        <f t="shared" si="4"/>
        <v>18.73</v>
      </c>
      <c r="G98" s="7" t="s">
        <v>72</v>
      </c>
    </row>
    <row r="99" spans="1:7">
      <c r="B99" s="6" t="s">
        <v>37</v>
      </c>
      <c r="C99" s="14">
        <f>0.19*2</f>
        <v>0.38</v>
      </c>
      <c r="D99" s="14">
        <v>0.86</v>
      </c>
      <c r="E99" s="6">
        <f>4*14</f>
        <v>56</v>
      </c>
      <c r="F99" s="9">
        <f t="shared" si="4"/>
        <v>18.3</v>
      </c>
      <c r="G99" s="7" t="s">
        <v>72</v>
      </c>
    </row>
    <row r="100" spans="1:7">
      <c r="B100" s="6" t="s">
        <v>35</v>
      </c>
      <c r="C100" s="14">
        <f>0.4*2</f>
        <v>0.8</v>
      </c>
      <c r="D100" s="14">
        <v>1.3940000000000001</v>
      </c>
      <c r="E100" s="6">
        <f>1*14</f>
        <v>14</v>
      </c>
      <c r="F100" s="9">
        <f t="shared" si="4"/>
        <v>15.61</v>
      </c>
      <c r="G100" s="7" t="s">
        <v>72</v>
      </c>
    </row>
    <row r="101" spans="1:7">
      <c r="A101" s="6" t="s">
        <v>14</v>
      </c>
      <c r="B101" s="6" t="s">
        <v>46</v>
      </c>
      <c r="C101" s="14">
        <f>0.3*2</f>
        <v>0.6</v>
      </c>
      <c r="D101" s="14">
        <v>13.66</v>
      </c>
      <c r="E101" s="6">
        <f>4*14</f>
        <v>56</v>
      </c>
      <c r="F101" s="9">
        <f t="shared" si="4"/>
        <v>458.98</v>
      </c>
      <c r="G101" s="7" t="s">
        <v>72</v>
      </c>
    </row>
    <row r="102" spans="1:7">
      <c r="B102" s="6" t="s">
        <v>47</v>
      </c>
      <c r="C102" s="14">
        <f>0.768*2</f>
        <v>1.536</v>
      </c>
      <c r="D102" s="14">
        <v>13.66</v>
      </c>
      <c r="E102" s="6">
        <f>1*14</f>
        <v>14</v>
      </c>
      <c r="F102" s="9">
        <f t="shared" si="4"/>
        <v>293.74</v>
      </c>
      <c r="G102" s="7" t="s">
        <v>72</v>
      </c>
    </row>
    <row r="103" spans="1:7">
      <c r="B103" s="6" t="s">
        <v>47</v>
      </c>
      <c r="C103" s="14">
        <f>0.768*2</f>
        <v>1.536</v>
      </c>
      <c r="D103" s="14">
        <v>12.43</v>
      </c>
      <c r="E103" s="6">
        <f>1*14</f>
        <v>14</v>
      </c>
      <c r="F103" s="9">
        <f t="shared" si="4"/>
        <v>267.29000000000002</v>
      </c>
      <c r="G103" s="7" t="s">
        <v>72</v>
      </c>
    </row>
    <row r="104" spans="1:7">
      <c r="B104" s="6" t="s">
        <v>15</v>
      </c>
      <c r="C104" s="14">
        <f>0.16*2+0.063*4</f>
        <v>0.57200000000000006</v>
      </c>
      <c r="D104" s="14">
        <v>2.2000000000000002</v>
      </c>
      <c r="E104" s="6">
        <f>2*14</f>
        <v>28</v>
      </c>
      <c r="F104" s="9">
        <f t="shared" si="4"/>
        <v>35.24</v>
      </c>
      <c r="G104" s="7" t="s">
        <v>72</v>
      </c>
    </row>
    <row r="105" spans="1:7">
      <c r="B105" s="6" t="s">
        <v>15</v>
      </c>
      <c r="C105" s="14">
        <f>0.16*2+0.063*4</f>
        <v>0.57200000000000006</v>
      </c>
      <c r="D105" s="14">
        <v>2.1179999999999999</v>
      </c>
      <c r="E105" s="6">
        <f>8*14</f>
        <v>112</v>
      </c>
      <c r="F105" s="9">
        <f t="shared" si="4"/>
        <v>135.69</v>
      </c>
      <c r="G105" s="7" t="s">
        <v>72</v>
      </c>
    </row>
    <row r="106" spans="1:7">
      <c r="B106" s="6" t="s">
        <v>15</v>
      </c>
      <c r="C106" s="14">
        <f>0.16*2+0.063*4</f>
        <v>0.57200000000000006</v>
      </c>
      <c r="D106" s="14">
        <v>2.633</v>
      </c>
      <c r="E106" s="6">
        <f>2*14</f>
        <v>28</v>
      </c>
      <c r="F106" s="9">
        <f t="shared" si="4"/>
        <v>42.17</v>
      </c>
      <c r="G106" s="7" t="s">
        <v>72</v>
      </c>
    </row>
    <row r="107" spans="1:7">
      <c r="B107" s="6" t="s">
        <v>16</v>
      </c>
      <c r="C107" s="14">
        <f>0.14*2+0.058*4</f>
        <v>0.51200000000000001</v>
      </c>
      <c r="D107" s="14">
        <v>1.74</v>
      </c>
      <c r="E107" s="6">
        <f>10*14</f>
        <v>140</v>
      </c>
      <c r="F107" s="9">
        <f t="shared" si="4"/>
        <v>124.72</v>
      </c>
      <c r="G107" s="7" t="s">
        <v>72</v>
      </c>
    </row>
    <row r="108" spans="1:7">
      <c r="B108" s="6" t="s">
        <v>17</v>
      </c>
      <c r="C108" s="14">
        <f t="shared" ref="C108:C114" si="6">0.05*4</f>
        <v>0.2</v>
      </c>
      <c r="D108" s="14">
        <v>0.748</v>
      </c>
      <c r="E108" s="6">
        <f>11*14</f>
        <v>154</v>
      </c>
      <c r="F108" s="9">
        <f t="shared" si="4"/>
        <v>23.04</v>
      </c>
      <c r="G108" s="7" t="s">
        <v>72</v>
      </c>
    </row>
    <row r="109" spans="1:7">
      <c r="B109" s="6" t="s">
        <v>17</v>
      </c>
      <c r="C109" s="14">
        <f t="shared" si="6"/>
        <v>0.2</v>
      </c>
      <c r="D109" s="14">
        <v>1.1739999999999999</v>
      </c>
      <c r="E109" s="6">
        <f>5*14</f>
        <v>70</v>
      </c>
      <c r="F109" s="9">
        <f t="shared" si="4"/>
        <v>16.440000000000001</v>
      </c>
      <c r="G109" s="7" t="s">
        <v>72</v>
      </c>
    </row>
    <row r="110" spans="1:7">
      <c r="B110" s="6" t="s">
        <v>17</v>
      </c>
      <c r="C110" s="14">
        <f t="shared" si="6"/>
        <v>0.2</v>
      </c>
      <c r="D110" s="14">
        <v>1.135</v>
      </c>
      <c r="E110" s="6">
        <f>5*14</f>
        <v>70</v>
      </c>
      <c r="F110" s="9">
        <f t="shared" si="4"/>
        <v>15.89</v>
      </c>
      <c r="G110" s="7" t="s">
        <v>72</v>
      </c>
    </row>
    <row r="111" spans="1:7">
      <c r="B111" s="6" t="s">
        <v>17</v>
      </c>
      <c r="C111" s="14">
        <f t="shared" si="6"/>
        <v>0.2</v>
      </c>
      <c r="D111" s="14">
        <v>1.3169999999999999</v>
      </c>
      <c r="E111" s="6">
        <f>1*14</f>
        <v>14</v>
      </c>
      <c r="F111" s="9">
        <f t="shared" si="4"/>
        <v>3.69</v>
      </c>
      <c r="G111" s="7" t="s">
        <v>72</v>
      </c>
    </row>
    <row r="112" spans="1:7">
      <c r="B112" s="6" t="s">
        <v>17</v>
      </c>
      <c r="C112" s="14">
        <f t="shared" si="6"/>
        <v>0.2</v>
      </c>
      <c r="D112" s="14">
        <v>1.2750000000000001</v>
      </c>
      <c r="E112" s="6">
        <f>1*14</f>
        <v>14</v>
      </c>
      <c r="F112" s="9">
        <f t="shared" si="4"/>
        <v>3.57</v>
      </c>
      <c r="G112" s="7" t="s">
        <v>72</v>
      </c>
    </row>
    <row r="113" spans="2:7">
      <c r="B113" s="6" t="s">
        <v>17</v>
      </c>
      <c r="C113" s="14">
        <f t="shared" si="6"/>
        <v>0.2</v>
      </c>
      <c r="D113" s="14">
        <v>0.95800000000000007</v>
      </c>
      <c r="E113" s="6">
        <f>5*14</f>
        <v>70</v>
      </c>
      <c r="F113" s="9">
        <f t="shared" si="4"/>
        <v>13.41</v>
      </c>
      <c r="G113" s="7" t="s">
        <v>72</v>
      </c>
    </row>
    <row r="114" spans="2:7">
      <c r="B114" s="6" t="s">
        <v>17</v>
      </c>
      <c r="C114" s="14">
        <f t="shared" si="6"/>
        <v>0.2</v>
      </c>
      <c r="D114" s="14">
        <v>0.92500000000000004</v>
      </c>
      <c r="E114" s="6">
        <f>5*14</f>
        <v>70</v>
      </c>
      <c r="F114" s="9">
        <f t="shared" si="4"/>
        <v>12.95</v>
      </c>
      <c r="G114" s="7" t="s">
        <v>72</v>
      </c>
    </row>
    <row r="115" spans="2:7">
      <c r="B115" s="6" t="s">
        <v>23</v>
      </c>
      <c r="C115" s="14">
        <f>0.4*2</f>
        <v>0.8</v>
      </c>
      <c r="D115" s="14">
        <v>6.94</v>
      </c>
      <c r="E115" s="6">
        <f t="shared" ref="E115:E128" si="7">1*14</f>
        <v>14</v>
      </c>
      <c r="F115" s="9">
        <f t="shared" si="4"/>
        <v>77.73</v>
      </c>
      <c r="G115" s="7" t="s">
        <v>72</v>
      </c>
    </row>
    <row r="116" spans="2:7">
      <c r="B116" s="6" t="s">
        <v>23</v>
      </c>
      <c r="C116" s="14">
        <f>0.4*2</f>
        <v>0.8</v>
      </c>
      <c r="D116" s="14">
        <v>6.8390000000000004</v>
      </c>
      <c r="E116" s="6">
        <f t="shared" si="7"/>
        <v>14</v>
      </c>
      <c r="F116" s="9">
        <f t="shared" si="4"/>
        <v>76.599999999999994</v>
      </c>
      <c r="G116" s="7" t="s">
        <v>72</v>
      </c>
    </row>
    <row r="117" spans="2:7">
      <c r="B117" s="6" t="s">
        <v>48</v>
      </c>
      <c r="C117" s="14">
        <f>0.86*2</f>
        <v>1.72</v>
      </c>
      <c r="D117" s="14">
        <v>7.4690000000000003</v>
      </c>
      <c r="E117" s="6">
        <f t="shared" si="7"/>
        <v>14</v>
      </c>
      <c r="F117" s="9">
        <f t="shared" si="4"/>
        <v>179.85</v>
      </c>
      <c r="G117" s="7" t="s">
        <v>72</v>
      </c>
    </row>
    <row r="118" spans="2:7">
      <c r="B118" s="6" t="s">
        <v>22</v>
      </c>
      <c r="C118" s="14">
        <f>0.125*4</f>
        <v>0.5</v>
      </c>
      <c r="D118" s="14">
        <v>0.4</v>
      </c>
      <c r="E118" s="6">
        <f t="shared" si="7"/>
        <v>14</v>
      </c>
      <c r="F118" s="9">
        <f t="shared" si="4"/>
        <v>2.8</v>
      </c>
      <c r="G118" s="7" t="s">
        <v>72</v>
      </c>
    </row>
    <row r="119" spans="2:7">
      <c r="B119" s="6" t="s">
        <v>62</v>
      </c>
      <c r="C119" s="14">
        <f>0.42*2</f>
        <v>0.84</v>
      </c>
      <c r="D119" s="14">
        <v>0.9</v>
      </c>
      <c r="E119" s="6">
        <f t="shared" si="7"/>
        <v>14</v>
      </c>
      <c r="F119" s="9">
        <f t="shared" si="4"/>
        <v>10.58</v>
      </c>
      <c r="G119" s="7" t="s">
        <v>72</v>
      </c>
    </row>
    <row r="120" spans="2:7">
      <c r="B120" s="6" t="s">
        <v>61</v>
      </c>
      <c r="C120" s="14">
        <f>0.9*2</f>
        <v>1.8</v>
      </c>
      <c r="D120" s="14">
        <v>1.72</v>
      </c>
      <c r="E120" s="6">
        <f t="shared" si="7"/>
        <v>14</v>
      </c>
      <c r="F120" s="9">
        <f t="shared" si="4"/>
        <v>43.34</v>
      </c>
      <c r="G120" s="7" t="s">
        <v>72</v>
      </c>
    </row>
    <row r="121" spans="2:7">
      <c r="B121" s="6" t="s">
        <v>63</v>
      </c>
      <c r="C121" s="14">
        <f>0.768*2</f>
        <v>1.536</v>
      </c>
      <c r="D121" s="14">
        <v>1.23</v>
      </c>
      <c r="E121" s="6">
        <f t="shared" si="7"/>
        <v>14</v>
      </c>
      <c r="F121" s="9">
        <f t="shared" si="4"/>
        <v>26.45</v>
      </c>
      <c r="G121" s="7" t="s">
        <v>72</v>
      </c>
    </row>
    <row r="122" spans="2:7">
      <c r="B122" s="6" t="s">
        <v>64</v>
      </c>
      <c r="C122" s="14">
        <f>0.62*2</f>
        <v>1.24</v>
      </c>
      <c r="D122" s="14">
        <v>0.84</v>
      </c>
      <c r="E122" s="6">
        <f t="shared" si="7"/>
        <v>14</v>
      </c>
      <c r="F122" s="9">
        <f t="shared" si="4"/>
        <v>14.58</v>
      </c>
      <c r="G122" s="7" t="s">
        <v>72</v>
      </c>
    </row>
    <row r="123" spans="2:7">
      <c r="B123" s="6" t="s">
        <v>65</v>
      </c>
      <c r="C123" s="14">
        <f>0.4*2</f>
        <v>0.8</v>
      </c>
      <c r="D123" s="14">
        <v>0.86</v>
      </c>
      <c r="E123" s="6">
        <f t="shared" si="7"/>
        <v>14</v>
      </c>
      <c r="F123" s="9">
        <f t="shared" si="4"/>
        <v>9.6300000000000008</v>
      </c>
      <c r="G123" s="7" t="s">
        <v>72</v>
      </c>
    </row>
    <row r="124" spans="2:7">
      <c r="B124" s="6" t="s">
        <v>64</v>
      </c>
      <c r="C124" s="14">
        <f>0.62*2</f>
        <v>1.24</v>
      </c>
      <c r="D124" s="14">
        <v>0.84</v>
      </c>
      <c r="E124" s="6">
        <f t="shared" si="7"/>
        <v>14</v>
      </c>
      <c r="F124" s="9">
        <f t="shared" si="4"/>
        <v>14.58</v>
      </c>
      <c r="G124" s="7" t="s">
        <v>72</v>
      </c>
    </row>
    <row r="125" spans="2:7">
      <c r="B125" s="6" t="s">
        <v>49</v>
      </c>
      <c r="C125" s="14">
        <f>0.3*2</f>
        <v>0.6</v>
      </c>
      <c r="D125" s="14">
        <v>0.3</v>
      </c>
      <c r="E125" s="6">
        <f t="shared" si="7"/>
        <v>14</v>
      </c>
      <c r="F125" s="9">
        <f t="shared" si="4"/>
        <v>2.52</v>
      </c>
      <c r="G125" s="7" t="s">
        <v>72</v>
      </c>
    </row>
    <row r="126" spans="2:7">
      <c r="B126" s="6" t="s">
        <v>66</v>
      </c>
      <c r="C126" s="14">
        <f>0.768*2</f>
        <v>1.536</v>
      </c>
      <c r="D126" s="14">
        <v>1.778</v>
      </c>
      <c r="E126" s="6">
        <f t="shared" si="7"/>
        <v>14</v>
      </c>
      <c r="F126" s="9">
        <f t="shared" si="4"/>
        <v>38.229999999999997</v>
      </c>
      <c r="G126" s="7" t="s">
        <v>72</v>
      </c>
    </row>
    <row r="127" spans="2:7">
      <c r="B127" s="6" t="s">
        <v>68</v>
      </c>
      <c r="C127" s="14">
        <f>0.14*2</f>
        <v>0.28000000000000003</v>
      </c>
      <c r="D127" s="14">
        <v>0.76800000000000002</v>
      </c>
      <c r="E127" s="6">
        <f t="shared" si="7"/>
        <v>14</v>
      </c>
      <c r="F127" s="9">
        <f t="shared" si="4"/>
        <v>3.01</v>
      </c>
      <c r="G127" s="7" t="s">
        <v>72</v>
      </c>
    </row>
    <row r="128" spans="2:7">
      <c r="B128" s="6" t="s">
        <v>67</v>
      </c>
      <c r="C128" s="14">
        <f>0.138*2</f>
        <v>0.27600000000000002</v>
      </c>
      <c r="D128" s="14">
        <v>0.76800000000000002</v>
      </c>
      <c r="E128" s="6">
        <f t="shared" si="7"/>
        <v>14</v>
      </c>
      <c r="F128" s="9">
        <f t="shared" si="4"/>
        <v>2.97</v>
      </c>
      <c r="G128" s="7" t="s">
        <v>72</v>
      </c>
    </row>
    <row r="129" spans="1:7">
      <c r="B129" s="6" t="s">
        <v>49</v>
      </c>
      <c r="C129" s="14">
        <f>0.3*2</f>
        <v>0.6</v>
      </c>
      <c r="D129" s="14">
        <v>0.85</v>
      </c>
      <c r="E129" s="6">
        <f>2*14</f>
        <v>28</v>
      </c>
      <c r="F129" s="9">
        <f t="shared" si="4"/>
        <v>14.28</v>
      </c>
      <c r="G129" s="7" t="s">
        <v>72</v>
      </c>
    </row>
    <row r="130" spans="1:7">
      <c r="B130" s="6" t="s">
        <v>50</v>
      </c>
      <c r="C130" s="14">
        <f>0.14*2</f>
        <v>0.28000000000000003</v>
      </c>
      <c r="D130" s="14">
        <v>0.4</v>
      </c>
      <c r="E130" s="6">
        <f>4*14</f>
        <v>56</v>
      </c>
      <c r="F130" s="9">
        <f t="shared" ref="F130:F387" si="8">ROUND(PRODUCT(C130:E130),2)</f>
        <v>6.27</v>
      </c>
      <c r="G130" s="7" t="s">
        <v>72</v>
      </c>
    </row>
    <row r="131" spans="1:7">
      <c r="B131" s="6" t="s">
        <v>51</v>
      </c>
      <c r="C131" s="14">
        <f>0.768*2</f>
        <v>1.536</v>
      </c>
      <c r="D131" s="14">
        <v>1.78</v>
      </c>
      <c r="E131" s="6">
        <f>1*14</f>
        <v>14</v>
      </c>
      <c r="F131" s="9">
        <f t="shared" si="8"/>
        <v>38.28</v>
      </c>
      <c r="G131" s="7" t="s">
        <v>72</v>
      </c>
    </row>
    <row r="132" spans="1:7">
      <c r="B132" s="6" t="s">
        <v>52</v>
      </c>
      <c r="C132" s="14">
        <f>0.14*2</f>
        <v>0.28000000000000003</v>
      </c>
      <c r="D132" s="14">
        <v>0.76800000000000002</v>
      </c>
      <c r="E132" s="6">
        <f>2*14</f>
        <v>28</v>
      </c>
      <c r="F132" s="9">
        <f t="shared" si="8"/>
        <v>6.02</v>
      </c>
      <c r="G132" s="7" t="s">
        <v>72</v>
      </c>
    </row>
    <row r="133" spans="1:7">
      <c r="B133" s="6" t="s">
        <v>53</v>
      </c>
      <c r="C133" s="14">
        <f>0.3*2</f>
        <v>0.6</v>
      </c>
      <c r="D133" s="14">
        <v>1.5</v>
      </c>
      <c r="E133" s="6">
        <f>2*14</f>
        <v>28</v>
      </c>
      <c r="F133" s="9">
        <f t="shared" si="8"/>
        <v>25.2</v>
      </c>
      <c r="G133" s="7" t="s">
        <v>72</v>
      </c>
    </row>
    <row r="134" spans="1:7">
      <c r="B134" s="6" t="s">
        <v>58</v>
      </c>
      <c r="C134" s="14">
        <f>0.1*2</f>
        <v>0.2</v>
      </c>
      <c r="D134" s="14">
        <v>0.41100000000000003</v>
      </c>
      <c r="E134" s="6">
        <f>8*14</f>
        <v>112</v>
      </c>
      <c r="F134" s="9">
        <f t="shared" si="8"/>
        <v>9.2100000000000009</v>
      </c>
      <c r="G134" s="7" t="s">
        <v>72</v>
      </c>
    </row>
    <row r="135" spans="1:7">
      <c r="B135" s="6" t="s">
        <v>58</v>
      </c>
      <c r="C135" s="14">
        <f>0.1*2</f>
        <v>0.2</v>
      </c>
      <c r="D135" s="14">
        <v>0.39600000000000002</v>
      </c>
      <c r="E135" s="6">
        <f>2*14</f>
        <v>28</v>
      </c>
      <c r="F135" s="9">
        <f t="shared" si="8"/>
        <v>2.2200000000000002</v>
      </c>
      <c r="G135" s="7" t="s">
        <v>72</v>
      </c>
    </row>
    <row r="136" spans="1:7">
      <c r="B136" s="6" t="s">
        <v>58</v>
      </c>
      <c r="C136" s="14">
        <f>0.1*2</f>
        <v>0.2</v>
      </c>
      <c r="D136" s="14">
        <v>0.16</v>
      </c>
      <c r="E136" s="6">
        <f>2*14</f>
        <v>28</v>
      </c>
      <c r="F136" s="9">
        <f t="shared" si="8"/>
        <v>0.9</v>
      </c>
      <c r="G136" s="7" t="s">
        <v>72</v>
      </c>
    </row>
    <row r="137" spans="1:7">
      <c r="B137" s="6" t="s">
        <v>50</v>
      </c>
      <c r="C137" s="14">
        <f>0.14*2</f>
        <v>0.28000000000000003</v>
      </c>
      <c r="D137" s="14">
        <v>0.76800000000000002</v>
      </c>
      <c r="E137" s="6">
        <f>8*14</f>
        <v>112</v>
      </c>
      <c r="F137" s="9">
        <f t="shared" si="8"/>
        <v>24.08</v>
      </c>
      <c r="G137" s="7" t="s">
        <v>72</v>
      </c>
    </row>
    <row r="138" spans="1:7">
      <c r="B138" s="6" t="s">
        <v>69</v>
      </c>
      <c r="C138" s="14">
        <f>0.4*2</f>
        <v>0.8</v>
      </c>
      <c r="D138" s="14">
        <v>1.4490000000000001</v>
      </c>
      <c r="E138" s="6">
        <f>1*14</f>
        <v>14</v>
      </c>
      <c r="F138" s="9">
        <f t="shared" si="8"/>
        <v>16.23</v>
      </c>
      <c r="G138" s="7" t="s">
        <v>72</v>
      </c>
    </row>
    <row r="139" spans="1:7">
      <c r="B139" s="6" t="s">
        <v>36</v>
      </c>
      <c r="C139" s="14">
        <f>0.19*2</f>
        <v>0.38</v>
      </c>
      <c r="D139" s="14">
        <v>0.19</v>
      </c>
      <c r="E139" s="6">
        <f>8*14</f>
        <v>112</v>
      </c>
      <c r="F139" s="9">
        <f t="shared" si="8"/>
        <v>8.09</v>
      </c>
      <c r="G139" s="7" t="s">
        <v>72</v>
      </c>
    </row>
    <row r="140" spans="1:7">
      <c r="B140" s="6" t="s">
        <v>69</v>
      </c>
      <c r="C140" s="14">
        <f>0.4*2</f>
        <v>0.8</v>
      </c>
      <c r="D140" s="14">
        <v>1.55</v>
      </c>
      <c r="E140" s="6">
        <f>1*14</f>
        <v>14</v>
      </c>
      <c r="F140" s="9">
        <f t="shared" si="8"/>
        <v>17.36</v>
      </c>
      <c r="G140" s="7" t="s">
        <v>72</v>
      </c>
    </row>
    <row r="141" spans="1:7">
      <c r="B141" s="6" t="s">
        <v>39</v>
      </c>
      <c r="C141" s="14">
        <f>0.19*2</f>
        <v>0.38</v>
      </c>
      <c r="D141" s="14">
        <v>0.86</v>
      </c>
      <c r="E141" s="6">
        <f>2*14</f>
        <v>28</v>
      </c>
      <c r="F141" s="9">
        <f t="shared" si="8"/>
        <v>9.15</v>
      </c>
      <c r="G141" s="7" t="s">
        <v>72</v>
      </c>
    </row>
    <row r="142" spans="1:7">
      <c r="B142" s="6" t="s">
        <v>39</v>
      </c>
      <c r="C142" s="14">
        <f>0.19*2</f>
        <v>0.38</v>
      </c>
      <c r="D142" s="14">
        <v>0.86599999999999999</v>
      </c>
      <c r="E142" s="6">
        <f>2*14</f>
        <v>28</v>
      </c>
      <c r="F142" s="9">
        <f t="shared" si="8"/>
        <v>9.2100000000000009</v>
      </c>
      <c r="G142" s="7" t="s">
        <v>72</v>
      </c>
    </row>
    <row r="143" spans="1:7">
      <c r="A143" s="6" t="s">
        <v>18</v>
      </c>
      <c r="B143" s="6" t="s">
        <v>23</v>
      </c>
      <c r="C143" s="14">
        <f>0.4*2</f>
        <v>0.8</v>
      </c>
      <c r="D143" s="14">
        <v>19.8</v>
      </c>
      <c r="E143" s="6">
        <f t="shared" ref="E143:E148" si="9">1*14</f>
        <v>14</v>
      </c>
      <c r="F143" s="9">
        <f t="shared" si="8"/>
        <v>221.76</v>
      </c>
      <c r="G143" s="7" t="s">
        <v>72</v>
      </c>
    </row>
    <row r="144" spans="1:7">
      <c r="B144" s="6" t="s">
        <v>23</v>
      </c>
      <c r="C144" s="14">
        <f>0.4*2</f>
        <v>0.8</v>
      </c>
      <c r="D144" s="14">
        <v>18.623999999999999</v>
      </c>
      <c r="E144" s="6">
        <f t="shared" si="9"/>
        <v>14</v>
      </c>
      <c r="F144" s="9">
        <f t="shared" si="8"/>
        <v>208.59</v>
      </c>
      <c r="G144" s="7" t="s">
        <v>72</v>
      </c>
    </row>
    <row r="145" spans="2:7">
      <c r="B145" s="6" t="s">
        <v>24</v>
      </c>
      <c r="C145" s="14">
        <f>0.76*2</f>
        <v>1.52</v>
      </c>
      <c r="D145" s="14">
        <v>19.8</v>
      </c>
      <c r="E145" s="6">
        <f t="shared" si="9"/>
        <v>14</v>
      </c>
      <c r="F145" s="9">
        <f t="shared" si="8"/>
        <v>421.34</v>
      </c>
      <c r="G145" s="7" t="s">
        <v>72</v>
      </c>
    </row>
    <row r="146" spans="2:7">
      <c r="B146" s="6" t="s">
        <v>25</v>
      </c>
      <c r="C146" s="14">
        <f>0.2*2</f>
        <v>0.4</v>
      </c>
      <c r="D146" s="14">
        <v>1.47</v>
      </c>
      <c r="E146" s="6">
        <f t="shared" si="9"/>
        <v>14</v>
      </c>
      <c r="F146" s="9">
        <f t="shared" si="8"/>
        <v>8.23</v>
      </c>
      <c r="G146" s="7" t="s">
        <v>72</v>
      </c>
    </row>
    <row r="147" spans="2:7">
      <c r="B147" s="6" t="s">
        <v>25</v>
      </c>
      <c r="C147" s="14">
        <f>0.2*2</f>
        <v>0.4</v>
      </c>
      <c r="D147" s="14">
        <v>1.371</v>
      </c>
      <c r="E147" s="6">
        <f t="shared" si="9"/>
        <v>14</v>
      </c>
      <c r="F147" s="9">
        <f t="shared" si="8"/>
        <v>7.68</v>
      </c>
      <c r="G147" s="7" t="s">
        <v>72</v>
      </c>
    </row>
    <row r="148" spans="2:7">
      <c r="B148" s="6" t="s">
        <v>26</v>
      </c>
      <c r="C148" s="14">
        <f>0.28*2</f>
        <v>0.56000000000000005</v>
      </c>
      <c r="D148" s="14">
        <v>1.47</v>
      </c>
      <c r="E148" s="6">
        <f t="shared" si="9"/>
        <v>14</v>
      </c>
      <c r="F148" s="9">
        <f t="shared" si="8"/>
        <v>11.52</v>
      </c>
      <c r="G148" s="7" t="s">
        <v>72</v>
      </c>
    </row>
    <row r="149" spans="2:7">
      <c r="B149" s="6" t="s">
        <v>27</v>
      </c>
      <c r="C149" s="14">
        <f>0.19*2</f>
        <v>0.38</v>
      </c>
      <c r="D149" s="14">
        <v>0.76</v>
      </c>
      <c r="E149" s="6">
        <f>4*14</f>
        <v>56</v>
      </c>
      <c r="F149" s="9">
        <f t="shared" si="8"/>
        <v>16.170000000000002</v>
      </c>
      <c r="G149" s="7" t="s">
        <v>72</v>
      </c>
    </row>
    <row r="150" spans="2:7">
      <c r="B150" s="6" t="s">
        <v>28</v>
      </c>
      <c r="C150" s="14">
        <f>0.095*2</f>
        <v>0.19</v>
      </c>
      <c r="D150" s="14">
        <v>0.40600000000000003</v>
      </c>
      <c r="E150" s="6">
        <f>1*14</f>
        <v>14</v>
      </c>
      <c r="F150" s="9">
        <f t="shared" si="8"/>
        <v>1.08</v>
      </c>
      <c r="G150" s="7" t="s">
        <v>72</v>
      </c>
    </row>
    <row r="151" spans="2:7">
      <c r="B151" s="6" t="s">
        <v>70</v>
      </c>
      <c r="C151" s="14">
        <f>0.9*2</f>
        <v>1.8</v>
      </c>
      <c r="D151" s="14">
        <v>1.3</v>
      </c>
      <c r="E151" s="6">
        <f>1*14</f>
        <v>14</v>
      </c>
      <c r="F151" s="9">
        <f t="shared" si="8"/>
        <v>32.76</v>
      </c>
      <c r="G151" s="7" t="s">
        <v>72</v>
      </c>
    </row>
    <row r="152" spans="2:7">
      <c r="B152" s="6" t="s">
        <v>43</v>
      </c>
      <c r="C152" s="14">
        <f>0.25*2</f>
        <v>0.5</v>
      </c>
      <c r="D152" s="14">
        <v>0.8</v>
      </c>
      <c r="E152" s="6">
        <f>2*14</f>
        <v>28</v>
      </c>
      <c r="F152" s="9">
        <f t="shared" si="8"/>
        <v>11.2</v>
      </c>
      <c r="G152" s="7" t="s">
        <v>72</v>
      </c>
    </row>
    <row r="153" spans="2:7">
      <c r="B153" s="6" t="s">
        <v>43</v>
      </c>
      <c r="C153" s="14">
        <f>0.25*2</f>
        <v>0.5</v>
      </c>
      <c r="D153" s="14">
        <v>0.9</v>
      </c>
      <c r="E153" s="6">
        <f>1*14</f>
        <v>14</v>
      </c>
      <c r="F153" s="9">
        <f t="shared" si="8"/>
        <v>6.3</v>
      </c>
      <c r="G153" s="7" t="s">
        <v>72</v>
      </c>
    </row>
    <row r="154" spans="2:7">
      <c r="B154" s="6" t="s">
        <v>43</v>
      </c>
      <c r="C154" s="14">
        <f>0.25*2</f>
        <v>0.5</v>
      </c>
      <c r="D154" s="14">
        <v>0.9</v>
      </c>
      <c r="E154" s="6">
        <f>1*14</f>
        <v>14</v>
      </c>
      <c r="F154" s="9">
        <f t="shared" si="8"/>
        <v>6.3</v>
      </c>
      <c r="G154" s="7" t="s">
        <v>72</v>
      </c>
    </row>
    <row r="155" spans="2:7">
      <c r="B155" s="6" t="s">
        <v>44</v>
      </c>
      <c r="C155" s="14">
        <f>0.11*2</f>
        <v>0.22</v>
      </c>
      <c r="D155" s="14">
        <v>0.11</v>
      </c>
      <c r="E155" s="6">
        <f>10*14</f>
        <v>140</v>
      </c>
      <c r="F155" s="9">
        <f t="shared" si="8"/>
        <v>3.39</v>
      </c>
      <c r="G155" s="7" t="s">
        <v>72</v>
      </c>
    </row>
    <row r="156" spans="2:7">
      <c r="B156" s="6" t="s">
        <v>32</v>
      </c>
      <c r="C156" s="14">
        <f>0.345*2</f>
        <v>0.69</v>
      </c>
      <c r="D156" s="14">
        <v>0.76</v>
      </c>
      <c r="E156" s="6">
        <f>2*14</f>
        <v>28</v>
      </c>
      <c r="F156" s="9">
        <f t="shared" si="8"/>
        <v>14.68</v>
      </c>
      <c r="G156" s="7" t="s">
        <v>72</v>
      </c>
    </row>
    <row r="157" spans="2:7">
      <c r="B157" s="6" t="s">
        <v>33</v>
      </c>
      <c r="C157" s="14">
        <f>0.23*2</f>
        <v>0.46</v>
      </c>
      <c r="D157" s="14">
        <v>0.34500000000000003</v>
      </c>
      <c r="E157" s="6">
        <f>4*14</f>
        <v>56</v>
      </c>
      <c r="F157" s="9">
        <f t="shared" si="8"/>
        <v>8.89</v>
      </c>
      <c r="G157" s="7" t="s">
        <v>72</v>
      </c>
    </row>
    <row r="158" spans="2:7">
      <c r="B158" s="6" t="s">
        <v>71</v>
      </c>
      <c r="C158" s="14">
        <f>0.23*2</f>
        <v>0.46</v>
      </c>
      <c r="D158" s="14">
        <v>0.34500000000000003</v>
      </c>
      <c r="E158" s="6">
        <f>6*14</f>
        <v>84</v>
      </c>
      <c r="F158" s="9">
        <f t="shared" si="8"/>
        <v>13.33</v>
      </c>
      <c r="G158" s="7" t="s">
        <v>72</v>
      </c>
    </row>
    <row r="159" spans="2:7">
      <c r="B159" s="6" t="s">
        <v>23</v>
      </c>
      <c r="C159" s="14">
        <f>0.4*2</f>
        <v>0.8</v>
      </c>
      <c r="D159" s="14">
        <v>1.2750000000000001</v>
      </c>
      <c r="E159" s="6">
        <f>1*14</f>
        <v>14</v>
      </c>
      <c r="F159" s="9">
        <f t="shared" si="8"/>
        <v>14.28</v>
      </c>
      <c r="G159" s="7" t="s">
        <v>72</v>
      </c>
    </row>
    <row r="160" spans="2:7">
      <c r="B160" s="6" t="s">
        <v>36</v>
      </c>
      <c r="C160" s="14">
        <f>0.19*2</f>
        <v>0.38</v>
      </c>
      <c r="D160" s="14">
        <v>0.19</v>
      </c>
      <c r="E160" s="6">
        <f>8*14</f>
        <v>112</v>
      </c>
      <c r="F160" s="9">
        <f t="shared" si="8"/>
        <v>8.09</v>
      </c>
      <c r="G160" s="7" t="s">
        <v>72</v>
      </c>
    </row>
    <row r="161" spans="1:7">
      <c r="B161" s="6" t="s">
        <v>37</v>
      </c>
      <c r="C161" s="14">
        <f>0.19*2</f>
        <v>0.38</v>
      </c>
      <c r="D161" s="14">
        <v>0.78</v>
      </c>
      <c r="E161" s="6">
        <f>2*14</f>
        <v>28</v>
      </c>
      <c r="F161" s="9">
        <f t="shared" si="8"/>
        <v>8.3000000000000007</v>
      </c>
      <c r="G161" s="7" t="s">
        <v>72</v>
      </c>
    </row>
    <row r="162" spans="1:7">
      <c r="B162" s="6" t="s">
        <v>37</v>
      </c>
      <c r="C162" s="14">
        <f>0.19*2</f>
        <v>0.38</v>
      </c>
      <c r="D162" s="14">
        <v>0.76</v>
      </c>
      <c r="E162" s="6">
        <f>2*14</f>
        <v>28</v>
      </c>
      <c r="F162" s="9">
        <f t="shared" si="8"/>
        <v>8.09</v>
      </c>
      <c r="G162" s="7" t="s">
        <v>72</v>
      </c>
    </row>
    <row r="163" spans="1:7">
      <c r="A163" s="6" t="s">
        <v>73</v>
      </c>
      <c r="B163" s="6" t="s">
        <v>74</v>
      </c>
      <c r="C163" s="14">
        <f>0.6*2+0.3*4</f>
        <v>2.4</v>
      </c>
      <c r="D163" s="14">
        <v>15.707000000000001</v>
      </c>
      <c r="E163" s="6">
        <v>12</v>
      </c>
      <c r="F163" s="9">
        <f t="shared" si="8"/>
        <v>452.36</v>
      </c>
      <c r="G163" s="7" t="s">
        <v>72</v>
      </c>
    </row>
    <row r="164" spans="1:7">
      <c r="C164" s="14">
        <f>0.6*2+0.3*4</f>
        <v>2.4</v>
      </c>
      <c r="D164" s="14">
        <v>20.608000000000001</v>
      </c>
      <c r="E164" s="6">
        <v>10</v>
      </c>
      <c r="F164" s="9">
        <f t="shared" si="8"/>
        <v>494.59</v>
      </c>
      <c r="G164" s="7" t="s">
        <v>72</v>
      </c>
    </row>
    <row r="165" spans="1:7" ht="28.5">
      <c r="A165" s="6" t="s">
        <v>171</v>
      </c>
      <c r="F165" s="9">
        <f t="shared" si="8"/>
        <v>0</v>
      </c>
    </row>
    <row r="166" spans="1:7">
      <c r="A166" s="6" t="s">
        <v>172</v>
      </c>
      <c r="B166" s="6" t="s">
        <v>173</v>
      </c>
      <c r="C166" s="14">
        <f>PI()*0.168</f>
        <v>0.52778756580308528</v>
      </c>
      <c r="D166" s="14">
        <v>9</v>
      </c>
      <c r="E166" s="6">
        <v>39</v>
      </c>
      <c r="F166" s="9">
        <f t="shared" si="8"/>
        <v>185.25</v>
      </c>
      <c r="G166" s="7" t="s">
        <v>174</v>
      </c>
    </row>
    <row r="167" spans="1:7">
      <c r="A167" s="6" t="s">
        <v>175</v>
      </c>
      <c r="B167" s="6" t="s">
        <v>176</v>
      </c>
      <c r="C167" s="14">
        <f>0.1*4</f>
        <v>0.4</v>
      </c>
      <c r="D167" s="14">
        <v>5.2670000000000003</v>
      </c>
      <c r="E167" s="6">
        <f>2*3</f>
        <v>6</v>
      </c>
      <c r="F167" s="9">
        <f t="shared" si="8"/>
        <v>12.64</v>
      </c>
      <c r="G167" s="7" t="s">
        <v>249</v>
      </c>
    </row>
    <row r="168" spans="1:7">
      <c r="B168" s="6" t="s">
        <v>176</v>
      </c>
      <c r="C168" s="14">
        <f>0.1*4</f>
        <v>0.4</v>
      </c>
      <c r="D168" s="14">
        <v>5.2690000000000001</v>
      </c>
      <c r="E168" s="6">
        <f>2*3</f>
        <v>6</v>
      </c>
      <c r="F168" s="9">
        <f t="shared" ref="F168:F231" si="10">ROUND(PRODUCT(C168:E168),2)</f>
        <v>12.65</v>
      </c>
      <c r="G168" s="7" t="s">
        <v>249</v>
      </c>
    </row>
    <row r="169" spans="1:7">
      <c r="B169" s="6" t="s">
        <v>176</v>
      </c>
      <c r="C169" s="14">
        <f>0.1*4</f>
        <v>0.4</v>
      </c>
      <c r="D169" s="14">
        <v>10.697000000000001</v>
      </c>
      <c r="E169" s="6">
        <f>2*3</f>
        <v>6</v>
      </c>
      <c r="F169" s="9">
        <f t="shared" si="10"/>
        <v>25.67</v>
      </c>
      <c r="G169" s="7" t="s">
        <v>249</v>
      </c>
    </row>
    <row r="170" spans="1:7">
      <c r="B170" s="6" t="s">
        <v>177</v>
      </c>
      <c r="C170" s="14">
        <f>0.27*2</f>
        <v>0.54</v>
      </c>
      <c r="D170" s="14">
        <v>0.52200000000000002</v>
      </c>
      <c r="E170" s="6">
        <f>2*3</f>
        <v>6</v>
      </c>
      <c r="F170" s="9">
        <f t="shared" si="10"/>
        <v>1.69</v>
      </c>
      <c r="G170" s="7" t="s">
        <v>249</v>
      </c>
    </row>
    <row r="171" spans="1:7">
      <c r="B171" s="6" t="s">
        <v>178</v>
      </c>
      <c r="C171" s="14">
        <f>0.287*2</f>
        <v>0.57399999999999995</v>
      </c>
      <c r="D171" s="14">
        <v>0.32700000000000001</v>
      </c>
      <c r="E171" s="6">
        <f>4*3</f>
        <v>12</v>
      </c>
      <c r="F171" s="9">
        <f t="shared" si="10"/>
        <v>2.25</v>
      </c>
      <c r="G171" s="7" t="s">
        <v>249</v>
      </c>
    </row>
    <row r="172" spans="1:7">
      <c r="B172" s="6" t="s">
        <v>179</v>
      </c>
      <c r="C172" s="14">
        <f>0.229*2</f>
        <v>0.45800000000000002</v>
      </c>
      <c r="D172" s="14">
        <v>0.32500000000000001</v>
      </c>
      <c r="E172" s="6">
        <f>4*3</f>
        <v>12</v>
      </c>
      <c r="F172" s="9">
        <f t="shared" si="10"/>
        <v>1.79</v>
      </c>
      <c r="G172" s="7" t="s">
        <v>249</v>
      </c>
    </row>
    <row r="173" spans="1:7">
      <c r="B173" s="6" t="s">
        <v>180</v>
      </c>
      <c r="C173" s="14">
        <f>0.063*4</f>
        <v>0.252</v>
      </c>
      <c r="D173" s="14">
        <v>0.26800000000000002</v>
      </c>
      <c r="E173" s="6">
        <f>26*3</f>
        <v>78</v>
      </c>
      <c r="F173" s="9">
        <f t="shared" si="10"/>
        <v>5.27</v>
      </c>
      <c r="G173" s="7" t="s">
        <v>249</v>
      </c>
    </row>
    <row r="174" spans="1:7">
      <c r="A174" s="6" t="s">
        <v>181</v>
      </c>
      <c r="B174" s="6" t="s">
        <v>176</v>
      </c>
      <c r="C174" s="14">
        <f>0.1*4</f>
        <v>0.4</v>
      </c>
      <c r="D174" s="14">
        <v>5.1139999999999999</v>
      </c>
      <c r="E174" s="6">
        <f>2</f>
        <v>2</v>
      </c>
      <c r="F174" s="9">
        <f t="shared" si="10"/>
        <v>4.09</v>
      </c>
      <c r="G174" s="7" t="s">
        <v>249</v>
      </c>
    </row>
    <row r="175" spans="1:7">
      <c r="B175" s="6" t="s">
        <v>176</v>
      </c>
      <c r="C175" s="14">
        <f>0.1*4</f>
        <v>0.4</v>
      </c>
      <c r="D175" s="14">
        <v>5.1150000000000002</v>
      </c>
      <c r="E175" s="6">
        <f>2</f>
        <v>2</v>
      </c>
      <c r="F175" s="9">
        <f t="shared" si="10"/>
        <v>4.09</v>
      </c>
      <c r="G175" s="7" t="s">
        <v>249</v>
      </c>
    </row>
    <row r="176" spans="1:7">
      <c r="B176" s="6" t="s">
        <v>176</v>
      </c>
      <c r="C176" s="14">
        <f>0.1*4</f>
        <v>0.4</v>
      </c>
      <c r="D176" s="14">
        <v>10.383000000000001</v>
      </c>
      <c r="E176" s="6">
        <f>2</f>
        <v>2</v>
      </c>
      <c r="F176" s="9">
        <f t="shared" si="10"/>
        <v>8.31</v>
      </c>
      <c r="G176" s="7" t="s">
        <v>249</v>
      </c>
    </row>
    <row r="177" spans="1:7">
      <c r="B177" s="6" t="s">
        <v>182</v>
      </c>
      <c r="C177" s="14">
        <f>0.268*2</f>
        <v>0.53600000000000003</v>
      </c>
      <c r="D177" s="14">
        <v>0.51600000000000001</v>
      </c>
      <c r="E177" s="6">
        <f>2</f>
        <v>2</v>
      </c>
      <c r="F177" s="9">
        <f t="shared" si="10"/>
        <v>0.55000000000000004</v>
      </c>
      <c r="G177" s="7" t="s">
        <v>249</v>
      </c>
    </row>
    <row r="178" spans="1:7">
      <c r="B178" s="6" t="s">
        <v>183</v>
      </c>
      <c r="C178" s="14">
        <f>0.29*2</f>
        <v>0.57999999999999996</v>
      </c>
      <c r="D178" s="14">
        <v>0.31900000000000001</v>
      </c>
      <c r="E178" s="6">
        <f>4</f>
        <v>4</v>
      </c>
      <c r="F178" s="9">
        <f t="shared" si="10"/>
        <v>0.74</v>
      </c>
      <c r="G178" s="7" t="s">
        <v>249</v>
      </c>
    </row>
    <row r="179" spans="1:7">
      <c r="B179" s="6" t="s">
        <v>184</v>
      </c>
      <c r="C179" s="14">
        <f>0.231*2</f>
        <v>0.46200000000000002</v>
      </c>
      <c r="D179" s="14">
        <v>0.31900000000000001</v>
      </c>
      <c r="E179" s="6">
        <f>4</f>
        <v>4</v>
      </c>
      <c r="F179" s="9">
        <f t="shared" si="10"/>
        <v>0.59</v>
      </c>
      <c r="G179" s="7" t="s">
        <v>249</v>
      </c>
    </row>
    <row r="180" spans="1:7">
      <c r="B180" s="6" t="s">
        <v>180</v>
      </c>
      <c r="C180" s="14">
        <f>0.063*4</f>
        <v>0.252</v>
      </c>
      <c r="D180" s="14">
        <v>0.26800000000000002</v>
      </c>
      <c r="E180" s="6">
        <f>24</f>
        <v>24</v>
      </c>
      <c r="F180" s="9">
        <f t="shared" si="10"/>
        <v>1.62</v>
      </c>
      <c r="G180" s="7" t="s">
        <v>249</v>
      </c>
    </row>
    <row r="181" spans="1:7">
      <c r="A181" s="6" t="s">
        <v>185</v>
      </c>
      <c r="B181" s="6" t="s">
        <v>176</v>
      </c>
      <c r="C181" s="14">
        <f>0.1*4</f>
        <v>0.4</v>
      </c>
      <c r="D181" s="14">
        <v>5.6740000000000004</v>
      </c>
      <c r="E181" s="6">
        <f>2*3</f>
        <v>6</v>
      </c>
      <c r="F181" s="9">
        <f t="shared" si="10"/>
        <v>13.62</v>
      </c>
      <c r="G181" s="7" t="s">
        <v>249</v>
      </c>
    </row>
    <row r="182" spans="1:7">
      <c r="B182" s="6" t="s">
        <v>176</v>
      </c>
      <c r="C182" s="14">
        <f>0.1*4</f>
        <v>0.4</v>
      </c>
      <c r="D182" s="14">
        <v>5.67</v>
      </c>
      <c r="E182" s="6">
        <f>2*3</f>
        <v>6</v>
      </c>
      <c r="F182" s="9">
        <f t="shared" si="10"/>
        <v>13.61</v>
      </c>
      <c r="G182" s="7" t="s">
        <v>249</v>
      </c>
    </row>
    <row r="183" spans="1:7">
      <c r="B183" s="6" t="s">
        <v>176</v>
      </c>
      <c r="C183" s="14">
        <f>0.1*4</f>
        <v>0.4</v>
      </c>
      <c r="D183" s="14">
        <v>11.483000000000001</v>
      </c>
      <c r="E183" s="6">
        <f>2*3</f>
        <v>6</v>
      </c>
      <c r="F183" s="9">
        <f t="shared" si="10"/>
        <v>27.56</v>
      </c>
      <c r="G183" s="7" t="s">
        <v>249</v>
      </c>
    </row>
    <row r="184" spans="1:7">
      <c r="B184" s="6" t="s">
        <v>186</v>
      </c>
      <c r="C184" s="14">
        <f>0.264*2</f>
        <v>0.52800000000000002</v>
      </c>
      <c r="D184" s="14">
        <v>0.5</v>
      </c>
      <c r="E184" s="6">
        <f>2*3</f>
        <v>6</v>
      </c>
      <c r="F184" s="9">
        <f t="shared" si="10"/>
        <v>1.58</v>
      </c>
      <c r="G184" s="7" t="s">
        <v>249</v>
      </c>
    </row>
    <row r="185" spans="1:7">
      <c r="B185" s="6" t="s">
        <v>187</v>
      </c>
      <c r="C185" s="14">
        <f>0.291*2</f>
        <v>0.58199999999999996</v>
      </c>
      <c r="D185" s="14">
        <v>0.29199999999999998</v>
      </c>
      <c r="E185" s="6">
        <f>4*3</f>
        <v>12</v>
      </c>
      <c r="F185" s="9">
        <f t="shared" si="10"/>
        <v>2.04</v>
      </c>
      <c r="G185" s="7" t="s">
        <v>249</v>
      </c>
    </row>
    <row r="186" spans="1:7">
      <c r="B186" s="6" t="s">
        <v>188</v>
      </c>
      <c r="C186" s="14">
        <f>0.234*2</f>
        <v>0.46800000000000003</v>
      </c>
      <c r="D186" s="14">
        <v>0.29499999999999998</v>
      </c>
      <c r="E186" s="6">
        <f>4*3</f>
        <v>12</v>
      </c>
      <c r="F186" s="9">
        <f t="shared" si="10"/>
        <v>1.66</v>
      </c>
      <c r="G186" s="7" t="s">
        <v>249</v>
      </c>
    </row>
    <row r="187" spans="1:7">
      <c r="B187" s="6" t="s">
        <v>180</v>
      </c>
      <c r="C187" s="14">
        <f>0.063*4</f>
        <v>0.252</v>
      </c>
      <c r="D187" s="14">
        <v>0.26800000000000002</v>
      </c>
      <c r="E187" s="6">
        <f>28*3</f>
        <v>84</v>
      </c>
      <c r="F187" s="9">
        <f t="shared" si="10"/>
        <v>5.67</v>
      </c>
      <c r="G187" s="7" t="s">
        <v>249</v>
      </c>
    </row>
    <row r="188" spans="1:7">
      <c r="A188" s="6" t="s">
        <v>189</v>
      </c>
      <c r="B188" s="6" t="s">
        <v>176</v>
      </c>
      <c r="C188" s="14">
        <f>0.1*4</f>
        <v>0.4</v>
      </c>
      <c r="D188" s="14">
        <v>5.5360000000000005</v>
      </c>
      <c r="E188" s="6">
        <f>2</f>
        <v>2</v>
      </c>
      <c r="F188" s="9">
        <f t="shared" si="10"/>
        <v>4.43</v>
      </c>
      <c r="G188" s="7" t="s">
        <v>249</v>
      </c>
    </row>
    <row r="189" spans="1:7">
      <c r="B189" s="6" t="s">
        <v>176</v>
      </c>
      <c r="C189" s="14">
        <f>0.1*4</f>
        <v>0.4</v>
      </c>
      <c r="D189" s="14">
        <v>5.5250000000000004</v>
      </c>
      <c r="E189" s="6">
        <f>2</f>
        <v>2</v>
      </c>
      <c r="F189" s="9">
        <f t="shared" si="10"/>
        <v>4.42</v>
      </c>
      <c r="G189" s="7" t="s">
        <v>249</v>
      </c>
    </row>
    <row r="190" spans="1:7">
      <c r="B190" s="6" t="s">
        <v>176</v>
      </c>
      <c r="C190" s="14">
        <f>0.1*4</f>
        <v>0.4</v>
      </c>
      <c r="D190" s="14">
        <v>11.195</v>
      </c>
      <c r="E190" s="6">
        <f>2</f>
        <v>2</v>
      </c>
      <c r="F190" s="9">
        <f t="shared" si="10"/>
        <v>8.9600000000000009</v>
      </c>
      <c r="G190" s="7" t="s">
        <v>249</v>
      </c>
    </row>
    <row r="191" spans="1:7">
      <c r="B191" s="6" t="s">
        <v>190</v>
      </c>
      <c r="C191" s="14">
        <f>0.262*2</f>
        <v>0.52400000000000002</v>
      </c>
      <c r="D191" s="14">
        <v>0.49399999999999999</v>
      </c>
      <c r="E191" s="6">
        <f>2</f>
        <v>2</v>
      </c>
      <c r="F191" s="9">
        <f t="shared" si="10"/>
        <v>0.52</v>
      </c>
      <c r="G191" s="7" t="s">
        <v>249</v>
      </c>
    </row>
    <row r="192" spans="1:7">
      <c r="B192" s="6" t="s">
        <v>191</v>
      </c>
      <c r="C192" s="14">
        <f>0.28*2</f>
        <v>0.56000000000000005</v>
      </c>
      <c r="D192" s="14">
        <v>0.28899999999999998</v>
      </c>
      <c r="E192" s="6">
        <f>4</f>
        <v>4</v>
      </c>
      <c r="F192" s="9">
        <f t="shared" si="10"/>
        <v>0.65</v>
      </c>
      <c r="G192" s="7" t="s">
        <v>249</v>
      </c>
    </row>
    <row r="193" spans="1:7">
      <c r="B193" s="6" t="s">
        <v>192</v>
      </c>
      <c r="C193" s="14">
        <f>0.236*2</f>
        <v>0.47199999999999998</v>
      </c>
      <c r="D193" s="14">
        <v>0.28800000000000003</v>
      </c>
      <c r="E193" s="6">
        <f>4</f>
        <v>4</v>
      </c>
      <c r="F193" s="9">
        <f t="shared" si="10"/>
        <v>0.54</v>
      </c>
      <c r="G193" s="7" t="s">
        <v>249</v>
      </c>
    </row>
    <row r="194" spans="1:7">
      <c r="B194" s="6" t="s">
        <v>180</v>
      </c>
      <c r="C194" s="14">
        <f>0.063*4</f>
        <v>0.252</v>
      </c>
      <c r="D194" s="14">
        <v>0.26800000000000002</v>
      </c>
      <c r="E194" s="6">
        <f>26</f>
        <v>26</v>
      </c>
      <c r="F194" s="9">
        <f t="shared" si="10"/>
        <v>1.76</v>
      </c>
      <c r="G194" s="7" t="s">
        <v>249</v>
      </c>
    </row>
    <row r="195" spans="1:7">
      <c r="A195" s="6" t="s">
        <v>193</v>
      </c>
      <c r="B195" s="6" t="s">
        <v>194</v>
      </c>
      <c r="C195" s="14">
        <f>0.15*4</f>
        <v>0.6</v>
      </c>
      <c r="D195" s="14">
        <v>6.4960000000000004</v>
      </c>
      <c r="E195" s="6">
        <f>2*2</f>
        <v>4</v>
      </c>
      <c r="F195" s="9">
        <f t="shared" si="10"/>
        <v>15.59</v>
      </c>
      <c r="G195" s="7" t="s">
        <v>249</v>
      </c>
    </row>
    <row r="196" spans="1:7">
      <c r="B196" s="6" t="s">
        <v>194</v>
      </c>
      <c r="C196" s="14">
        <f>0.15*4</f>
        <v>0.6</v>
      </c>
      <c r="D196" s="14">
        <v>6.4530000000000003</v>
      </c>
      <c r="E196" s="6">
        <f>2*2</f>
        <v>4</v>
      </c>
      <c r="F196" s="9">
        <f t="shared" si="10"/>
        <v>15.49</v>
      </c>
      <c r="G196" s="7" t="s">
        <v>249</v>
      </c>
    </row>
    <row r="197" spans="1:7">
      <c r="B197" s="6" t="s">
        <v>194</v>
      </c>
      <c r="C197" s="14">
        <f>0.15*4</f>
        <v>0.6</v>
      </c>
      <c r="D197" s="14">
        <v>13.137</v>
      </c>
      <c r="E197" s="6">
        <f>2*2</f>
        <v>4</v>
      </c>
      <c r="F197" s="9">
        <f t="shared" si="10"/>
        <v>31.53</v>
      </c>
      <c r="G197" s="7" t="s">
        <v>249</v>
      </c>
    </row>
    <row r="198" spans="1:7">
      <c r="B198" s="6" t="s">
        <v>195</v>
      </c>
      <c r="C198" s="14">
        <f>0.386*2</f>
        <v>0.77200000000000002</v>
      </c>
      <c r="D198" s="14">
        <v>0.76600000000000001</v>
      </c>
      <c r="E198" s="6">
        <f>2*2</f>
        <v>4</v>
      </c>
      <c r="F198" s="9">
        <f t="shared" si="10"/>
        <v>2.37</v>
      </c>
      <c r="G198" s="7" t="s">
        <v>249</v>
      </c>
    </row>
    <row r="199" spans="1:7">
      <c r="B199" s="6" t="s">
        <v>196</v>
      </c>
      <c r="C199" s="14">
        <f>0.353*2</f>
        <v>0.70599999999999996</v>
      </c>
      <c r="D199" s="14">
        <v>0.43</v>
      </c>
      <c r="E199" s="6">
        <f>4*2</f>
        <v>8</v>
      </c>
      <c r="F199" s="9">
        <f t="shared" si="10"/>
        <v>2.4300000000000002</v>
      </c>
      <c r="G199" s="7" t="s">
        <v>249</v>
      </c>
    </row>
    <row r="200" spans="1:7">
      <c r="B200" s="6" t="s">
        <v>197</v>
      </c>
      <c r="C200" s="14">
        <f>0.357*2</f>
        <v>0.71399999999999997</v>
      </c>
      <c r="D200" s="14">
        <v>0.38100000000000001</v>
      </c>
      <c r="E200" s="6">
        <f>4*2</f>
        <v>8</v>
      </c>
      <c r="F200" s="9">
        <f t="shared" si="10"/>
        <v>2.1800000000000002</v>
      </c>
      <c r="G200" s="7" t="s">
        <v>249</v>
      </c>
    </row>
    <row r="201" spans="1:7">
      <c r="B201" s="6" t="s">
        <v>180</v>
      </c>
      <c r="C201" s="14">
        <f>0.063*4</f>
        <v>0.252</v>
      </c>
      <c r="D201" s="14">
        <v>0.26</v>
      </c>
      <c r="E201" s="6">
        <f>26*2</f>
        <v>52</v>
      </c>
      <c r="F201" s="9">
        <f t="shared" si="10"/>
        <v>3.41</v>
      </c>
      <c r="G201" s="7" t="s">
        <v>249</v>
      </c>
    </row>
    <row r="202" spans="1:7">
      <c r="A202" s="6" t="s">
        <v>198</v>
      </c>
      <c r="B202" s="6" t="s">
        <v>199</v>
      </c>
      <c r="C202" s="14">
        <f>0.08*4</f>
        <v>0.32</v>
      </c>
      <c r="D202" s="14">
        <v>4.375</v>
      </c>
      <c r="E202" s="6">
        <f>2*3</f>
        <v>6</v>
      </c>
      <c r="F202" s="9">
        <f t="shared" si="10"/>
        <v>8.4</v>
      </c>
      <c r="G202" s="7" t="s">
        <v>249</v>
      </c>
    </row>
    <row r="203" spans="1:7">
      <c r="B203" s="6" t="s">
        <v>199</v>
      </c>
      <c r="C203" s="14">
        <f>0.08*4</f>
        <v>0.32</v>
      </c>
      <c r="D203" s="14">
        <v>4.4210000000000003</v>
      </c>
      <c r="E203" s="6">
        <f>2*3</f>
        <v>6</v>
      </c>
      <c r="F203" s="9">
        <f t="shared" si="10"/>
        <v>8.49</v>
      </c>
      <c r="G203" s="7" t="s">
        <v>249</v>
      </c>
    </row>
    <row r="204" spans="1:7">
      <c r="B204" s="6" t="s">
        <v>199</v>
      </c>
      <c r="C204" s="14">
        <f>0.08*4</f>
        <v>0.32</v>
      </c>
      <c r="D204" s="14">
        <v>9.0340000000000007</v>
      </c>
      <c r="E204" s="6">
        <f>2*3</f>
        <v>6</v>
      </c>
      <c r="F204" s="9">
        <f t="shared" si="10"/>
        <v>17.350000000000001</v>
      </c>
      <c r="G204" s="7" t="s">
        <v>249</v>
      </c>
    </row>
    <row r="205" spans="1:7">
      <c r="B205" s="6" t="s">
        <v>200</v>
      </c>
      <c r="C205" s="14">
        <f>0.254*2</f>
        <v>0.50800000000000001</v>
      </c>
      <c r="D205" s="14">
        <v>0.53400000000000003</v>
      </c>
      <c r="E205" s="6">
        <f>2*3</f>
        <v>6</v>
      </c>
      <c r="F205" s="9">
        <f t="shared" si="10"/>
        <v>1.63</v>
      </c>
      <c r="G205" s="7" t="s">
        <v>249</v>
      </c>
    </row>
    <row r="206" spans="1:7">
      <c r="B206" s="6" t="s">
        <v>201</v>
      </c>
      <c r="C206" s="14">
        <f>0.295*2</f>
        <v>0.59</v>
      </c>
      <c r="D206" s="14">
        <v>0.439</v>
      </c>
      <c r="E206" s="6">
        <f>4*3</f>
        <v>12</v>
      </c>
      <c r="F206" s="9">
        <f t="shared" si="10"/>
        <v>3.11</v>
      </c>
      <c r="G206" s="7" t="s">
        <v>249</v>
      </c>
    </row>
    <row r="207" spans="1:7">
      <c r="B207" s="6" t="s">
        <v>202</v>
      </c>
      <c r="C207" s="14">
        <f>0.232*2</f>
        <v>0.46400000000000002</v>
      </c>
      <c r="D207" s="14">
        <v>0.39500000000000002</v>
      </c>
      <c r="E207" s="6">
        <f>4*3</f>
        <v>12</v>
      </c>
      <c r="F207" s="9">
        <f t="shared" si="10"/>
        <v>2.2000000000000002</v>
      </c>
      <c r="G207" s="7" t="s">
        <v>249</v>
      </c>
    </row>
    <row r="208" spans="1:7">
      <c r="B208" s="6" t="s">
        <v>180</v>
      </c>
      <c r="C208" s="14">
        <f>0.063*4</f>
        <v>0.252</v>
      </c>
      <c r="D208" s="14">
        <v>0.26800000000000002</v>
      </c>
      <c r="E208" s="6">
        <f>28*3</f>
        <v>84</v>
      </c>
      <c r="F208" s="9">
        <f t="shared" si="10"/>
        <v>5.67</v>
      </c>
      <c r="G208" s="7" t="s">
        <v>249</v>
      </c>
    </row>
    <row r="209" spans="1:7">
      <c r="A209" s="6" t="s">
        <v>203</v>
      </c>
      <c r="B209" s="6" t="s">
        <v>199</v>
      </c>
      <c r="C209" s="14">
        <f>0.08*4</f>
        <v>0.32</v>
      </c>
      <c r="D209" s="14">
        <v>4.2069999999999999</v>
      </c>
      <c r="E209" s="6">
        <f>2</f>
        <v>2</v>
      </c>
      <c r="F209" s="9">
        <f t="shared" si="10"/>
        <v>2.69</v>
      </c>
      <c r="G209" s="7" t="s">
        <v>249</v>
      </c>
    </row>
    <row r="210" spans="1:7">
      <c r="B210" s="6" t="s">
        <v>199</v>
      </c>
      <c r="C210" s="14">
        <f>0.08*4</f>
        <v>0.32</v>
      </c>
      <c r="D210" s="14">
        <v>4.2489999999999997</v>
      </c>
      <c r="E210" s="6">
        <f>2</f>
        <v>2</v>
      </c>
      <c r="F210" s="9">
        <f t="shared" si="10"/>
        <v>2.72</v>
      </c>
      <c r="G210" s="7" t="s">
        <v>249</v>
      </c>
    </row>
    <row r="211" spans="1:7">
      <c r="B211" s="6" t="s">
        <v>199</v>
      </c>
      <c r="C211" s="14">
        <f>0.08*4</f>
        <v>0.32</v>
      </c>
      <c r="D211" s="14">
        <v>8.6840000000000011</v>
      </c>
      <c r="E211" s="6">
        <f>2</f>
        <v>2</v>
      </c>
      <c r="F211" s="9">
        <f t="shared" si="10"/>
        <v>5.56</v>
      </c>
      <c r="G211" s="7" t="s">
        <v>249</v>
      </c>
    </row>
    <row r="212" spans="1:7">
      <c r="B212" s="6" t="s">
        <v>204</v>
      </c>
      <c r="C212" s="14">
        <f>0.25*2</f>
        <v>0.5</v>
      </c>
      <c r="D212" s="14">
        <v>0.52400000000000002</v>
      </c>
      <c r="E212" s="6">
        <f>2</f>
        <v>2</v>
      </c>
      <c r="F212" s="9">
        <f t="shared" si="10"/>
        <v>0.52</v>
      </c>
      <c r="G212" s="7" t="s">
        <v>249</v>
      </c>
    </row>
    <row r="213" spans="1:7">
      <c r="B213" s="6" t="s">
        <v>205</v>
      </c>
      <c r="C213" s="14">
        <f>0.286*2</f>
        <v>0.57199999999999995</v>
      </c>
      <c r="D213" s="14">
        <v>0.42299999999999999</v>
      </c>
      <c r="E213" s="6">
        <f>4</f>
        <v>4</v>
      </c>
      <c r="F213" s="9">
        <f t="shared" si="10"/>
        <v>0.97</v>
      </c>
      <c r="G213" s="7" t="s">
        <v>249</v>
      </c>
    </row>
    <row r="214" spans="1:7">
      <c r="B214" s="6" t="s">
        <v>206</v>
      </c>
      <c r="C214" s="14">
        <f>0.227*2</f>
        <v>0.45400000000000001</v>
      </c>
      <c r="D214" s="14">
        <v>0.38500000000000001</v>
      </c>
      <c r="E214" s="6">
        <f>4</f>
        <v>4</v>
      </c>
      <c r="F214" s="9">
        <f t="shared" si="10"/>
        <v>0.7</v>
      </c>
      <c r="G214" s="7" t="s">
        <v>249</v>
      </c>
    </row>
    <row r="215" spans="1:7">
      <c r="B215" s="6" t="s">
        <v>180</v>
      </c>
      <c r="C215" s="14">
        <f>0.063*4</f>
        <v>0.252</v>
      </c>
      <c r="D215" s="14">
        <v>0.26800000000000002</v>
      </c>
      <c r="E215" s="6">
        <f>26</f>
        <v>26</v>
      </c>
      <c r="F215" s="9">
        <f t="shared" si="10"/>
        <v>1.76</v>
      </c>
      <c r="G215" s="7" t="s">
        <v>249</v>
      </c>
    </row>
    <row r="216" spans="1:7">
      <c r="A216" s="6" t="s">
        <v>207</v>
      </c>
      <c r="B216" s="6" t="s">
        <v>15</v>
      </c>
      <c r="C216" s="14">
        <f>0.16*2+0.063*4</f>
        <v>0.57200000000000006</v>
      </c>
      <c r="D216" s="14">
        <v>6.4420000000000002</v>
      </c>
      <c r="E216" s="6">
        <f>2*2</f>
        <v>4</v>
      </c>
      <c r="F216" s="9">
        <f t="shared" si="10"/>
        <v>14.74</v>
      </c>
      <c r="G216" s="7" t="s">
        <v>249</v>
      </c>
    </row>
    <row r="217" spans="1:7">
      <c r="B217" s="6" t="s">
        <v>15</v>
      </c>
      <c r="C217" s="14">
        <f>0.16*2+0.063*4</f>
        <v>0.57200000000000006</v>
      </c>
      <c r="D217" s="14">
        <v>6.492</v>
      </c>
      <c r="E217" s="6">
        <f>2*2</f>
        <v>4</v>
      </c>
      <c r="F217" s="9">
        <f t="shared" si="10"/>
        <v>14.85</v>
      </c>
      <c r="G217" s="7" t="s">
        <v>249</v>
      </c>
    </row>
    <row r="218" spans="1:7">
      <c r="B218" s="6" t="s">
        <v>15</v>
      </c>
      <c r="C218" s="14">
        <f>0.16*2+0.063*4</f>
        <v>0.57200000000000006</v>
      </c>
      <c r="D218" s="14">
        <v>13.132</v>
      </c>
      <c r="E218" s="6">
        <f>2*2</f>
        <v>4</v>
      </c>
      <c r="F218" s="9">
        <f t="shared" si="10"/>
        <v>30.05</v>
      </c>
      <c r="G218" s="7" t="s">
        <v>249</v>
      </c>
    </row>
    <row r="219" spans="1:7">
      <c r="B219" s="6" t="s">
        <v>208</v>
      </c>
      <c r="C219" s="14">
        <f>0.322*2</f>
        <v>0.64400000000000002</v>
      </c>
      <c r="D219" s="14">
        <v>0.49399999999999999</v>
      </c>
      <c r="E219" s="6">
        <f>2*2</f>
        <v>4</v>
      </c>
      <c r="F219" s="9">
        <f t="shared" si="10"/>
        <v>1.27</v>
      </c>
      <c r="G219" s="7" t="s">
        <v>249</v>
      </c>
    </row>
    <row r="220" spans="1:7">
      <c r="B220" s="6" t="s">
        <v>209</v>
      </c>
      <c r="C220" s="14">
        <f>0.294*2</f>
        <v>0.58799999999999997</v>
      </c>
      <c r="D220" s="14">
        <v>0.312</v>
      </c>
      <c r="E220" s="6">
        <f>4*2</f>
        <v>8</v>
      </c>
      <c r="F220" s="9">
        <f t="shared" si="10"/>
        <v>1.47</v>
      </c>
      <c r="G220" s="7" t="s">
        <v>249</v>
      </c>
    </row>
    <row r="221" spans="1:7">
      <c r="B221" s="6" t="s">
        <v>210</v>
      </c>
      <c r="C221" s="14">
        <f>0.261*2</f>
        <v>0.52200000000000002</v>
      </c>
      <c r="D221" s="14">
        <v>0.27500000000000002</v>
      </c>
      <c r="E221" s="6">
        <f>4*2</f>
        <v>8</v>
      </c>
      <c r="F221" s="9">
        <f t="shared" si="10"/>
        <v>1.1499999999999999</v>
      </c>
      <c r="G221" s="7" t="s">
        <v>249</v>
      </c>
    </row>
    <row r="222" spans="1:7">
      <c r="B222" s="6" t="s">
        <v>211</v>
      </c>
      <c r="C222" s="14">
        <f>0.09*4</f>
        <v>0.36</v>
      </c>
      <c r="D222" s="14">
        <v>1.76</v>
      </c>
      <c r="E222" s="6">
        <f>36*2</f>
        <v>72</v>
      </c>
      <c r="F222" s="9">
        <f t="shared" si="10"/>
        <v>45.62</v>
      </c>
      <c r="G222" s="7" t="s">
        <v>249</v>
      </c>
    </row>
    <row r="223" spans="1:7">
      <c r="A223" s="6" t="s">
        <v>212</v>
      </c>
      <c r="B223" s="6" t="s">
        <v>194</v>
      </c>
      <c r="C223" s="14">
        <f>0.15*4</f>
        <v>0.6</v>
      </c>
      <c r="D223" s="14">
        <v>3.589</v>
      </c>
      <c r="E223" s="6">
        <f>4*2</f>
        <v>8</v>
      </c>
      <c r="F223" s="9">
        <f t="shared" si="10"/>
        <v>17.23</v>
      </c>
      <c r="G223" s="7" t="s">
        <v>249</v>
      </c>
    </row>
    <row r="224" spans="1:7">
      <c r="B224" s="6" t="s">
        <v>194</v>
      </c>
      <c r="C224" s="14">
        <f>0.15*4</f>
        <v>0.6</v>
      </c>
      <c r="D224" s="14">
        <v>8.86</v>
      </c>
      <c r="E224" s="6">
        <f>4*2</f>
        <v>8</v>
      </c>
      <c r="F224" s="9">
        <f t="shared" si="10"/>
        <v>42.53</v>
      </c>
      <c r="G224" s="7" t="s">
        <v>249</v>
      </c>
    </row>
    <row r="225" spans="1:7">
      <c r="B225" s="6" t="s">
        <v>194</v>
      </c>
      <c r="C225" s="14">
        <f>0.15*4</f>
        <v>0.6</v>
      </c>
      <c r="D225" s="14">
        <v>1.419</v>
      </c>
      <c r="E225" s="6">
        <f>2*2</f>
        <v>4</v>
      </c>
      <c r="F225" s="9">
        <f t="shared" si="10"/>
        <v>3.41</v>
      </c>
      <c r="G225" s="7" t="s">
        <v>249</v>
      </c>
    </row>
    <row r="226" spans="1:7">
      <c r="B226" s="6" t="s">
        <v>213</v>
      </c>
      <c r="C226" s="14">
        <f>0.433*2</f>
        <v>0.86599999999999999</v>
      </c>
      <c r="D226" s="14">
        <v>1.978</v>
      </c>
      <c r="E226" s="6">
        <f>1*2</f>
        <v>2</v>
      </c>
      <c r="F226" s="9">
        <f t="shared" si="10"/>
        <v>3.43</v>
      </c>
      <c r="G226" s="7" t="s">
        <v>249</v>
      </c>
    </row>
    <row r="227" spans="1:7">
      <c r="B227" s="6" t="s">
        <v>214</v>
      </c>
      <c r="C227" s="14">
        <f>0.19*2</f>
        <v>0.38</v>
      </c>
      <c r="D227" s="14">
        <v>0.43099999999999999</v>
      </c>
      <c r="E227" s="6">
        <f>1*2</f>
        <v>2</v>
      </c>
      <c r="F227" s="9">
        <f t="shared" si="10"/>
        <v>0.33</v>
      </c>
      <c r="G227" s="7" t="s">
        <v>249</v>
      </c>
    </row>
    <row r="228" spans="1:7">
      <c r="B228" s="6" t="s">
        <v>215</v>
      </c>
      <c r="C228" s="14">
        <f>0.301*2</f>
        <v>0.60199999999999998</v>
      </c>
      <c r="D228" s="14">
        <v>0.35199999999999998</v>
      </c>
      <c r="E228" s="6">
        <f>2*2</f>
        <v>4</v>
      </c>
      <c r="F228" s="9">
        <f t="shared" si="10"/>
        <v>0.85</v>
      </c>
      <c r="G228" s="7" t="s">
        <v>249</v>
      </c>
    </row>
    <row r="229" spans="1:7">
      <c r="B229" s="6" t="s">
        <v>216</v>
      </c>
      <c r="C229" s="14">
        <f>0.44*2</f>
        <v>0.88</v>
      </c>
      <c r="D229" s="14">
        <v>0.70599999999999996</v>
      </c>
      <c r="E229" s="6">
        <f>2*2</f>
        <v>4</v>
      </c>
      <c r="F229" s="9">
        <f t="shared" si="10"/>
        <v>2.4900000000000002</v>
      </c>
      <c r="G229" s="7" t="s">
        <v>249</v>
      </c>
    </row>
    <row r="230" spans="1:7">
      <c r="B230" s="6" t="s">
        <v>217</v>
      </c>
      <c r="C230" s="14">
        <f>0.06*2</f>
        <v>0.12</v>
      </c>
      <c r="D230" s="14">
        <v>0.18</v>
      </c>
      <c r="E230" s="6">
        <f>6*2</f>
        <v>12</v>
      </c>
      <c r="F230" s="9">
        <f t="shared" si="10"/>
        <v>0.26</v>
      </c>
      <c r="G230" s="7" t="s">
        <v>249</v>
      </c>
    </row>
    <row r="231" spans="1:7">
      <c r="B231" s="6" t="s">
        <v>217</v>
      </c>
      <c r="C231" s="14">
        <f>0.06*2</f>
        <v>0.12</v>
      </c>
      <c r="D231" s="14">
        <v>0.18</v>
      </c>
      <c r="E231" s="6">
        <f>8*2</f>
        <v>16</v>
      </c>
      <c r="F231" s="9">
        <f t="shared" si="10"/>
        <v>0.35</v>
      </c>
      <c r="G231" s="7" t="s">
        <v>249</v>
      </c>
    </row>
    <row r="232" spans="1:7">
      <c r="A232" s="6" t="s">
        <v>218</v>
      </c>
      <c r="B232" s="6" t="s">
        <v>194</v>
      </c>
      <c r="C232" s="14">
        <f>0.15*4</f>
        <v>0.6</v>
      </c>
      <c r="D232" s="14">
        <v>3.9490000000000003</v>
      </c>
      <c r="E232" s="6">
        <f>4*3</f>
        <v>12</v>
      </c>
      <c r="F232" s="9">
        <f t="shared" ref="F232:F295" si="11">ROUND(PRODUCT(C232:E232),2)</f>
        <v>28.43</v>
      </c>
      <c r="G232" s="7" t="s">
        <v>249</v>
      </c>
    </row>
    <row r="233" spans="1:7">
      <c r="B233" s="6" t="s">
        <v>194</v>
      </c>
      <c r="C233" s="14">
        <f>0.15*4</f>
        <v>0.6</v>
      </c>
      <c r="D233" s="14">
        <v>8.86</v>
      </c>
      <c r="E233" s="6">
        <f>4*3</f>
        <v>12</v>
      </c>
      <c r="F233" s="9">
        <f t="shared" si="11"/>
        <v>63.79</v>
      </c>
      <c r="G233" s="7" t="s">
        <v>249</v>
      </c>
    </row>
    <row r="234" spans="1:7">
      <c r="B234" s="6" t="s">
        <v>194</v>
      </c>
      <c r="C234" s="14">
        <f>0.15*4</f>
        <v>0.6</v>
      </c>
      <c r="D234" s="14">
        <v>1.819</v>
      </c>
      <c r="E234" s="6">
        <f>2*3</f>
        <v>6</v>
      </c>
      <c r="F234" s="9">
        <f t="shared" si="11"/>
        <v>6.55</v>
      </c>
      <c r="G234" s="7" t="s">
        <v>249</v>
      </c>
    </row>
    <row r="235" spans="1:7">
      <c r="B235" s="6" t="s">
        <v>219</v>
      </c>
      <c r="C235" s="14">
        <f>0.448*2</f>
        <v>0.89600000000000002</v>
      </c>
      <c r="D235" s="14">
        <v>1.6620000000000001</v>
      </c>
      <c r="E235" s="6">
        <f>1*3</f>
        <v>3</v>
      </c>
      <c r="F235" s="9">
        <f t="shared" si="11"/>
        <v>4.47</v>
      </c>
      <c r="G235" s="7" t="s">
        <v>249</v>
      </c>
    </row>
    <row r="236" spans="1:7">
      <c r="B236" s="6" t="s">
        <v>220</v>
      </c>
      <c r="C236" s="14">
        <f>0.19*2</f>
        <v>0.38</v>
      </c>
      <c r="D236" s="14">
        <v>0.43099999999999999</v>
      </c>
      <c r="E236" s="6">
        <f>1*3</f>
        <v>3</v>
      </c>
      <c r="F236" s="9">
        <f t="shared" si="11"/>
        <v>0.49</v>
      </c>
      <c r="G236" s="7" t="s">
        <v>249</v>
      </c>
    </row>
    <row r="237" spans="1:7">
      <c r="B237" s="6" t="s">
        <v>221</v>
      </c>
      <c r="C237" s="14">
        <f>0.301*2</f>
        <v>0.60199999999999998</v>
      </c>
      <c r="D237" s="14">
        <v>0.35199999999999998</v>
      </c>
      <c r="E237" s="6">
        <f>2*3</f>
        <v>6</v>
      </c>
      <c r="F237" s="9">
        <f t="shared" si="11"/>
        <v>1.27</v>
      </c>
      <c r="G237" s="7" t="s">
        <v>249</v>
      </c>
    </row>
    <row r="238" spans="1:7">
      <c r="B238" s="6" t="s">
        <v>222</v>
      </c>
      <c r="C238" s="14">
        <f>0.452*2</f>
        <v>0.90400000000000003</v>
      </c>
      <c r="D238" s="14">
        <v>0.61199999999999999</v>
      </c>
      <c r="E238" s="6">
        <f>2*3</f>
        <v>6</v>
      </c>
      <c r="F238" s="9">
        <f t="shared" si="11"/>
        <v>3.32</v>
      </c>
      <c r="G238" s="7" t="s">
        <v>249</v>
      </c>
    </row>
    <row r="239" spans="1:7">
      <c r="B239" s="6" t="s">
        <v>223</v>
      </c>
      <c r="C239" s="14">
        <f>0.06*2</f>
        <v>0.12</v>
      </c>
      <c r="D239" s="14">
        <v>0.18</v>
      </c>
      <c r="E239" s="6">
        <f>6*3</f>
        <v>18</v>
      </c>
      <c r="F239" s="9">
        <f t="shared" si="11"/>
        <v>0.39</v>
      </c>
      <c r="G239" s="7" t="s">
        <v>249</v>
      </c>
    </row>
    <row r="240" spans="1:7">
      <c r="B240" s="6" t="s">
        <v>223</v>
      </c>
      <c r="C240" s="14">
        <f>0.06*2</f>
        <v>0.12</v>
      </c>
      <c r="D240" s="14">
        <v>0.18</v>
      </c>
      <c r="E240" s="6">
        <f>8*3</f>
        <v>24</v>
      </c>
      <c r="F240" s="9">
        <f t="shared" si="11"/>
        <v>0.52</v>
      </c>
      <c r="G240" s="7" t="s">
        <v>249</v>
      </c>
    </row>
    <row r="241" spans="1:7">
      <c r="A241" s="6" t="s">
        <v>224</v>
      </c>
      <c r="B241" s="6" t="s">
        <v>194</v>
      </c>
      <c r="C241" s="14">
        <f>0.15*4</f>
        <v>0.6</v>
      </c>
      <c r="D241" s="14">
        <v>3.8040000000000003</v>
      </c>
      <c r="E241" s="6">
        <f>4</f>
        <v>4</v>
      </c>
      <c r="F241" s="9">
        <f t="shared" si="11"/>
        <v>9.1300000000000008</v>
      </c>
      <c r="G241" s="7" t="s">
        <v>249</v>
      </c>
    </row>
    <row r="242" spans="1:7">
      <c r="B242" s="6" t="s">
        <v>194</v>
      </c>
      <c r="C242" s="14">
        <f>0.15*4</f>
        <v>0.6</v>
      </c>
      <c r="D242" s="14">
        <v>8.4600000000000009</v>
      </c>
      <c r="E242" s="6">
        <f>4</f>
        <v>4</v>
      </c>
      <c r="F242" s="9">
        <f t="shared" si="11"/>
        <v>20.3</v>
      </c>
      <c r="G242" s="7" t="s">
        <v>249</v>
      </c>
    </row>
    <row r="243" spans="1:7">
      <c r="B243" s="6" t="s">
        <v>194</v>
      </c>
      <c r="C243" s="14">
        <f>0.15*4</f>
        <v>0.6</v>
      </c>
      <c r="D243" s="14">
        <v>1.819</v>
      </c>
      <c r="E243" s="6">
        <f>2</f>
        <v>2</v>
      </c>
      <c r="F243" s="9">
        <f t="shared" si="11"/>
        <v>2.1800000000000002</v>
      </c>
      <c r="G243" s="7" t="s">
        <v>249</v>
      </c>
    </row>
    <row r="244" spans="1:7">
      <c r="B244" s="6" t="s">
        <v>225</v>
      </c>
      <c r="C244" s="14">
        <f>0.452*2</f>
        <v>0.90400000000000003</v>
      </c>
      <c r="D244" s="14">
        <v>1.605</v>
      </c>
      <c r="E244" s="6">
        <f>1</f>
        <v>1</v>
      </c>
      <c r="F244" s="9">
        <f t="shared" si="11"/>
        <v>1.45</v>
      </c>
      <c r="G244" s="7" t="s">
        <v>249</v>
      </c>
    </row>
    <row r="245" spans="1:7">
      <c r="B245" s="6" t="s">
        <v>214</v>
      </c>
      <c r="C245" s="14">
        <f>0.19*2</f>
        <v>0.38</v>
      </c>
      <c r="D245" s="14">
        <v>0.43099999999999999</v>
      </c>
      <c r="E245" s="6">
        <f>1</f>
        <v>1</v>
      </c>
      <c r="F245" s="9">
        <f t="shared" si="11"/>
        <v>0.16</v>
      </c>
      <c r="G245" s="7" t="s">
        <v>249</v>
      </c>
    </row>
    <row r="246" spans="1:7">
      <c r="B246" s="6" t="s">
        <v>215</v>
      </c>
      <c r="C246" s="14">
        <f>0.301*2</f>
        <v>0.60199999999999998</v>
      </c>
      <c r="D246" s="14">
        <v>0.35199999999999998</v>
      </c>
      <c r="E246" s="6">
        <f>2</f>
        <v>2</v>
      </c>
      <c r="F246" s="9">
        <f t="shared" si="11"/>
        <v>0.42</v>
      </c>
      <c r="G246" s="7" t="s">
        <v>249</v>
      </c>
    </row>
    <row r="247" spans="1:7">
      <c r="B247" s="6" t="s">
        <v>226</v>
      </c>
      <c r="C247" s="14">
        <f>0.454*2</f>
        <v>0.90800000000000003</v>
      </c>
      <c r="D247" s="14">
        <v>0.59499999999999997</v>
      </c>
      <c r="E247" s="6">
        <f>2</f>
        <v>2</v>
      </c>
      <c r="F247" s="9">
        <f t="shared" si="11"/>
        <v>1.08</v>
      </c>
      <c r="G247" s="7" t="s">
        <v>249</v>
      </c>
    </row>
    <row r="248" spans="1:7">
      <c r="B248" s="6" t="s">
        <v>217</v>
      </c>
      <c r="C248" s="14">
        <f>0.06*2</f>
        <v>0.12</v>
      </c>
      <c r="D248" s="14">
        <v>0.18</v>
      </c>
      <c r="E248" s="6">
        <f>6</f>
        <v>6</v>
      </c>
      <c r="F248" s="9">
        <f t="shared" si="11"/>
        <v>0.13</v>
      </c>
      <c r="G248" s="7" t="s">
        <v>249</v>
      </c>
    </row>
    <row r="249" spans="1:7">
      <c r="B249" s="6" t="s">
        <v>217</v>
      </c>
      <c r="C249" s="14">
        <f>0.06*2</f>
        <v>0.12</v>
      </c>
      <c r="D249" s="14">
        <v>0.18</v>
      </c>
      <c r="E249" s="6">
        <f>8</f>
        <v>8</v>
      </c>
      <c r="F249" s="9">
        <f t="shared" si="11"/>
        <v>0.17</v>
      </c>
      <c r="G249" s="7" t="s">
        <v>249</v>
      </c>
    </row>
    <row r="250" spans="1:7">
      <c r="A250" s="6" t="s">
        <v>227</v>
      </c>
      <c r="B250" s="6" t="s">
        <v>211</v>
      </c>
      <c r="C250" s="14">
        <f>0.09*4</f>
        <v>0.36</v>
      </c>
      <c r="D250" s="14">
        <v>4.6029999999999998</v>
      </c>
      <c r="E250" s="6">
        <f>2*3</f>
        <v>6</v>
      </c>
      <c r="F250" s="9">
        <f t="shared" si="11"/>
        <v>9.94</v>
      </c>
      <c r="G250" s="7" t="s">
        <v>249</v>
      </c>
    </row>
    <row r="251" spans="1:7">
      <c r="B251" s="6" t="s">
        <v>211</v>
      </c>
      <c r="C251" s="14">
        <f>0.09*4</f>
        <v>0.36</v>
      </c>
      <c r="D251" s="14">
        <v>4.6390000000000002</v>
      </c>
      <c r="E251" s="6">
        <f>2*3</f>
        <v>6</v>
      </c>
      <c r="F251" s="9">
        <f t="shared" si="11"/>
        <v>10.02</v>
      </c>
      <c r="G251" s="7" t="s">
        <v>249</v>
      </c>
    </row>
    <row r="252" spans="1:7">
      <c r="B252" s="6" t="s">
        <v>211</v>
      </c>
      <c r="C252" s="14">
        <f>0.09*4</f>
        <v>0.36</v>
      </c>
      <c r="D252" s="14">
        <v>9.4550000000000001</v>
      </c>
      <c r="E252" s="6">
        <f>2*3</f>
        <v>6</v>
      </c>
      <c r="F252" s="9">
        <f t="shared" si="11"/>
        <v>20.420000000000002</v>
      </c>
      <c r="G252" s="7" t="s">
        <v>249</v>
      </c>
    </row>
    <row r="253" spans="1:7">
      <c r="B253" s="6" t="s">
        <v>186</v>
      </c>
      <c r="C253" s="14">
        <f>0.264*2</f>
        <v>0.52800000000000002</v>
      </c>
      <c r="D253" s="14">
        <v>0.53800000000000003</v>
      </c>
      <c r="E253" s="6">
        <f>2*3</f>
        <v>6</v>
      </c>
      <c r="F253" s="9">
        <f t="shared" si="11"/>
        <v>1.7</v>
      </c>
      <c r="G253" s="7" t="s">
        <v>249</v>
      </c>
    </row>
    <row r="254" spans="1:7">
      <c r="B254" s="6" t="s">
        <v>228</v>
      </c>
      <c r="C254" s="14">
        <f>0.285*2</f>
        <v>0.56999999999999995</v>
      </c>
      <c r="D254" s="14">
        <v>0.40500000000000003</v>
      </c>
      <c r="E254" s="6">
        <f>4*3</f>
        <v>12</v>
      </c>
      <c r="F254" s="9">
        <f t="shared" si="11"/>
        <v>2.77</v>
      </c>
      <c r="G254" s="7" t="s">
        <v>249</v>
      </c>
    </row>
    <row r="255" spans="1:7">
      <c r="B255" s="6" t="s">
        <v>229</v>
      </c>
      <c r="C255" s="14">
        <f>0.222*2</f>
        <v>0.44400000000000001</v>
      </c>
      <c r="D255" s="14">
        <v>0.373</v>
      </c>
      <c r="E255" s="6">
        <f>4*3</f>
        <v>12</v>
      </c>
      <c r="F255" s="9">
        <f t="shared" si="11"/>
        <v>1.99</v>
      </c>
      <c r="G255" s="7" t="s">
        <v>249</v>
      </c>
    </row>
    <row r="256" spans="1:7">
      <c r="B256" s="6" t="s">
        <v>180</v>
      </c>
      <c r="C256" s="14">
        <f>0.063*4</f>
        <v>0.252</v>
      </c>
      <c r="D256" s="14">
        <v>0.26800000000000002</v>
      </c>
      <c r="E256" s="6">
        <f>26*3</f>
        <v>78</v>
      </c>
      <c r="F256" s="9">
        <f t="shared" si="11"/>
        <v>5.27</v>
      </c>
      <c r="G256" s="7" t="s">
        <v>249</v>
      </c>
    </row>
    <row r="257" spans="1:7">
      <c r="A257" s="6" t="s">
        <v>230</v>
      </c>
      <c r="B257" s="6" t="s">
        <v>211</v>
      </c>
      <c r="C257" s="14">
        <f>0.09*4</f>
        <v>0.36</v>
      </c>
      <c r="D257" s="14">
        <v>4.4420000000000002</v>
      </c>
      <c r="E257" s="6">
        <f>2</f>
        <v>2</v>
      </c>
      <c r="F257" s="9">
        <f t="shared" si="11"/>
        <v>3.2</v>
      </c>
      <c r="G257" s="7" t="s">
        <v>249</v>
      </c>
    </row>
    <row r="258" spans="1:7">
      <c r="B258" s="6" t="s">
        <v>211</v>
      </c>
      <c r="C258" s="14">
        <f>0.09*4</f>
        <v>0.36</v>
      </c>
      <c r="D258" s="14">
        <v>4.4720000000000004</v>
      </c>
      <c r="E258" s="6">
        <f>2</f>
        <v>2</v>
      </c>
      <c r="F258" s="9">
        <f t="shared" si="11"/>
        <v>3.22</v>
      </c>
      <c r="G258" s="7" t="s">
        <v>249</v>
      </c>
    </row>
    <row r="259" spans="1:7">
      <c r="B259" s="6" t="s">
        <v>211</v>
      </c>
      <c r="C259" s="14">
        <f>0.09*4</f>
        <v>0.36</v>
      </c>
      <c r="D259" s="14">
        <v>9.1189999999999998</v>
      </c>
      <c r="E259" s="6">
        <f>2</f>
        <v>2</v>
      </c>
      <c r="F259" s="9">
        <f t="shared" si="11"/>
        <v>6.57</v>
      </c>
      <c r="G259" s="7" t="s">
        <v>249</v>
      </c>
    </row>
    <row r="260" spans="1:7">
      <c r="B260" s="6" t="s">
        <v>190</v>
      </c>
      <c r="C260" s="14">
        <f>0.262*2</f>
        <v>0.52400000000000002</v>
      </c>
      <c r="D260" s="14">
        <v>0.53</v>
      </c>
      <c r="E260" s="6">
        <f>2</f>
        <v>2</v>
      </c>
      <c r="F260" s="9">
        <f t="shared" si="11"/>
        <v>0.56000000000000005</v>
      </c>
      <c r="G260" s="7" t="s">
        <v>249</v>
      </c>
    </row>
    <row r="261" spans="1:7">
      <c r="B261" s="6" t="s">
        <v>231</v>
      </c>
      <c r="C261" s="14">
        <f>0.277*2</f>
        <v>0.55400000000000005</v>
      </c>
      <c r="D261" s="14">
        <v>0.38900000000000001</v>
      </c>
      <c r="E261" s="6">
        <f>4</f>
        <v>4</v>
      </c>
      <c r="F261" s="9">
        <f t="shared" si="11"/>
        <v>0.86</v>
      </c>
      <c r="G261" s="7" t="s">
        <v>249</v>
      </c>
    </row>
    <row r="262" spans="1:7">
      <c r="B262" s="6" t="s">
        <v>232</v>
      </c>
      <c r="C262" s="14">
        <f>0.217*2</f>
        <v>0.434</v>
      </c>
      <c r="D262" s="14">
        <v>0.36199999999999999</v>
      </c>
      <c r="E262" s="6">
        <f>4</f>
        <v>4</v>
      </c>
      <c r="F262" s="9">
        <f t="shared" si="11"/>
        <v>0.63</v>
      </c>
      <c r="G262" s="7" t="s">
        <v>249</v>
      </c>
    </row>
    <row r="263" spans="1:7">
      <c r="B263" s="6" t="s">
        <v>180</v>
      </c>
      <c r="C263" s="14">
        <f>0.063*4</f>
        <v>0.252</v>
      </c>
      <c r="D263" s="14">
        <v>0.26800000000000002</v>
      </c>
      <c r="E263" s="6">
        <f>24</f>
        <v>24</v>
      </c>
      <c r="F263" s="9">
        <f t="shared" si="11"/>
        <v>1.62</v>
      </c>
      <c r="G263" s="7" t="s">
        <v>249</v>
      </c>
    </row>
    <row r="264" spans="1:7">
      <c r="A264" s="6" t="s">
        <v>233</v>
      </c>
      <c r="B264" s="6" t="s">
        <v>234</v>
      </c>
      <c r="C264" s="14">
        <f>0.18*2+0.068*4</f>
        <v>0.63200000000000001</v>
      </c>
      <c r="D264" s="14">
        <v>7.2380000000000004</v>
      </c>
      <c r="E264" s="6">
        <f>2*2</f>
        <v>4</v>
      </c>
      <c r="F264" s="9">
        <f t="shared" si="11"/>
        <v>18.3</v>
      </c>
      <c r="G264" s="7" t="s">
        <v>249</v>
      </c>
    </row>
    <row r="265" spans="1:7">
      <c r="B265" s="6" t="s">
        <v>234</v>
      </c>
      <c r="C265" s="14">
        <f>0.18*2+0.068*4</f>
        <v>0.63200000000000001</v>
      </c>
      <c r="D265" s="14">
        <v>7.2380000000000004</v>
      </c>
      <c r="E265" s="6">
        <f>2*2</f>
        <v>4</v>
      </c>
      <c r="F265" s="9">
        <f t="shared" si="11"/>
        <v>18.3</v>
      </c>
      <c r="G265" s="7" t="s">
        <v>249</v>
      </c>
    </row>
    <row r="266" spans="1:7">
      <c r="B266" s="6" t="s">
        <v>234</v>
      </c>
      <c r="C266" s="14">
        <f>0.18*2+0.068*4</f>
        <v>0.63200000000000001</v>
      </c>
      <c r="D266" s="14">
        <v>14.738</v>
      </c>
      <c r="E266" s="6">
        <f>2*2</f>
        <v>4</v>
      </c>
      <c r="F266" s="9">
        <f t="shared" si="11"/>
        <v>37.26</v>
      </c>
      <c r="G266" s="7" t="s">
        <v>249</v>
      </c>
    </row>
    <row r="267" spans="1:7">
      <c r="B267" s="6" t="s">
        <v>235</v>
      </c>
      <c r="C267" s="14">
        <f>0.36*2</f>
        <v>0.72</v>
      </c>
      <c r="D267" s="14">
        <v>0.55800000000000005</v>
      </c>
      <c r="E267" s="6">
        <f>2*2</f>
        <v>4</v>
      </c>
      <c r="F267" s="9">
        <f t="shared" si="11"/>
        <v>1.61</v>
      </c>
      <c r="G267" s="7" t="s">
        <v>249</v>
      </c>
    </row>
    <row r="268" spans="1:7">
      <c r="B268" s="6" t="s">
        <v>236</v>
      </c>
      <c r="C268" s="14">
        <f>0.275*2</f>
        <v>0.55000000000000004</v>
      </c>
      <c r="D268" s="14">
        <v>0.31900000000000001</v>
      </c>
      <c r="E268" s="6">
        <f>4*2</f>
        <v>8</v>
      </c>
      <c r="F268" s="9">
        <f t="shared" si="11"/>
        <v>1.4</v>
      </c>
      <c r="G268" s="7" t="s">
        <v>249</v>
      </c>
    </row>
    <row r="269" spans="1:7">
      <c r="B269" s="6" t="s">
        <v>236</v>
      </c>
      <c r="C269" s="14">
        <f>0.275*2</f>
        <v>0.55000000000000004</v>
      </c>
      <c r="D269" s="14">
        <v>0.31900000000000001</v>
      </c>
      <c r="E269" s="6">
        <f>4*2</f>
        <v>8</v>
      </c>
      <c r="F269" s="9">
        <f t="shared" si="11"/>
        <v>1.4</v>
      </c>
      <c r="G269" s="7" t="s">
        <v>249</v>
      </c>
    </row>
    <row r="270" spans="1:7">
      <c r="B270" s="6" t="s">
        <v>211</v>
      </c>
      <c r="C270" s="14">
        <f>0.09*4</f>
        <v>0.36</v>
      </c>
      <c r="D270" s="14">
        <v>1.7590000000000001</v>
      </c>
      <c r="E270" s="6">
        <f>36*2</f>
        <v>72</v>
      </c>
      <c r="F270" s="9">
        <f t="shared" si="11"/>
        <v>45.59</v>
      </c>
      <c r="G270" s="7" t="s">
        <v>249</v>
      </c>
    </row>
    <row r="271" spans="1:7">
      <c r="A271" s="6" t="s">
        <v>237</v>
      </c>
      <c r="B271" s="6" t="s">
        <v>211</v>
      </c>
      <c r="C271" s="14">
        <f>0.09*4</f>
        <v>0.36</v>
      </c>
      <c r="D271" s="14">
        <v>4.9370000000000003</v>
      </c>
      <c r="E271" s="6">
        <f>2*3</f>
        <v>6</v>
      </c>
      <c r="F271" s="9">
        <f t="shared" si="11"/>
        <v>10.66</v>
      </c>
      <c r="G271" s="7" t="s">
        <v>249</v>
      </c>
    </row>
    <row r="272" spans="1:7">
      <c r="B272" s="6" t="s">
        <v>211</v>
      </c>
      <c r="C272" s="14">
        <f>0.09*4</f>
        <v>0.36</v>
      </c>
      <c r="D272" s="14">
        <v>4.9530000000000003</v>
      </c>
      <c r="E272" s="6">
        <f>2*3</f>
        <v>6</v>
      </c>
      <c r="F272" s="9">
        <f t="shared" si="11"/>
        <v>10.7</v>
      </c>
      <c r="G272" s="7" t="s">
        <v>249</v>
      </c>
    </row>
    <row r="273" spans="1:7">
      <c r="B273" s="6" t="s">
        <v>211</v>
      </c>
      <c r="C273" s="14">
        <f>0.09*4</f>
        <v>0.36</v>
      </c>
      <c r="D273" s="14">
        <v>10.063000000000001</v>
      </c>
      <c r="E273" s="6">
        <f>2*3</f>
        <v>6</v>
      </c>
      <c r="F273" s="9">
        <f t="shared" si="11"/>
        <v>21.74</v>
      </c>
      <c r="G273" s="7" t="s">
        <v>249</v>
      </c>
    </row>
    <row r="274" spans="1:7">
      <c r="B274" s="6" t="s">
        <v>200</v>
      </c>
      <c r="C274" s="14">
        <f>0.254*2</f>
        <v>0.50800000000000001</v>
      </c>
      <c r="D274" s="14">
        <v>0.498</v>
      </c>
      <c r="E274" s="6">
        <f>2*3</f>
        <v>6</v>
      </c>
      <c r="F274" s="9">
        <f t="shared" si="11"/>
        <v>1.52</v>
      </c>
      <c r="G274" s="7" t="s">
        <v>249</v>
      </c>
    </row>
    <row r="275" spans="1:7">
      <c r="B275" s="6" t="s">
        <v>238</v>
      </c>
      <c r="C275" s="14">
        <f>0.259*2</f>
        <v>0.51800000000000002</v>
      </c>
      <c r="D275" s="14">
        <v>0.34200000000000003</v>
      </c>
      <c r="E275" s="6">
        <f>4*3</f>
        <v>12</v>
      </c>
      <c r="F275" s="9">
        <f t="shared" si="11"/>
        <v>2.13</v>
      </c>
      <c r="G275" s="7" t="s">
        <v>249</v>
      </c>
    </row>
    <row r="276" spans="1:7">
      <c r="B276" s="6" t="s">
        <v>239</v>
      </c>
      <c r="C276" s="14">
        <f>0.203*2</f>
        <v>0.40600000000000003</v>
      </c>
      <c r="D276" s="14">
        <v>0.32900000000000001</v>
      </c>
      <c r="E276" s="6">
        <f>4*3</f>
        <v>12</v>
      </c>
      <c r="F276" s="9">
        <f t="shared" si="11"/>
        <v>1.6</v>
      </c>
      <c r="G276" s="7" t="s">
        <v>249</v>
      </c>
    </row>
    <row r="277" spans="1:7">
      <c r="B277" s="6" t="s">
        <v>180</v>
      </c>
      <c r="C277" s="14">
        <f>0.063*4</f>
        <v>0.252</v>
      </c>
      <c r="D277" s="14">
        <v>0.26800000000000002</v>
      </c>
      <c r="E277" s="6">
        <f>26*3</f>
        <v>78</v>
      </c>
      <c r="F277" s="9">
        <f t="shared" si="11"/>
        <v>5.27</v>
      </c>
      <c r="G277" s="7" t="s">
        <v>249</v>
      </c>
    </row>
    <row r="278" spans="1:7">
      <c r="A278" s="6" t="s">
        <v>240</v>
      </c>
      <c r="B278" s="6" t="s">
        <v>211</v>
      </c>
      <c r="C278" s="14">
        <f>0.09*4</f>
        <v>0.36</v>
      </c>
      <c r="D278" s="14">
        <v>4.78</v>
      </c>
      <c r="E278" s="6">
        <f>2</f>
        <v>2</v>
      </c>
      <c r="F278" s="9">
        <f t="shared" si="11"/>
        <v>3.44</v>
      </c>
      <c r="G278" s="7" t="s">
        <v>249</v>
      </c>
    </row>
    <row r="279" spans="1:7">
      <c r="B279" s="6" t="s">
        <v>211</v>
      </c>
      <c r="C279" s="14">
        <f>0.09*4</f>
        <v>0.36</v>
      </c>
      <c r="D279" s="14">
        <v>4.7889999999999997</v>
      </c>
      <c r="E279" s="6">
        <f>2</f>
        <v>2</v>
      </c>
      <c r="F279" s="9">
        <f t="shared" si="11"/>
        <v>3.45</v>
      </c>
      <c r="G279" s="7" t="s">
        <v>249</v>
      </c>
    </row>
    <row r="280" spans="1:7">
      <c r="B280" s="6" t="s">
        <v>211</v>
      </c>
      <c r="C280" s="14">
        <f>0.09*4</f>
        <v>0.36</v>
      </c>
      <c r="D280" s="14">
        <v>9.7349999999999994</v>
      </c>
      <c r="E280" s="6">
        <f>2</f>
        <v>2</v>
      </c>
      <c r="F280" s="9">
        <f t="shared" si="11"/>
        <v>7.01</v>
      </c>
      <c r="G280" s="7" t="s">
        <v>249</v>
      </c>
    </row>
    <row r="281" spans="1:7">
      <c r="B281" s="6" t="s">
        <v>241</v>
      </c>
      <c r="C281" s="14">
        <f>0.252*2</f>
        <v>0.504</v>
      </c>
      <c r="D281" s="14">
        <v>0.49199999999999999</v>
      </c>
      <c r="E281" s="6">
        <f>2</f>
        <v>2</v>
      </c>
      <c r="F281" s="9">
        <f t="shared" si="11"/>
        <v>0.5</v>
      </c>
      <c r="G281" s="7" t="s">
        <v>249</v>
      </c>
    </row>
    <row r="282" spans="1:7">
      <c r="B282" s="6" t="s">
        <v>242</v>
      </c>
      <c r="C282" s="14">
        <f>0.26*2</f>
        <v>0.52</v>
      </c>
      <c r="D282" s="14">
        <v>0.33</v>
      </c>
      <c r="E282" s="6">
        <f>4</f>
        <v>4</v>
      </c>
      <c r="F282" s="9">
        <f t="shared" si="11"/>
        <v>0.69</v>
      </c>
      <c r="G282" s="7" t="s">
        <v>249</v>
      </c>
    </row>
    <row r="283" spans="1:7">
      <c r="B283" s="6" t="s">
        <v>243</v>
      </c>
      <c r="C283" s="14">
        <f>0.206*2</f>
        <v>0.41199999999999998</v>
      </c>
      <c r="D283" s="14">
        <v>0.32200000000000001</v>
      </c>
      <c r="E283" s="6">
        <f>4</f>
        <v>4</v>
      </c>
      <c r="F283" s="9">
        <f t="shared" si="11"/>
        <v>0.53</v>
      </c>
      <c r="G283" s="7" t="s">
        <v>249</v>
      </c>
    </row>
    <row r="284" spans="1:7">
      <c r="B284" s="6" t="s">
        <v>180</v>
      </c>
      <c r="C284" s="14">
        <f>0.063*4</f>
        <v>0.252</v>
      </c>
      <c r="D284" s="14">
        <v>0.26800000000000002</v>
      </c>
      <c r="E284" s="6">
        <f>26</f>
        <v>26</v>
      </c>
      <c r="F284" s="9">
        <f t="shared" si="11"/>
        <v>1.76</v>
      </c>
      <c r="G284" s="7" t="s">
        <v>249</v>
      </c>
    </row>
    <row r="285" spans="1:7">
      <c r="A285" s="6" t="s">
        <v>244</v>
      </c>
      <c r="B285" s="6" t="s">
        <v>176</v>
      </c>
      <c r="C285" s="14">
        <f>0.1*4</f>
        <v>0.4</v>
      </c>
      <c r="D285" s="14">
        <v>5.2670000000000003</v>
      </c>
      <c r="E285" s="6">
        <f>2*3</f>
        <v>6</v>
      </c>
      <c r="F285" s="9">
        <f t="shared" si="11"/>
        <v>12.64</v>
      </c>
      <c r="G285" s="7" t="s">
        <v>249</v>
      </c>
    </row>
    <row r="286" spans="1:7">
      <c r="B286" s="6" t="s">
        <v>176</v>
      </c>
      <c r="C286" s="14">
        <f>0.1*4</f>
        <v>0.4</v>
      </c>
      <c r="D286" s="14">
        <v>5.2690000000000001</v>
      </c>
      <c r="E286" s="6">
        <f>2*3</f>
        <v>6</v>
      </c>
      <c r="F286" s="9">
        <f t="shared" si="11"/>
        <v>12.65</v>
      </c>
      <c r="G286" s="7" t="s">
        <v>249</v>
      </c>
    </row>
    <row r="287" spans="1:7">
      <c r="B287" s="6" t="s">
        <v>176</v>
      </c>
      <c r="C287" s="14">
        <f>0.1*4</f>
        <v>0.4</v>
      </c>
      <c r="D287" s="14">
        <v>10.697000000000001</v>
      </c>
      <c r="E287" s="6">
        <f>2*3</f>
        <v>6</v>
      </c>
      <c r="F287" s="9">
        <f t="shared" si="11"/>
        <v>25.67</v>
      </c>
      <c r="G287" s="7" t="s">
        <v>249</v>
      </c>
    </row>
    <row r="288" spans="1:7">
      <c r="B288" s="6" t="s">
        <v>177</v>
      </c>
      <c r="C288" s="14">
        <f>0.27*2</f>
        <v>0.54</v>
      </c>
      <c r="D288" s="14">
        <v>0.52200000000000002</v>
      </c>
      <c r="E288" s="6">
        <f>2*3</f>
        <v>6</v>
      </c>
      <c r="F288" s="9">
        <f t="shared" si="11"/>
        <v>1.69</v>
      </c>
      <c r="G288" s="7" t="s">
        <v>249</v>
      </c>
    </row>
    <row r="289" spans="1:7">
      <c r="B289" s="6" t="s">
        <v>178</v>
      </c>
      <c r="C289" s="14">
        <f>0.287*2</f>
        <v>0.57399999999999995</v>
      </c>
      <c r="D289" s="14">
        <v>0.32700000000000001</v>
      </c>
      <c r="E289" s="6">
        <f>4*3</f>
        <v>12</v>
      </c>
      <c r="F289" s="9">
        <f t="shared" si="11"/>
        <v>2.25</v>
      </c>
      <c r="G289" s="7" t="s">
        <v>249</v>
      </c>
    </row>
    <row r="290" spans="1:7">
      <c r="B290" s="6" t="s">
        <v>179</v>
      </c>
      <c r="C290" s="14">
        <f>0.229*2</f>
        <v>0.45800000000000002</v>
      </c>
      <c r="D290" s="14">
        <v>0.32500000000000001</v>
      </c>
      <c r="E290" s="6">
        <f>4*3</f>
        <v>12</v>
      </c>
      <c r="F290" s="9">
        <f t="shared" si="11"/>
        <v>1.79</v>
      </c>
      <c r="G290" s="7" t="s">
        <v>249</v>
      </c>
    </row>
    <row r="291" spans="1:7">
      <c r="B291" s="6" t="s">
        <v>180</v>
      </c>
      <c r="C291" s="14">
        <f>0.063*4</f>
        <v>0.252</v>
      </c>
      <c r="D291" s="14">
        <v>0.26800000000000002</v>
      </c>
      <c r="E291" s="6">
        <f>26*3</f>
        <v>78</v>
      </c>
      <c r="F291" s="9">
        <f t="shared" si="11"/>
        <v>5.27</v>
      </c>
      <c r="G291" s="7" t="s">
        <v>249</v>
      </c>
    </row>
    <row r="292" spans="1:7">
      <c r="A292" s="6" t="s">
        <v>245</v>
      </c>
      <c r="B292" s="6" t="s">
        <v>176</v>
      </c>
      <c r="C292" s="14">
        <f>0.1*4</f>
        <v>0.4</v>
      </c>
      <c r="D292" s="14">
        <v>5.1139999999999999</v>
      </c>
      <c r="E292" s="6">
        <f>2</f>
        <v>2</v>
      </c>
      <c r="F292" s="9">
        <f t="shared" si="11"/>
        <v>4.09</v>
      </c>
      <c r="G292" s="7" t="s">
        <v>249</v>
      </c>
    </row>
    <row r="293" spans="1:7">
      <c r="B293" s="6" t="s">
        <v>176</v>
      </c>
      <c r="C293" s="14">
        <f>0.1*4</f>
        <v>0.4</v>
      </c>
      <c r="D293" s="14">
        <v>5.1150000000000002</v>
      </c>
      <c r="E293" s="6">
        <f>2</f>
        <v>2</v>
      </c>
      <c r="F293" s="9">
        <f t="shared" si="11"/>
        <v>4.09</v>
      </c>
      <c r="G293" s="7" t="s">
        <v>249</v>
      </c>
    </row>
    <row r="294" spans="1:7">
      <c r="B294" s="6" t="s">
        <v>176</v>
      </c>
      <c r="C294" s="14">
        <f>0.1*4</f>
        <v>0.4</v>
      </c>
      <c r="D294" s="14">
        <v>10.383000000000001</v>
      </c>
      <c r="E294" s="6">
        <f>2</f>
        <v>2</v>
      </c>
      <c r="F294" s="9">
        <f t="shared" si="11"/>
        <v>8.31</v>
      </c>
      <c r="G294" s="7" t="s">
        <v>249</v>
      </c>
    </row>
    <row r="295" spans="1:7">
      <c r="B295" s="6" t="s">
        <v>182</v>
      </c>
      <c r="C295" s="14">
        <f>0.268*2</f>
        <v>0.53600000000000003</v>
      </c>
      <c r="D295" s="14">
        <v>0.51600000000000001</v>
      </c>
      <c r="E295" s="6">
        <f>2</f>
        <v>2</v>
      </c>
      <c r="F295" s="9">
        <f t="shared" si="11"/>
        <v>0.55000000000000004</v>
      </c>
      <c r="G295" s="7" t="s">
        <v>249</v>
      </c>
    </row>
    <row r="296" spans="1:7">
      <c r="B296" s="6" t="s">
        <v>183</v>
      </c>
      <c r="C296" s="14">
        <f>0.29*2</f>
        <v>0.57999999999999996</v>
      </c>
      <c r="D296" s="14">
        <v>0.31900000000000001</v>
      </c>
      <c r="E296" s="6">
        <f>4</f>
        <v>4</v>
      </c>
      <c r="F296" s="9">
        <f t="shared" ref="F296:F312" si="12">ROUND(PRODUCT(C296:E296),2)</f>
        <v>0.74</v>
      </c>
      <c r="G296" s="7" t="s">
        <v>249</v>
      </c>
    </row>
    <row r="297" spans="1:7">
      <c r="B297" s="6" t="s">
        <v>184</v>
      </c>
      <c r="C297" s="14">
        <f>0.231*2</f>
        <v>0.46200000000000002</v>
      </c>
      <c r="D297" s="14">
        <v>0.31900000000000001</v>
      </c>
      <c r="E297" s="6">
        <f>4</f>
        <v>4</v>
      </c>
      <c r="F297" s="9">
        <f t="shared" si="12"/>
        <v>0.59</v>
      </c>
      <c r="G297" s="7" t="s">
        <v>249</v>
      </c>
    </row>
    <row r="298" spans="1:7">
      <c r="B298" s="6" t="s">
        <v>180</v>
      </c>
      <c r="C298" s="14">
        <f>0.063*4</f>
        <v>0.252</v>
      </c>
      <c r="D298" s="14">
        <v>0.26800000000000002</v>
      </c>
      <c r="E298" s="6">
        <f>24</f>
        <v>24</v>
      </c>
      <c r="F298" s="9">
        <f t="shared" si="12"/>
        <v>1.62</v>
      </c>
      <c r="G298" s="7" t="s">
        <v>249</v>
      </c>
    </row>
    <row r="299" spans="1:7">
      <c r="A299" s="6" t="s">
        <v>250</v>
      </c>
      <c r="B299" s="6" t="s">
        <v>176</v>
      </c>
      <c r="C299" s="14">
        <f>0.1*4</f>
        <v>0.4</v>
      </c>
      <c r="D299" s="14">
        <v>5.133</v>
      </c>
      <c r="E299" s="6">
        <f>2*3</f>
        <v>6</v>
      </c>
      <c r="F299" s="9">
        <f t="shared" si="12"/>
        <v>12.32</v>
      </c>
      <c r="G299" s="7" t="s">
        <v>249</v>
      </c>
    </row>
    <row r="300" spans="1:7">
      <c r="B300" s="6" t="s">
        <v>176</v>
      </c>
      <c r="C300" s="14">
        <f>0.1*4</f>
        <v>0.4</v>
      </c>
      <c r="D300" s="14">
        <v>5.1420000000000003</v>
      </c>
      <c r="E300" s="6">
        <f>2*3</f>
        <v>6</v>
      </c>
      <c r="F300" s="9">
        <f t="shared" si="12"/>
        <v>12.34</v>
      </c>
      <c r="G300" s="7" t="s">
        <v>249</v>
      </c>
    </row>
    <row r="301" spans="1:7">
      <c r="B301" s="6" t="s">
        <v>176</v>
      </c>
      <c r="C301" s="14">
        <f>0.1*4</f>
        <v>0.4</v>
      </c>
      <c r="D301" s="14">
        <v>10.445</v>
      </c>
      <c r="E301" s="6">
        <f>2*3</f>
        <v>6</v>
      </c>
      <c r="F301" s="9">
        <f t="shared" si="12"/>
        <v>25.07</v>
      </c>
      <c r="G301" s="7" t="s">
        <v>249</v>
      </c>
    </row>
    <row r="302" spans="1:7">
      <c r="B302" s="6" t="s">
        <v>246</v>
      </c>
      <c r="C302" s="14">
        <f>0.272*2</f>
        <v>0.54400000000000004</v>
      </c>
      <c r="D302" s="14">
        <v>0.53</v>
      </c>
      <c r="E302" s="6">
        <f>2*3</f>
        <v>6</v>
      </c>
      <c r="F302" s="9">
        <f t="shared" si="12"/>
        <v>1.73</v>
      </c>
      <c r="G302" s="7" t="s">
        <v>249</v>
      </c>
    </row>
    <row r="303" spans="1:7">
      <c r="B303" s="6" t="s">
        <v>247</v>
      </c>
      <c r="C303" s="14">
        <f>0.288*2</f>
        <v>0.57599999999999996</v>
      </c>
      <c r="D303" s="14">
        <v>0.34500000000000003</v>
      </c>
      <c r="E303" s="6">
        <f>4*3</f>
        <v>12</v>
      </c>
      <c r="F303" s="9">
        <f t="shared" si="12"/>
        <v>2.38</v>
      </c>
      <c r="G303" s="7" t="s">
        <v>249</v>
      </c>
    </row>
    <row r="304" spans="1:7">
      <c r="B304" s="6" t="s">
        <v>206</v>
      </c>
      <c r="C304" s="14">
        <f>0.227*2</f>
        <v>0.45400000000000001</v>
      </c>
      <c r="D304" s="14">
        <v>0.33700000000000002</v>
      </c>
      <c r="E304" s="6">
        <f>4*3</f>
        <v>12</v>
      </c>
      <c r="F304" s="9">
        <f t="shared" si="12"/>
        <v>1.84</v>
      </c>
      <c r="G304" s="7" t="s">
        <v>249</v>
      </c>
    </row>
    <row r="305" spans="1:7">
      <c r="B305" s="6" t="s">
        <v>180</v>
      </c>
      <c r="C305" s="14">
        <f>0.063*4</f>
        <v>0.252</v>
      </c>
      <c r="D305" s="14">
        <v>0.26800000000000002</v>
      </c>
      <c r="E305" s="6">
        <f>26*3</f>
        <v>78</v>
      </c>
      <c r="F305" s="9">
        <f t="shared" si="12"/>
        <v>5.27</v>
      </c>
      <c r="G305" s="7" t="s">
        <v>249</v>
      </c>
    </row>
    <row r="306" spans="1:7">
      <c r="A306" s="6" t="s">
        <v>251</v>
      </c>
      <c r="B306" s="6" t="s">
        <v>176</v>
      </c>
      <c r="C306" s="14">
        <f>0.1*4</f>
        <v>0.4</v>
      </c>
      <c r="D306" s="14">
        <v>4.9820000000000002</v>
      </c>
      <c r="E306" s="6">
        <f>2</f>
        <v>2</v>
      </c>
      <c r="F306" s="9">
        <f t="shared" si="12"/>
        <v>3.99</v>
      </c>
      <c r="G306" s="7" t="s">
        <v>249</v>
      </c>
    </row>
    <row r="307" spans="1:7">
      <c r="B307" s="6" t="s">
        <v>176</v>
      </c>
      <c r="C307" s="14">
        <f>0.1*4</f>
        <v>0.4</v>
      </c>
      <c r="D307" s="14">
        <v>4.9889999999999999</v>
      </c>
      <c r="E307" s="6">
        <f>2</f>
        <v>2</v>
      </c>
      <c r="F307" s="9">
        <f t="shared" si="12"/>
        <v>3.99</v>
      </c>
      <c r="G307" s="7" t="s">
        <v>249</v>
      </c>
    </row>
    <row r="308" spans="1:7">
      <c r="B308" s="6" t="s">
        <v>176</v>
      </c>
      <c r="C308" s="14">
        <f>0.1*4</f>
        <v>0.4</v>
      </c>
      <c r="D308" s="14">
        <v>10.134</v>
      </c>
      <c r="E308" s="6">
        <f>2</f>
        <v>2</v>
      </c>
      <c r="F308" s="9">
        <f t="shared" si="12"/>
        <v>8.11</v>
      </c>
      <c r="G308" s="7" t="s">
        <v>249</v>
      </c>
    </row>
    <row r="309" spans="1:7">
      <c r="B309" s="6" t="s">
        <v>177</v>
      </c>
      <c r="C309" s="14">
        <f>0.27*2</f>
        <v>0.54</v>
      </c>
      <c r="D309" s="14">
        <v>0.52400000000000002</v>
      </c>
      <c r="E309" s="6">
        <f>2</f>
        <v>2</v>
      </c>
      <c r="F309" s="9">
        <f t="shared" si="12"/>
        <v>0.56999999999999995</v>
      </c>
      <c r="G309" s="7" t="s">
        <v>249</v>
      </c>
    </row>
    <row r="310" spans="1:7">
      <c r="B310" s="6" t="s">
        <v>247</v>
      </c>
      <c r="C310" s="14">
        <f>0.288*2</f>
        <v>0.57599999999999996</v>
      </c>
      <c r="D310" s="14">
        <v>0.33300000000000002</v>
      </c>
      <c r="E310" s="6">
        <f>4</f>
        <v>4</v>
      </c>
      <c r="F310" s="9">
        <f t="shared" si="12"/>
        <v>0.77</v>
      </c>
      <c r="G310" s="7" t="s">
        <v>249</v>
      </c>
    </row>
    <row r="311" spans="1:7">
      <c r="B311" s="6" t="s">
        <v>206</v>
      </c>
      <c r="C311" s="14">
        <f>0.227*2</f>
        <v>0.45400000000000001</v>
      </c>
      <c r="D311" s="14">
        <v>0.32600000000000001</v>
      </c>
      <c r="E311" s="6">
        <f>4</f>
        <v>4</v>
      </c>
      <c r="F311" s="9">
        <f t="shared" si="12"/>
        <v>0.59</v>
      </c>
      <c r="G311" s="7" t="s">
        <v>249</v>
      </c>
    </row>
    <row r="312" spans="1:7">
      <c r="B312" s="6" t="s">
        <v>180</v>
      </c>
      <c r="C312" s="14">
        <f>0.063*4</f>
        <v>0.252</v>
      </c>
      <c r="D312" s="14">
        <v>0.26800000000000002</v>
      </c>
      <c r="E312" s="6">
        <f>24</f>
        <v>24</v>
      </c>
      <c r="F312" s="9">
        <f t="shared" si="12"/>
        <v>1.62</v>
      </c>
      <c r="G312" s="7" t="s">
        <v>249</v>
      </c>
    </row>
    <row r="313" spans="1:7">
      <c r="A313" s="6" t="s">
        <v>252</v>
      </c>
      <c r="B313" s="6" t="s">
        <v>176</v>
      </c>
      <c r="C313" s="14">
        <f>0.1*4</f>
        <v>0.4</v>
      </c>
      <c r="D313" s="14">
        <v>5.133</v>
      </c>
      <c r="E313" s="6">
        <f>2*3</f>
        <v>6</v>
      </c>
      <c r="F313" s="9">
        <f t="shared" ref="F313:F326" si="13">ROUND(PRODUCT(C313:E313),2)</f>
        <v>12.32</v>
      </c>
      <c r="G313" s="7" t="s">
        <v>248</v>
      </c>
    </row>
    <row r="314" spans="1:7">
      <c r="B314" s="6" t="s">
        <v>176</v>
      </c>
      <c r="C314" s="14">
        <f>0.1*4</f>
        <v>0.4</v>
      </c>
      <c r="D314" s="14">
        <v>5.1420000000000003</v>
      </c>
      <c r="E314" s="6">
        <f>2*3</f>
        <v>6</v>
      </c>
      <c r="F314" s="9">
        <f t="shared" si="13"/>
        <v>12.34</v>
      </c>
      <c r="G314" s="7" t="s">
        <v>248</v>
      </c>
    </row>
    <row r="315" spans="1:7">
      <c r="B315" s="6" t="s">
        <v>176</v>
      </c>
      <c r="C315" s="14">
        <f>0.1*4</f>
        <v>0.4</v>
      </c>
      <c r="D315" s="14">
        <v>10.445</v>
      </c>
      <c r="E315" s="6">
        <f>2*3</f>
        <v>6</v>
      </c>
      <c r="F315" s="9">
        <f t="shared" si="13"/>
        <v>25.07</v>
      </c>
      <c r="G315" s="7" t="s">
        <v>248</v>
      </c>
    </row>
    <row r="316" spans="1:7">
      <c r="B316" s="6" t="s">
        <v>246</v>
      </c>
      <c r="C316" s="14">
        <f>0.272*2</f>
        <v>0.54400000000000004</v>
      </c>
      <c r="D316" s="14">
        <v>0.53</v>
      </c>
      <c r="E316" s="6">
        <f>2*3</f>
        <v>6</v>
      </c>
      <c r="F316" s="9">
        <f t="shared" si="13"/>
        <v>1.73</v>
      </c>
      <c r="G316" s="7" t="s">
        <v>248</v>
      </c>
    </row>
    <row r="317" spans="1:7">
      <c r="B317" s="6" t="s">
        <v>247</v>
      </c>
      <c r="C317" s="14">
        <f>0.288*2</f>
        <v>0.57599999999999996</v>
      </c>
      <c r="D317" s="14">
        <v>0.34500000000000003</v>
      </c>
      <c r="E317" s="6">
        <f>4*3</f>
        <v>12</v>
      </c>
      <c r="F317" s="9">
        <f t="shared" si="13"/>
        <v>2.38</v>
      </c>
      <c r="G317" s="7" t="s">
        <v>248</v>
      </c>
    </row>
    <row r="318" spans="1:7">
      <c r="B318" s="6" t="s">
        <v>206</v>
      </c>
      <c r="C318" s="14">
        <f>0.227*2</f>
        <v>0.45400000000000001</v>
      </c>
      <c r="D318" s="14">
        <v>0.33700000000000002</v>
      </c>
      <c r="E318" s="6">
        <f>4*3</f>
        <v>12</v>
      </c>
      <c r="F318" s="9">
        <f t="shared" si="13"/>
        <v>1.84</v>
      </c>
      <c r="G318" s="7" t="s">
        <v>248</v>
      </c>
    </row>
    <row r="319" spans="1:7">
      <c r="B319" s="6" t="s">
        <v>180</v>
      </c>
      <c r="C319" s="14">
        <f>0.063*4</f>
        <v>0.252</v>
      </c>
      <c r="D319" s="14">
        <v>0.26800000000000002</v>
      </c>
      <c r="E319" s="6">
        <f>26*3</f>
        <v>78</v>
      </c>
      <c r="F319" s="9">
        <f t="shared" si="13"/>
        <v>5.27</v>
      </c>
      <c r="G319" s="7" t="s">
        <v>248</v>
      </c>
    </row>
    <row r="320" spans="1:7">
      <c r="A320" s="6" t="s">
        <v>253</v>
      </c>
      <c r="B320" s="6" t="s">
        <v>176</v>
      </c>
      <c r="C320" s="14">
        <f>0.1*4</f>
        <v>0.4</v>
      </c>
      <c r="D320" s="14">
        <v>4.9820000000000002</v>
      </c>
      <c r="E320" s="6">
        <f>2</f>
        <v>2</v>
      </c>
      <c r="F320" s="9">
        <f t="shared" si="13"/>
        <v>3.99</v>
      </c>
      <c r="G320" s="7" t="s">
        <v>248</v>
      </c>
    </row>
    <row r="321" spans="1:7">
      <c r="B321" s="6" t="s">
        <v>176</v>
      </c>
      <c r="C321" s="14">
        <f>0.1*4</f>
        <v>0.4</v>
      </c>
      <c r="D321" s="14">
        <v>4.9889999999999999</v>
      </c>
      <c r="E321" s="6">
        <f>2</f>
        <v>2</v>
      </c>
      <c r="F321" s="9">
        <f t="shared" si="13"/>
        <v>3.99</v>
      </c>
      <c r="G321" s="7" t="s">
        <v>248</v>
      </c>
    </row>
    <row r="322" spans="1:7">
      <c r="B322" s="6" t="s">
        <v>176</v>
      </c>
      <c r="C322" s="14">
        <f>0.1*4</f>
        <v>0.4</v>
      </c>
      <c r="D322" s="14">
        <v>10.134</v>
      </c>
      <c r="E322" s="6">
        <f>2</f>
        <v>2</v>
      </c>
      <c r="F322" s="9">
        <f t="shared" si="13"/>
        <v>8.11</v>
      </c>
      <c r="G322" s="7" t="s">
        <v>248</v>
      </c>
    </row>
    <row r="323" spans="1:7">
      <c r="B323" s="6" t="s">
        <v>177</v>
      </c>
      <c r="C323" s="14">
        <f>0.27*2</f>
        <v>0.54</v>
      </c>
      <c r="D323" s="14">
        <v>0.52400000000000002</v>
      </c>
      <c r="E323" s="6">
        <f>2</f>
        <v>2</v>
      </c>
      <c r="F323" s="9">
        <f t="shared" si="13"/>
        <v>0.56999999999999995</v>
      </c>
      <c r="G323" s="7" t="s">
        <v>248</v>
      </c>
    </row>
    <row r="324" spans="1:7">
      <c r="B324" s="6" t="s">
        <v>247</v>
      </c>
      <c r="C324" s="14">
        <f>0.288*2</f>
        <v>0.57599999999999996</v>
      </c>
      <c r="D324" s="14">
        <v>0.33300000000000002</v>
      </c>
      <c r="E324" s="6">
        <f>4</f>
        <v>4</v>
      </c>
      <c r="F324" s="9">
        <f t="shared" si="13"/>
        <v>0.77</v>
      </c>
      <c r="G324" s="7" t="s">
        <v>248</v>
      </c>
    </row>
    <row r="325" spans="1:7">
      <c r="B325" s="6" t="s">
        <v>206</v>
      </c>
      <c r="C325" s="14">
        <f>0.227*2</f>
        <v>0.45400000000000001</v>
      </c>
      <c r="D325" s="14">
        <v>0.32600000000000001</v>
      </c>
      <c r="E325" s="6">
        <f>4</f>
        <v>4</v>
      </c>
      <c r="F325" s="9">
        <f t="shared" si="13"/>
        <v>0.59</v>
      </c>
      <c r="G325" s="7" t="s">
        <v>248</v>
      </c>
    </row>
    <row r="326" spans="1:7">
      <c r="B326" s="6" t="s">
        <v>180</v>
      </c>
      <c r="C326" s="14">
        <f>0.063*4</f>
        <v>0.252</v>
      </c>
      <c r="D326" s="14">
        <v>0.26800000000000002</v>
      </c>
      <c r="E326" s="6">
        <f>24</f>
        <v>24</v>
      </c>
      <c r="F326" s="9">
        <f t="shared" si="13"/>
        <v>1.62</v>
      </c>
      <c r="G326" s="7" t="s">
        <v>248</v>
      </c>
    </row>
    <row r="327" spans="1:7">
      <c r="A327" s="6" t="s">
        <v>169</v>
      </c>
      <c r="F327" s="9">
        <f t="shared" ref="F327:F334" si="14">ROUND(PRODUCT(C327:E327),2)</f>
        <v>0</v>
      </c>
    </row>
    <row r="328" spans="1:7">
      <c r="A328" s="6" t="s">
        <v>166</v>
      </c>
      <c r="B328" s="6" t="s">
        <v>167</v>
      </c>
      <c r="C328" s="14">
        <f>PI()*0.168</f>
        <v>0.52778756580308528</v>
      </c>
      <c r="D328" s="14">
        <v>9</v>
      </c>
      <c r="E328" s="6">
        <v>3</v>
      </c>
      <c r="F328" s="9">
        <f t="shared" si="14"/>
        <v>14.25</v>
      </c>
      <c r="G328" s="7" t="s">
        <v>168</v>
      </c>
    </row>
    <row r="329" spans="1:7">
      <c r="C329" s="14">
        <f>PI()*0.168</f>
        <v>0.52778756580308528</v>
      </c>
      <c r="D329" s="14">
        <v>8.25</v>
      </c>
      <c r="E329" s="6">
        <v>8</v>
      </c>
      <c r="F329" s="9">
        <f t="shared" si="14"/>
        <v>34.83</v>
      </c>
      <c r="G329" s="7" t="s">
        <v>168</v>
      </c>
    </row>
    <row r="330" spans="1:7">
      <c r="C330" s="14">
        <f>PI()*0.168</f>
        <v>0.52778756580308528</v>
      </c>
      <c r="D330" s="14">
        <v>7.5</v>
      </c>
      <c r="E330" s="6">
        <v>16</v>
      </c>
      <c r="F330" s="9">
        <f t="shared" si="14"/>
        <v>63.33</v>
      </c>
      <c r="G330" s="7" t="s">
        <v>168</v>
      </c>
    </row>
    <row r="331" spans="1:7">
      <c r="A331" s="6" t="s">
        <v>170</v>
      </c>
      <c r="F331" s="9">
        <f t="shared" si="14"/>
        <v>0</v>
      </c>
    </row>
    <row r="332" spans="1:7">
      <c r="A332" s="6" t="s">
        <v>166</v>
      </c>
      <c r="B332" s="6" t="s">
        <v>167</v>
      </c>
      <c r="C332" s="14">
        <f>PI()*0.168</f>
        <v>0.52778756580308528</v>
      </c>
      <c r="D332" s="14">
        <v>7.5</v>
      </c>
      <c r="E332" s="6">
        <v>8</v>
      </c>
      <c r="F332" s="9">
        <f t="shared" si="14"/>
        <v>31.67</v>
      </c>
      <c r="G332" s="7" t="s">
        <v>168</v>
      </c>
    </row>
    <row r="333" spans="1:7">
      <c r="C333" s="14">
        <f>PI()*0.168</f>
        <v>0.52778756580308528</v>
      </c>
      <c r="D333" s="14">
        <v>8.25</v>
      </c>
      <c r="E333" s="6">
        <v>4</v>
      </c>
      <c r="F333" s="9">
        <f t="shared" si="14"/>
        <v>17.420000000000002</v>
      </c>
      <c r="G333" s="7" t="s">
        <v>168</v>
      </c>
    </row>
    <row r="334" spans="1:7">
      <c r="C334" s="14">
        <f>PI()*0.168</f>
        <v>0.52778756580308528</v>
      </c>
      <c r="D334" s="14">
        <v>9</v>
      </c>
      <c r="E334" s="6">
        <v>3</v>
      </c>
      <c r="F334" s="9">
        <f t="shared" si="14"/>
        <v>14.25</v>
      </c>
      <c r="G334" s="7" t="s">
        <v>168</v>
      </c>
    </row>
    <row r="335" spans="1:7">
      <c r="A335" s="6" t="s">
        <v>75</v>
      </c>
      <c r="F335" s="9">
        <f t="shared" si="8"/>
        <v>0</v>
      </c>
    </row>
    <row r="336" spans="1:7" ht="28.5">
      <c r="A336" s="6" t="s">
        <v>76</v>
      </c>
      <c r="B336" s="6" t="s">
        <v>77</v>
      </c>
      <c r="C336" s="14">
        <f t="shared" ref="C336:C342" si="15">1.1+0.6+0.27*4</f>
        <v>2.7800000000000002</v>
      </c>
      <c r="D336" s="14">
        <f>14.6-0.4-7.5</f>
        <v>6.6999999999999993</v>
      </c>
      <c r="E336" s="6">
        <f>1*14</f>
        <v>14</v>
      </c>
      <c r="F336" s="9">
        <f t="shared" si="8"/>
        <v>260.76</v>
      </c>
      <c r="G336" s="7" t="s">
        <v>75</v>
      </c>
    </row>
    <row r="337" spans="1:7">
      <c r="C337" s="14">
        <f t="shared" si="15"/>
        <v>2.7800000000000002</v>
      </c>
      <c r="D337" s="14">
        <v>7.5</v>
      </c>
      <c r="E337" s="6">
        <f>4*14</f>
        <v>56</v>
      </c>
      <c r="F337" s="9">
        <f t="shared" si="8"/>
        <v>1167.5999999999999</v>
      </c>
      <c r="G337" s="7" t="s">
        <v>75</v>
      </c>
    </row>
    <row r="338" spans="1:7">
      <c r="C338" s="14">
        <f t="shared" si="15"/>
        <v>2.7800000000000002</v>
      </c>
      <c r="D338" s="14">
        <f>15-0.4-7.5</f>
        <v>7.1</v>
      </c>
      <c r="E338" s="6">
        <f>1*14</f>
        <v>14</v>
      </c>
      <c r="F338" s="9">
        <f t="shared" si="8"/>
        <v>276.33</v>
      </c>
      <c r="G338" s="7" t="s">
        <v>75</v>
      </c>
    </row>
    <row r="339" spans="1:7">
      <c r="C339" s="14">
        <f t="shared" si="15"/>
        <v>2.7800000000000002</v>
      </c>
      <c r="D339" s="14">
        <f>6.75+1.5</f>
        <v>8.25</v>
      </c>
      <c r="E339" s="6">
        <f>2*14</f>
        <v>28</v>
      </c>
      <c r="F339" s="9">
        <f t="shared" si="8"/>
        <v>642.17999999999995</v>
      </c>
      <c r="G339" s="7" t="s">
        <v>75</v>
      </c>
    </row>
    <row r="340" spans="1:7">
      <c r="C340" s="14">
        <f t="shared" si="15"/>
        <v>2.7800000000000002</v>
      </c>
      <c r="D340" s="14">
        <f>13.5-0.45-5.25-1.5</f>
        <v>6.3000000000000007</v>
      </c>
      <c r="E340" s="6">
        <f>1*14</f>
        <v>14</v>
      </c>
      <c r="F340" s="9">
        <f t="shared" si="8"/>
        <v>245.2</v>
      </c>
      <c r="G340" s="7" t="s">
        <v>75</v>
      </c>
    </row>
    <row r="341" spans="1:7">
      <c r="C341" s="14">
        <f t="shared" si="15"/>
        <v>2.7800000000000002</v>
      </c>
      <c r="D341" s="14">
        <f>5.25+1.5</f>
        <v>6.75</v>
      </c>
      <c r="E341" s="6">
        <f>2*14</f>
        <v>28</v>
      </c>
      <c r="F341" s="9">
        <f t="shared" si="8"/>
        <v>525.41999999999996</v>
      </c>
      <c r="G341" s="7" t="s">
        <v>75</v>
      </c>
    </row>
    <row r="342" spans="1:7">
      <c r="C342" s="14">
        <f t="shared" si="15"/>
        <v>2.7800000000000002</v>
      </c>
      <c r="D342" s="14">
        <f>13.1-0.4-5.25-1.5</f>
        <v>5.9499999999999993</v>
      </c>
      <c r="E342" s="6">
        <f>1*14</f>
        <v>14</v>
      </c>
      <c r="F342" s="9">
        <f t="shared" si="8"/>
        <v>231.57</v>
      </c>
      <c r="G342" s="7" t="s">
        <v>75</v>
      </c>
    </row>
    <row r="343" spans="1:7" ht="28.5">
      <c r="B343" s="6" t="s">
        <v>80</v>
      </c>
      <c r="C343" s="14">
        <f>1.2+0.6+0.27*4</f>
        <v>2.88</v>
      </c>
      <c r="D343" s="14">
        <f>15-0.4-7.5</f>
        <v>7.1</v>
      </c>
      <c r="E343" s="6">
        <f>1*14</f>
        <v>14</v>
      </c>
      <c r="F343" s="9">
        <f t="shared" si="8"/>
        <v>286.27</v>
      </c>
      <c r="G343" s="7" t="s">
        <v>75</v>
      </c>
    </row>
    <row r="344" spans="1:7">
      <c r="C344" s="14">
        <f>1.2+0.6+0.27*4</f>
        <v>2.88</v>
      </c>
      <c r="D344" s="14">
        <f>15-0.45-7.5</f>
        <v>7.0500000000000007</v>
      </c>
      <c r="E344" s="6">
        <f>1*14</f>
        <v>14</v>
      </c>
      <c r="F344" s="9">
        <f t="shared" si="8"/>
        <v>284.26</v>
      </c>
      <c r="G344" s="7" t="s">
        <v>75</v>
      </c>
    </row>
    <row r="345" spans="1:7">
      <c r="C345" s="14">
        <f>1.2+0.6+0.27*4</f>
        <v>2.88</v>
      </c>
      <c r="D345" s="14">
        <f>16.5-0.45-6.75-1.5</f>
        <v>7.8000000000000007</v>
      </c>
      <c r="E345" s="6">
        <f>2*14</f>
        <v>28</v>
      </c>
      <c r="F345" s="9">
        <f t="shared" si="8"/>
        <v>628.99</v>
      </c>
      <c r="G345" s="7" t="s">
        <v>75</v>
      </c>
    </row>
    <row r="346" spans="1:7">
      <c r="A346" s="6" t="s">
        <v>279</v>
      </c>
      <c r="B346" s="6" t="s">
        <v>280</v>
      </c>
      <c r="C346" s="14">
        <f>0.27*2</f>
        <v>0.54</v>
      </c>
      <c r="D346" s="14">
        <v>0.80500000000000005</v>
      </c>
      <c r="E346" s="6">
        <f>8*14</f>
        <v>112</v>
      </c>
      <c r="F346" s="9">
        <f t="shared" si="8"/>
        <v>48.69</v>
      </c>
      <c r="G346" s="7" t="s">
        <v>75</v>
      </c>
    </row>
    <row r="347" spans="1:7">
      <c r="B347" s="6" t="s">
        <v>281</v>
      </c>
      <c r="C347" s="14">
        <f>0.27*2</f>
        <v>0.54</v>
      </c>
      <c r="D347" s="14">
        <v>1.28</v>
      </c>
      <c r="E347" s="6">
        <f>4*14</f>
        <v>56</v>
      </c>
      <c r="F347" s="9">
        <f t="shared" si="8"/>
        <v>38.71</v>
      </c>
      <c r="G347" s="7" t="s">
        <v>75</v>
      </c>
    </row>
    <row r="348" spans="1:7">
      <c r="A348" s="6" t="s">
        <v>282</v>
      </c>
      <c r="B348" s="6" t="s">
        <v>283</v>
      </c>
      <c r="C348" s="14">
        <f>0.128*2</f>
        <v>0.25600000000000001</v>
      </c>
      <c r="D348" s="14">
        <v>1.0680000000000001</v>
      </c>
      <c r="E348" s="6">
        <f>32*14</f>
        <v>448</v>
      </c>
      <c r="F348" s="9">
        <f t="shared" si="8"/>
        <v>122.49</v>
      </c>
      <c r="G348" s="7" t="s">
        <v>75</v>
      </c>
    </row>
    <row r="349" spans="1:7">
      <c r="A349" s="6" t="s">
        <v>108</v>
      </c>
      <c r="F349" s="9">
        <f t="shared" si="8"/>
        <v>0</v>
      </c>
    </row>
    <row r="350" spans="1:7" ht="28.5">
      <c r="A350" s="6" t="s">
        <v>109</v>
      </c>
      <c r="B350" s="6" t="s">
        <v>110</v>
      </c>
      <c r="C350" s="14">
        <f>0.6+0.3+0.2*4</f>
        <v>1.7</v>
      </c>
      <c r="D350" s="14">
        <v>8.3000000000000007</v>
      </c>
      <c r="E350" s="6">
        <f>2*14</f>
        <v>28</v>
      </c>
      <c r="F350" s="9">
        <f t="shared" si="8"/>
        <v>395.08</v>
      </c>
      <c r="G350" s="7" t="s">
        <v>75</v>
      </c>
    </row>
    <row r="351" spans="1:7">
      <c r="C351" s="14">
        <f>0.6+0.3+0.2*4</f>
        <v>1.7</v>
      </c>
      <c r="D351" s="14">
        <v>8.3000000000000007</v>
      </c>
      <c r="E351" s="6">
        <f>1*13</f>
        <v>13</v>
      </c>
      <c r="F351" s="9">
        <f t="shared" si="8"/>
        <v>183.43</v>
      </c>
      <c r="G351" s="7" t="s">
        <v>75</v>
      </c>
    </row>
    <row r="352" spans="1:7">
      <c r="A352" s="6" t="s">
        <v>112</v>
      </c>
      <c r="B352" s="6" t="s">
        <v>111</v>
      </c>
      <c r="C352" s="14">
        <f>PI()*0.165</f>
        <v>0.51836278784231593</v>
      </c>
      <c r="D352" s="14">
        <f>(5.3^2+3.55^2)^0.5</f>
        <v>6.3790673299472234</v>
      </c>
      <c r="E352" s="6">
        <f>2*14</f>
        <v>28</v>
      </c>
      <c r="F352" s="9">
        <f t="shared" si="8"/>
        <v>92.59</v>
      </c>
      <c r="G352" s="7" t="s">
        <v>75</v>
      </c>
    </row>
    <row r="353" spans="1:7">
      <c r="C353" s="14">
        <f>PI()*0.165</f>
        <v>0.51836278784231593</v>
      </c>
      <c r="D353" s="14">
        <f>(5.3^2+3.55^2)^0.5</f>
        <v>6.3790673299472234</v>
      </c>
      <c r="E353" s="6">
        <f>1*13</f>
        <v>13</v>
      </c>
      <c r="F353" s="9">
        <f t="shared" si="8"/>
        <v>42.99</v>
      </c>
      <c r="G353" s="7" t="s">
        <v>75</v>
      </c>
    </row>
    <row r="354" spans="1:7">
      <c r="A354" s="6" t="s">
        <v>101</v>
      </c>
      <c r="F354" s="9">
        <f t="shared" si="8"/>
        <v>0</v>
      </c>
    </row>
    <row r="355" spans="1:7" ht="28.5">
      <c r="A355" s="6" t="s">
        <v>109</v>
      </c>
      <c r="B355" s="6" t="s">
        <v>114</v>
      </c>
      <c r="C355" s="14">
        <f>0.35+0.28+0.2*4</f>
        <v>1.4300000000000002</v>
      </c>
      <c r="D355" s="14">
        <v>1.8</v>
      </c>
      <c r="E355" s="6">
        <v>10</v>
      </c>
      <c r="F355" s="9">
        <f t="shared" si="8"/>
        <v>25.74</v>
      </c>
      <c r="G355" s="7" t="s">
        <v>75</v>
      </c>
    </row>
    <row r="356" spans="1:7">
      <c r="A356" s="6" t="s">
        <v>113</v>
      </c>
      <c r="B356" s="6" t="s">
        <v>115</v>
      </c>
      <c r="C356" s="14">
        <f>0.5*2+0.3*4</f>
        <v>2.2000000000000002</v>
      </c>
      <c r="D356" s="14">
        <v>9</v>
      </c>
      <c r="E356" s="6">
        <v>13</v>
      </c>
      <c r="F356" s="9">
        <f t="shared" si="8"/>
        <v>257.39999999999998</v>
      </c>
      <c r="G356" s="7" t="s">
        <v>75</v>
      </c>
    </row>
    <row r="357" spans="1:7">
      <c r="A357" s="6" t="s">
        <v>102</v>
      </c>
      <c r="B357" s="6" t="s">
        <v>105</v>
      </c>
      <c r="C357" s="14">
        <f>PI()*0.168</f>
        <v>0.52778756580308528</v>
      </c>
      <c r="D357" s="14">
        <v>9</v>
      </c>
      <c r="E357" s="6">
        <v>234</v>
      </c>
      <c r="F357" s="9">
        <f t="shared" si="8"/>
        <v>1111.52</v>
      </c>
      <c r="G357" s="7" t="s">
        <v>88</v>
      </c>
    </row>
    <row r="358" spans="1:7">
      <c r="C358" s="14">
        <f>PI()*0.168</f>
        <v>0.52778756580308528</v>
      </c>
      <c r="D358" s="14">
        <v>7.5</v>
      </c>
      <c r="E358" s="6">
        <v>8</v>
      </c>
      <c r="F358" s="9">
        <f t="shared" si="8"/>
        <v>31.67</v>
      </c>
      <c r="G358" s="7" t="s">
        <v>88</v>
      </c>
    </row>
    <row r="359" spans="1:7">
      <c r="C359" s="14">
        <f>PI()*0.168</f>
        <v>0.52778756580308528</v>
      </c>
      <c r="D359" s="14">
        <v>8.25</v>
      </c>
      <c r="E359" s="6">
        <v>4</v>
      </c>
      <c r="F359" s="9">
        <f t="shared" ref="F359:F374" si="16">ROUND(PRODUCT(C359:E359),2)</f>
        <v>17.420000000000002</v>
      </c>
      <c r="G359" s="7" t="s">
        <v>88</v>
      </c>
    </row>
    <row r="360" spans="1:7">
      <c r="A360" s="6" t="s">
        <v>103</v>
      </c>
      <c r="B360" s="6" t="s">
        <v>106</v>
      </c>
      <c r="C360" s="14">
        <f>0.125*4</f>
        <v>0.5</v>
      </c>
      <c r="D360" s="14">
        <f>(9^2+7.5^2)^0.5</f>
        <v>11.715374513859981</v>
      </c>
      <c r="E360" s="6">
        <f>2*59</f>
        <v>118</v>
      </c>
      <c r="F360" s="9">
        <f t="shared" si="16"/>
        <v>691.21</v>
      </c>
      <c r="G360" s="7" t="s">
        <v>89</v>
      </c>
    </row>
    <row r="361" spans="1:7">
      <c r="C361" s="14">
        <f>0.125*4</f>
        <v>0.5</v>
      </c>
      <c r="D361" s="14">
        <f>(9^2+8.25^2)^0.5</f>
        <v>12.20911544707478</v>
      </c>
      <c r="E361" s="6">
        <f>2*34</f>
        <v>68</v>
      </c>
      <c r="F361" s="9">
        <f t="shared" si="16"/>
        <v>415.11</v>
      </c>
      <c r="G361" s="7" t="s">
        <v>89</v>
      </c>
    </row>
    <row r="362" spans="1:7">
      <c r="C362" s="14">
        <f>0.125*4</f>
        <v>0.5</v>
      </c>
      <c r="D362" s="14">
        <f>(9^2+9^2)^0.5</f>
        <v>12.727922061357855</v>
      </c>
      <c r="E362" s="6">
        <f>2*24</f>
        <v>48</v>
      </c>
      <c r="F362" s="9">
        <f t="shared" si="16"/>
        <v>305.47000000000003</v>
      </c>
      <c r="G362" s="7" t="s">
        <v>89</v>
      </c>
    </row>
    <row r="363" spans="1:7">
      <c r="A363" s="6" t="s">
        <v>104</v>
      </c>
      <c r="B363" s="6" t="s">
        <v>107</v>
      </c>
      <c r="C363" s="14">
        <f>PI()*0.03</f>
        <v>9.4247779607693788E-2</v>
      </c>
      <c r="D363" s="14">
        <f>(9^2+8.1^2)^0.5</f>
        <v>12.10826164236634</v>
      </c>
      <c r="E363" s="6">
        <f>2*8</f>
        <v>16</v>
      </c>
      <c r="F363" s="9">
        <f t="shared" si="16"/>
        <v>18.260000000000002</v>
      </c>
      <c r="G363" s="7" t="s">
        <v>89</v>
      </c>
    </row>
    <row r="364" spans="1:7">
      <c r="C364" s="14">
        <f>PI()*0.03</f>
        <v>9.4247779607693788E-2</v>
      </c>
      <c r="D364" s="14">
        <f>(8.1^2+7.5^2)^0.5</f>
        <v>11.039021695784459</v>
      </c>
      <c r="E364" s="6">
        <f>2*2</f>
        <v>4</v>
      </c>
      <c r="F364" s="9">
        <f t="shared" si="16"/>
        <v>4.16</v>
      </c>
      <c r="G364" s="7" t="s">
        <v>89</v>
      </c>
    </row>
    <row r="365" spans="1:7">
      <c r="C365" s="14">
        <f>PI()*0.03</f>
        <v>9.4247779607693788E-2</v>
      </c>
      <c r="D365" s="14">
        <f>(8.1^2+8.25^2)^0.5</f>
        <v>11.561682403525882</v>
      </c>
      <c r="E365" s="6">
        <f>2*1</f>
        <v>2</v>
      </c>
      <c r="F365" s="9">
        <f t="shared" si="16"/>
        <v>2.1800000000000002</v>
      </c>
      <c r="G365" s="7" t="s">
        <v>89</v>
      </c>
    </row>
    <row r="366" spans="1:7">
      <c r="A366" s="6" t="s">
        <v>90</v>
      </c>
      <c r="B366" s="6" t="s">
        <v>91</v>
      </c>
      <c r="C366" s="14">
        <f>0.3*2+0.08*4+0.02*4</f>
        <v>0.99999999999999989</v>
      </c>
      <c r="D366" s="14">
        <v>14372.16</v>
      </c>
      <c r="E366" s="6">
        <v>1</v>
      </c>
      <c r="F366" s="9">
        <f t="shared" si="16"/>
        <v>14372.16</v>
      </c>
      <c r="G366" s="7" t="s">
        <v>92</v>
      </c>
    </row>
    <row r="367" spans="1:7">
      <c r="A367" s="6" t="s">
        <v>116</v>
      </c>
      <c r="B367" s="6" t="s">
        <v>118</v>
      </c>
      <c r="C367" s="14">
        <f>0.28*2+0.08*4+0.02*4</f>
        <v>0.96000000000000008</v>
      </c>
      <c r="D367" s="14">
        <v>68.849999999999994</v>
      </c>
      <c r="E367" s="6">
        <v>1</v>
      </c>
      <c r="F367" s="9">
        <f t="shared" si="16"/>
        <v>66.099999999999994</v>
      </c>
      <c r="G367" s="7" t="s">
        <v>92</v>
      </c>
    </row>
    <row r="368" spans="1:7">
      <c r="A368" s="6" t="s">
        <v>93</v>
      </c>
      <c r="B368" s="6" t="s">
        <v>96</v>
      </c>
      <c r="C368" s="14">
        <f>PI()*0.012</f>
        <v>3.7699111843077518E-2</v>
      </c>
      <c r="D368" s="14">
        <f>120+8.1*2-1*20</f>
        <v>116.19999999999999</v>
      </c>
      <c r="E368" s="6">
        <f>2*13</f>
        <v>26</v>
      </c>
      <c r="F368" s="9">
        <f t="shared" si="16"/>
        <v>113.9</v>
      </c>
      <c r="G368" s="7" t="s">
        <v>98</v>
      </c>
    </row>
    <row r="369" spans="1:7">
      <c r="C369" s="14">
        <f>PI()*0.012</f>
        <v>3.7699111843077518E-2</v>
      </c>
      <c r="D369" s="14">
        <v>6</v>
      </c>
      <c r="E369" s="6">
        <f>2*12</f>
        <v>24</v>
      </c>
      <c r="F369" s="9">
        <f t="shared" si="16"/>
        <v>5.43</v>
      </c>
      <c r="G369" s="7" t="s">
        <v>98</v>
      </c>
    </row>
    <row r="370" spans="1:7">
      <c r="A370" s="6" t="s">
        <v>94</v>
      </c>
      <c r="B370" s="6" t="s">
        <v>96</v>
      </c>
      <c r="C370" s="14">
        <f>PI()*0.012</f>
        <v>3.7699111843077518E-2</v>
      </c>
      <c r="D370" s="14">
        <f>(3^2+1^2)^0.5</f>
        <v>3.1622776601683795</v>
      </c>
      <c r="E370" s="6">
        <f>4*13*10</f>
        <v>520</v>
      </c>
      <c r="F370" s="9">
        <f t="shared" si="16"/>
        <v>61.99</v>
      </c>
      <c r="G370" s="7" t="s">
        <v>99</v>
      </c>
    </row>
    <row r="371" spans="1:7">
      <c r="C371" s="14">
        <f>PI()*0.012</f>
        <v>3.7699111843077518E-2</v>
      </c>
      <c r="D371" s="14">
        <f>(2^2+1^2)^0.5</f>
        <v>2.2360679774997898</v>
      </c>
      <c r="E371" s="6">
        <f>4*12</f>
        <v>48</v>
      </c>
      <c r="F371" s="9">
        <f t="shared" si="16"/>
        <v>4.05</v>
      </c>
      <c r="G371" s="7" t="s">
        <v>99</v>
      </c>
    </row>
    <row r="372" spans="1:7">
      <c r="A372" s="6" t="s">
        <v>95</v>
      </c>
      <c r="B372" s="6" t="s">
        <v>97</v>
      </c>
      <c r="C372" s="14">
        <f>PI()*0.032</f>
        <v>0.10053096491487339</v>
      </c>
      <c r="D372" s="14">
        <v>1</v>
      </c>
      <c r="E372" s="6">
        <f>4*13*10</f>
        <v>520</v>
      </c>
      <c r="F372" s="9">
        <f t="shared" si="16"/>
        <v>52.28</v>
      </c>
      <c r="G372" s="7" t="s">
        <v>100</v>
      </c>
    </row>
    <row r="373" spans="1:7">
      <c r="C373" s="14">
        <f>PI()*0.032</f>
        <v>0.10053096491487339</v>
      </c>
      <c r="D373" s="14">
        <v>1</v>
      </c>
      <c r="E373" s="6">
        <f>4*12</f>
        <v>48</v>
      </c>
      <c r="F373" s="9">
        <f t="shared" si="16"/>
        <v>4.83</v>
      </c>
      <c r="G373" s="7" t="s">
        <v>100</v>
      </c>
    </row>
    <row r="374" spans="1:7">
      <c r="A374" s="6" t="s">
        <v>117</v>
      </c>
      <c r="B374" s="6" t="s">
        <v>119</v>
      </c>
      <c r="C374" s="14">
        <f>0.063*4</f>
        <v>0.252</v>
      </c>
      <c r="D374" s="14">
        <v>1.2</v>
      </c>
      <c r="E374" s="6">
        <v>912</v>
      </c>
      <c r="F374" s="9">
        <f t="shared" si="16"/>
        <v>275.79000000000002</v>
      </c>
      <c r="G374" s="7" t="s">
        <v>120</v>
      </c>
    </row>
    <row r="375" spans="1:7">
      <c r="A375" s="6" t="s">
        <v>81</v>
      </c>
      <c r="F375" s="9">
        <f t="shared" si="8"/>
        <v>0</v>
      </c>
    </row>
    <row r="376" spans="1:7">
      <c r="A376" s="6" t="s">
        <v>78</v>
      </c>
      <c r="B376" s="6" t="s">
        <v>79</v>
      </c>
      <c r="C376" s="14">
        <f>0.2*2+0.1*4</f>
        <v>0.8</v>
      </c>
      <c r="D376" s="14">
        <v>1.8</v>
      </c>
      <c r="E376" s="6">
        <f>8*12</f>
        <v>96</v>
      </c>
      <c r="F376" s="9">
        <f t="shared" si="8"/>
        <v>138.24</v>
      </c>
      <c r="G376" s="7" t="s">
        <v>72</v>
      </c>
    </row>
    <row r="377" spans="1:7">
      <c r="A377" s="6" t="s">
        <v>82</v>
      </c>
      <c r="B377" s="6" t="s">
        <v>83</v>
      </c>
      <c r="C377" s="14">
        <f>PI()*0.025</f>
        <v>7.8539816339744828E-2</v>
      </c>
      <c r="D377" s="14">
        <f>(9^2+1.8^2)^0.5</f>
        <v>9.1782351244670117</v>
      </c>
      <c r="E377" s="6">
        <f>2*32</f>
        <v>64</v>
      </c>
      <c r="F377" s="9">
        <f t="shared" si="8"/>
        <v>46.13</v>
      </c>
      <c r="G377" s="7" t="s">
        <v>87</v>
      </c>
    </row>
    <row r="378" spans="1:7">
      <c r="A378" s="6" t="s">
        <v>75</v>
      </c>
      <c r="B378" s="6" t="s">
        <v>79</v>
      </c>
      <c r="C378" s="14">
        <f>0.2*2+0.1*4</f>
        <v>0.8</v>
      </c>
      <c r="D378" s="14">
        <f>1.5-0.2</f>
        <v>1.3</v>
      </c>
      <c r="E378" s="6">
        <f>8*12</f>
        <v>96</v>
      </c>
      <c r="F378" s="9">
        <f t="shared" si="8"/>
        <v>99.84</v>
      </c>
      <c r="G378" s="7" t="s">
        <v>75</v>
      </c>
    </row>
    <row r="379" spans="1:7">
      <c r="A379" s="6" t="s">
        <v>84</v>
      </c>
      <c r="B379" s="6" t="s">
        <v>85</v>
      </c>
      <c r="C379" s="14">
        <f>PI()*0.14</f>
        <v>0.4398229715025711</v>
      </c>
      <c r="D379" s="14">
        <v>9</v>
      </c>
      <c r="E379" s="6">
        <f>11*12</f>
        <v>132</v>
      </c>
      <c r="F379" s="9">
        <f t="shared" si="8"/>
        <v>522.51</v>
      </c>
      <c r="G379" s="7" t="s">
        <v>88</v>
      </c>
    </row>
    <row r="380" spans="1:7">
      <c r="A380" s="6" t="s">
        <v>86</v>
      </c>
      <c r="B380" s="6" t="s">
        <v>83</v>
      </c>
      <c r="C380" s="14">
        <f>PI()*0.025</f>
        <v>7.8539816339744828E-2</v>
      </c>
      <c r="D380" s="14">
        <f>(9^2+1.5^2)^0.5</f>
        <v>9.1241437954473295</v>
      </c>
      <c r="E380" s="6">
        <f>2*32</f>
        <v>64</v>
      </c>
      <c r="F380" s="9">
        <f t="shared" si="8"/>
        <v>45.86</v>
      </c>
      <c r="G380" s="7" t="s">
        <v>89</v>
      </c>
    </row>
    <row r="381" spans="1:7">
      <c r="A381" s="6" t="s">
        <v>90</v>
      </c>
      <c r="B381" s="6" t="s">
        <v>91</v>
      </c>
      <c r="C381" s="14">
        <f>0.3*2+0.08*4+0.02*4</f>
        <v>0.99999999999999989</v>
      </c>
      <c r="D381" s="14">
        <f>9*11</f>
        <v>99</v>
      </c>
      <c r="E381" s="6">
        <f>4*4</f>
        <v>16</v>
      </c>
      <c r="F381" s="9">
        <f t="shared" si="8"/>
        <v>1584</v>
      </c>
      <c r="G381" s="7" t="s">
        <v>92</v>
      </c>
    </row>
    <row r="382" spans="1:7">
      <c r="A382" s="6" t="s">
        <v>93</v>
      </c>
      <c r="B382" s="6" t="s">
        <v>96</v>
      </c>
      <c r="C382" s="14">
        <f>PI()*0.012</f>
        <v>3.7699111843077518E-2</v>
      </c>
      <c r="E382" s="6">
        <v>0</v>
      </c>
      <c r="F382" s="9">
        <f t="shared" si="8"/>
        <v>0</v>
      </c>
      <c r="G382" s="7" t="s">
        <v>98</v>
      </c>
    </row>
    <row r="383" spans="1:7">
      <c r="A383" s="6" t="s">
        <v>94</v>
      </c>
      <c r="B383" s="6" t="s">
        <v>96</v>
      </c>
      <c r="C383" s="14">
        <f>PI()*0.012</f>
        <v>3.7699111843077518E-2</v>
      </c>
      <c r="D383" s="14">
        <f>(3^2+1.2^2)^0.5</f>
        <v>3.2310988842807022</v>
      </c>
      <c r="E383" s="6">
        <f>4*11*4</f>
        <v>176</v>
      </c>
      <c r="F383" s="9">
        <f t="shared" si="8"/>
        <v>21.44</v>
      </c>
      <c r="G383" s="7" t="s">
        <v>99</v>
      </c>
    </row>
    <row r="384" spans="1:7">
      <c r="A384" s="6" t="s">
        <v>95</v>
      </c>
      <c r="B384" s="6" t="s">
        <v>97</v>
      </c>
      <c r="C384" s="14">
        <f>PI()*0.032</f>
        <v>0.10053096491487339</v>
      </c>
      <c r="D384" s="14">
        <v>1.2</v>
      </c>
      <c r="E384" s="6">
        <f>4*11*4</f>
        <v>176</v>
      </c>
      <c r="F384" s="9">
        <f t="shared" si="8"/>
        <v>21.23</v>
      </c>
      <c r="G384" s="7" t="s">
        <v>100</v>
      </c>
    </row>
    <row r="385" spans="1:7">
      <c r="C385" s="14">
        <f>PI()*0.032</f>
        <v>0.10053096491487339</v>
      </c>
      <c r="D385" s="14">
        <v>0.4</v>
      </c>
      <c r="E385" s="6">
        <f>2*11*4</f>
        <v>88</v>
      </c>
      <c r="F385" s="9">
        <f t="shared" si="8"/>
        <v>3.54</v>
      </c>
      <c r="G385" s="7" t="s">
        <v>100</v>
      </c>
    </row>
    <row r="386" spans="1:7">
      <c r="A386" s="6" t="s">
        <v>121</v>
      </c>
      <c r="F386" s="9">
        <f t="shared" si="8"/>
        <v>0</v>
      </c>
    </row>
    <row r="387" spans="1:7">
      <c r="A387" s="6" t="s">
        <v>122</v>
      </c>
      <c r="B387" s="6" t="s">
        <v>123</v>
      </c>
      <c r="C387" s="14">
        <f>0.4*2</f>
        <v>0.8</v>
      </c>
      <c r="D387" s="14">
        <v>8.9619999999999997</v>
      </c>
      <c r="E387" s="6">
        <f>1*20</f>
        <v>20</v>
      </c>
      <c r="F387" s="9">
        <f t="shared" si="8"/>
        <v>143.38999999999999</v>
      </c>
      <c r="G387" s="7" t="s">
        <v>131</v>
      </c>
    </row>
    <row r="388" spans="1:7">
      <c r="B388" s="6" t="s">
        <v>124</v>
      </c>
      <c r="C388" s="14">
        <f>0.25*2</f>
        <v>0.5</v>
      </c>
      <c r="D388" s="14">
        <v>8.9619999999999997</v>
      </c>
      <c r="E388" s="6">
        <f>1*20</f>
        <v>20</v>
      </c>
      <c r="F388" s="9">
        <f t="shared" ref="F388:F398" si="17">ROUND(PRODUCT(C388:E388),2)</f>
        <v>89.62</v>
      </c>
      <c r="G388" s="7" t="s">
        <v>131</v>
      </c>
    </row>
    <row r="389" spans="1:7">
      <c r="B389" s="6" t="s">
        <v>125</v>
      </c>
      <c r="C389" s="14">
        <f>0.864*2</f>
        <v>1.728</v>
      </c>
      <c r="D389" s="14">
        <v>8.9619999999999997</v>
      </c>
      <c r="E389" s="6">
        <f>1*20</f>
        <v>20</v>
      </c>
      <c r="F389" s="9">
        <f t="shared" si="17"/>
        <v>309.73</v>
      </c>
      <c r="G389" s="7" t="s">
        <v>131</v>
      </c>
    </row>
    <row r="390" spans="1:7">
      <c r="B390" s="6" t="s">
        <v>126</v>
      </c>
      <c r="C390" s="14">
        <f>0.22*2</f>
        <v>0.44</v>
      </c>
      <c r="D390" s="14">
        <v>0.91200000000000003</v>
      </c>
      <c r="E390" s="6">
        <f>2*20</f>
        <v>40</v>
      </c>
      <c r="F390" s="9">
        <f t="shared" si="17"/>
        <v>16.05</v>
      </c>
      <c r="G390" s="7" t="s">
        <v>131</v>
      </c>
    </row>
    <row r="391" spans="1:7">
      <c r="B391" s="6" t="s">
        <v>127</v>
      </c>
      <c r="C391" s="14">
        <f>0.09*2</f>
        <v>0.18</v>
      </c>
      <c r="D391" s="14">
        <v>0.81</v>
      </c>
      <c r="E391" s="6">
        <f>10*20</f>
        <v>200</v>
      </c>
      <c r="F391" s="9">
        <f t="shared" si="17"/>
        <v>29.16</v>
      </c>
      <c r="G391" s="7" t="s">
        <v>131</v>
      </c>
    </row>
    <row r="392" spans="1:7">
      <c r="A392" s="6" t="s">
        <v>128</v>
      </c>
      <c r="B392" s="6" t="s">
        <v>126</v>
      </c>
      <c r="C392" s="14">
        <f>0.22*2</f>
        <v>0.44</v>
      </c>
      <c r="D392" s="14">
        <v>0.91200000000000003</v>
      </c>
      <c r="E392" s="6">
        <f>1*4</f>
        <v>4</v>
      </c>
      <c r="F392" s="9">
        <f t="shared" si="17"/>
        <v>1.61</v>
      </c>
      <c r="G392" s="7" t="s">
        <v>131</v>
      </c>
    </row>
    <row r="393" spans="1:7">
      <c r="B393" s="6" t="s">
        <v>127</v>
      </c>
      <c r="C393" s="14">
        <f>0.09*2</f>
        <v>0.18</v>
      </c>
      <c r="D393" s="14">
        <v>0.81</v>
      </c>
      <c r="E393" s="6">
        <f>10*4</f>
        <v>40</v>
      </c>
      <c r="F393" s="9">
        <f t="shared" si="17"/>
        <v>5.83</v>
      </c>
      <c r="G393" s="7" t="s">
        <v>131</v>
      </c>
    </row>
    <row r="394" spans="1:7">
      <c r="B394" s="6" t="s">
        <v>123</v>
      </c>
      <c r="C394" s="14">
        <f>0.4*2</f>
        <v>0.8</v>
      </c>
      <c r="D394" s="14">
        <v>8.9760000000000009</v>
      </c>
      <c r="E394" s="6">
        <f t="shared" ref="E394:E396" si="18">1*4</f>
        <v>4</v>
      </c>
      <c r="F394" s="9">
        <f t="shared" si="17"/>
        <v>28.72</v>
      </c>
      <c r="G394" s="7" t="s">
        <v>131</v>
      </c>
    </row>
    <row r="395" spans="1:7">
      <c r="B395" s="6" t="s">
        <v>129</v>
      </c>
      <c r="C395" s="14">
        <f>0.25*2</f>
        <v>0.5</v>
      </c>
      <c r="D395" s="14">
        <v>8.9760000000000009</v>
      </c>
      <c r="E395" s="6">
        <f t="shared" si="18"/>
        <v>4</v>
      </c>
      <c r="F395" s="9">
        <f t="shared" si="17"/>
        <v>17.95</v>
      </c>
      <c r="G395" s="7" t="s">
        <v>131</v>
      </c>
    </row>
    <row r="396" spans="1:7">
      <c r="B396" s="6" t="s">
        <v>125</v>
      </c>
      <c r="C396" s="14">
        <f>0.864*2</f>
        <v>1.728</v>
      </c>
      <c r="D396" s="14">
        <v>8.9760000000000009</v>
      </c>
      <c r="E396" s="6">
        <f t="shared" si="18"/>
        <v>4</v>
      </c>
      <c r="F396" s="9">
        <f t="shared" si="17"/>
        <v>62.04</v>
      </c>
      <c r="G396" s="7" t="s">
        <v>131</v>
      </c>
    </row>
    <row r="397" spans="1:7">
      <c r="B397" s="6" t="s">
        <v>130</v>
      </c>
      <c r="C397" s="14">
        <f>0.11*2</f>
        <v>0.22</v>
      </c>
      <c r="D397" s="14">
        <v>0.86399999999999999</v>
      </c>
      <c r="E397" s="6">
        <f>2*4</f>
        <v>8</v>
      </c>
      <c r="F397" s="9">
        <f t="shared" si="17"/>
        <v>1.52</v>
      </c>
      <c r="G397" s="7" t="s">
        <v>131</v>
      </c>
    </row>
    <row r="398" spans="1:7">
      <c r="B398" s="6" t="s">
        <v>130</v>
      </c>
      <c r="C398" s="14">
        <f>0.11*2</f>
        <v>0.22</v>
      </c>
      <c r="D398" s="14">
        <v>0.81</v>
      </c>
      <c r="E398" s="6">
        <f>2*4</f>
        <v>8</v>
      </c>
      <c r="F398" s="9">
        <f t="shared" si="17"/>
        <v>1.43</v>
      </c>
      <c r="G398" s="7" t="s">
        <v>131</v>
      </c>
    </row>
    <row r="399" spans="1:7">
      <c r="A399" s="6" t="s">
        <v>132</v>
      </c>
      <c r="B399" s="6" t="s">
        <v>133</v>
      </c>
      <c r="C399" s="14">
        <f>0.42*2</f>
        <v>0.84</v>
      </c>
      <c r="D399" s="14">
        <v>1.47</v>
      </c>
      <c r="E399" s="6">
        <f>1*4</f>
        <v>4</v>
      </c>
      <c r="F399" s="9">
        <f t="shared" ref="F399:F405" si="19">ROUND(PRODUCT(C399:E399),2)</f>
        <v>4.9400000000000004</v>
      </c>
      <c r="G399" s="7" t="s">
        <v>131</v>
      </c>
    </row>
    <row r="400" spans="1:7">
      <c r="B400" s="6" t="s">
        <v>134</v>
      </c>
      <c r="C400" s="14">
        <f>0.28*2</f>
        <v>0.56000000000000005</v>
      </c>
      <c r="D400" s="14">
        <v>0.46</v>
      </c>
      <c r="E400" s="6">
        <f t="shared" ref="E400:E402" si="20">1*4</f>
        <v>4</v>
      </c>
      <c r="F400" s="9">
        <f t="shared" si="19"/>
        <v>1.03</v>
      </c>
      <c r="G400" s="7" t="s">
        <v>131</v>
      </c>
    </row>
    <row r="401" spans="1:7">
      <c r="B401" s="6" t="s">
        <v>135</v>
      </c>
      <c r="C401" s="14">
        <f>0.22*2</f>
        <v>0.44</v>
      </c>
      <c r="D401" s="14">
        <v>1.01</v>
      </c>
      <c r="E401" s="6">
        <f t="shared" si="20"/>
        <v>4</v>
      </c>
      <c r="F401" s="9">
        <f t="shared" si="19"/>
        <v>1.78</v>
      </c>
      <c r="G401" s="7" t="s">
        <v>131</v>
      </c>
    </row>
    <row r="402" spans="1:7">
      <c r="B402" s="6" t="s">
        <v>135</v>
      </c>
      <c r="C402" s="14">
        <f>0.22*2</f>
        <v>0.44</v>
      </c>
      <c r="D402" s="14">
        <v>1.47</v>
      </c>
      <c r="E402" s="6">
        <f t="shared" si="20"/>
        <v>4</v>
      </c>
      <c r="F402" s="9">
        <f t="shared" si="19"/>
        <v>2.59</v>
      </c>
      <c r="G402" s="7" t="s">
        <v>131</v>
      </c>
    </row>
    <row r="403" spans="1:7">
      <c r="B403" s="6" t="s">
        <v>136</v>
      </c>
      <c r="C403" s="14">
        <f>0.136*2</f>
        <v>0.27200000000000002</v>
      </c>
      <c r="D403" s="14">
        <v>0.42</v>
      </c>
      <c r="E403" s="6">
        <f>2*4</f>
        <v>8</v>
      </c>
      <c r="F403" s="9">
        <f t="shared" si="19"/>
        <v>0.91</v>
      </c>
      <c r="G403" s="7" t="s">
        <v>131</v>
      </c>
    </row>
    <row r="404" spans="1:7">
      <c r="B404" s="6" t="s">
        <v>137</v>
      </c>
      <c r="C404" s="14">
        <f>0.08*2</f>
        <v>0.16</v>
      </c>
      <c r="D404" s="14">
        <v>0.42</v>
      </c>
      <c r="E404" s="6">
        <f>4*4</f>
        <v>16</v>
      </c>
      <c r="F404" s="9">
        <f t="shared" si="19"/>
        <v>1.08</v>
      </c>
      <c r="G404" s="7" t="s">
        <v>131</v>
      </c>
    </row>
    <row r="405" spans="1:7">
      <c r="B405" s="6" t="s">
        <v>138</v>
      </c>
      <c r="C405" s="14">
        <f>0.28*2</f>
        <v>0.56000000000000005</v>
      </c>
      <c r="D405" s="14">
        <v>0.4</v>
      </c>
      <c r="E405" s="6">
        <f>1*4</f>
        <v>4</v>
      </c>
      <c r="F405" s="9">
        <f t="shared" si="19"/>
        <v>0.9</v>
      </c>
      <c r="G405" s="7" t="s">
        <v>131</v>
      </c>
    </row>
    <row r="406" spans="1:7">
      <c r="A406" s="6" t="s">
        <v>139</v>
      </c>
      <c r="B406" s="6" t="s">
        <v>140</v>
      </c>
      <c r="C406" s="14">
        <f>0.52*2</f>
        <v>1.04</v>
      </c>
      <c r="D406" s="14">
        <v>8.91</v>
      </c>
      <c r="E406" s="6">
        <f>1*22</f>
        <v>22</v>
      </c>
      <c r="F406" s="9">
        <f t="shared" ref="F406:F412" si="21">ROUND(PRODUCT(C406:E406),2)</f>
        <v>203.86</v>
      </c>
      <c r="G406" s="7" t="s">
        <v>131</v>
      </c>
    </row>
    <row r="407" spans="1:7">
      <c r="B407" s="6" t="s">
        <v>141</v>
      </c>
      <c r="C407" s="14">
        <f>0.4*2</f>
        <v>0.8</v>
      </c>
      <c r="D407" s="14">
        <v>9.0839999999999996</v>
      </c>
      <c r="E407" s="6">
        <f>1*22</f>
        <v>22</v>
      </c>
      <c r="F407" s="9">
        <f t="shared" si="21"/>
        <v>159.88</v>
      </c>
      <c r="G407" s="7" t="s">
        <v>131</v>
      </c>
    </row>
    <row r="408" spans="1:7">
      <c r="B408" s="6" t="s">
        <v>142</v>
      </c>
      <c r="C408" s="14">
        <f>1.946*2</f>
        <v>3.8919999999999999</v>
      </c>
      <c r="D408" s="14">
        <v>7.4820000000000002</v>
      </c>
      <c r="E408" s="6">
        <f>1*22</f>
        <v>22</v>
      </c>
      <c r="F408" s="9">
        <f t="shared" si="21"/>
        <v>640.64</v>
      </c>
      <c r="G408" s="7" t="s">
        <v>131</v>
      </c>
    </row>
    <row r="409" spans="1:7">
      <c r="B409" s="6" t="s">
        <v>143</v>
      </c>
      <c r="C409" s="14">
        <f>0.35*2</f>
        <v>0.7</v>
      </c>
      <c r="D409" s="14">
        <v>1.4119999999999999</v>
      </c>
      <c r="E409" s="6">
        <f>2*22</f>
        <v>44</v>
      </c>
      <c r="F409" s="9">
        <f t="shared" si="21"/>
        <v>43.49</v>
      </c>
      <c r="G409" s="7" t="s">
        <v>131</v>
      </c>
    </row>
    <row r="410" spans="1:7">
      <c r="B410" s="6" t="s">
        <v>144</v>
      </c>
      <c r="C410" s="14">
        <f>0.11*2</f>
        <v>0.22</v>
      </c>
      <c r="D410" s="14">
        <v>1.8960000000000001</v>
      </c>
      <c r="E410" s="6">
        <f>8*22</f>
        <v>176</v>
      </c>
      <c r="F410" s="9">
        <f t="shared" si="21"/>
        <v>73.41</v>
      </c>
      <c r="G410" s="7" t="s">
        <v>131</v>
      </c>
    </row>
    <row r="411" spans="1:7">
      <c r="B411" s="6" t="s">
        <v>144</v>
      </c>
      <c r="C411" s="14">
        <f>0.11*2</f>
        <v>0.22</v>
      </c>
      <c r="D411" s="14">
        <v>1.3460000000000001</v>
      </c>
      <c r="E411" s="6">
        <f>4*22</f>
        <v>88</v>
      </c>
      <c r="F411" s="9">
        <f t="shared" si="21"/>
        <v>26.06</v>
      </c>
      <c r="G411" s="7" t="s">
        <v>131</v>
      </c>
    </row>
    <row r="412" spans="1:7">
      <c r="B412" s="6" t="s">
        <v>144</v>
      </c>
      <c r="C412" s="14">
        <f>0.11*2</f>
        <v>0.22</v>
      </c>
      <c r="D412" s="14">
        <v>1.7150000000000001</v>
      </c>
      <c r="E412" s="6">
        <f>4*22</f>
        <v>88</v>
      </c>
      <c r="F412" s="9">
        <f t="shared" si="21"/>
        <v>33.200000000000003</v>
      </c>
      <c r="G412" s="7" t="s">
        <v>131</v>
      </c>
    </row>
    <row r="413" spans="1:7">
      <c r="A413" s="6" t="s">
        <v>145</v>
      </c>
      <c r="B413" s="6" t="s">
        <v>140</v>
      </c>
      <c r="C413" s="14">
        <f>0.52*2</f>
        <v>1.04</v>
      </c>
      <c r="D413" s="14">
        <v>8.9250000000000007</v>
      </c>
      <c r="E413" s="6">
        <f>1*4</f>
        <v>4</v>
      </c>
      <c r="F413" s="9">
        <f t="shared" ref="F413:F423" si="22">ROUND(PRODUCT(C413:E413),2)</f>
        <v>37.130000000000003</v>
      </c>
      <c r="G413" s="7" t="s">
        <v>131</v>
      </c>
    </row>
    <row r="414" spans="1:7">
      <c r="B414" s="6" t="s">
        <v>141</v>
      </c>
      <c r="C414" s="14">
        <f>0.4*2</f>
        <v>0.8</v>
      </c>
      <c r="D414" s="14">
        <v>9.1129999999999995</v>
      </c>
      <c r="E414" s="6">
        <f>1*4</f>
        <v>4</v>
      </c>
      <c r="F414" s="9">
        <f t="shared" si="22"/>
        <v>29.16</v>
      </c>
      <c r="G414" s="7" t="s">
        <v>131</v>
      </c>
    </row>
    <row r="415" spans="1:7">
      <c r="B415" s="6" t="s">
        <v>142</v>
      </c>
      <c r="C415" s="14">
        <f>1.946*2</f>
        <v>3.8919999999999999</v>
      </c>
      <c r="D415" s="14">
        <v>7.0520000000000005</v>
      </c>
      <c r="E415" s="6">
        <f>1*4</f>
        <v>4</v>
      </c>
      <c r="F415" s="9">
        <f t="shared" si="22"/>
        <v>109.79</v>
      </c>
      <c r="G415" s="7" t="s">
        <v>131</v>
      </c>
    </row>
    <row r="416" spans="1:7">
      <c r="B416" s="6" t="s">
        <v>143</v>
      </c>
      <c r="C416" s="14">
        <f>0.35*2</f>
        <v>0.7</v>
      </c>
      <c r="D416" s="14">
        <v>1.4119999999999999</v>
      </c>
      <c r="E416" s="6">
        <f>1*4</f>
        <v>4</v>
      </c>
      <c r="F416" s="9">
        <f t="shared" si="22"/>
        <v>3.95</v>
      </c>
      <c r="G416" s="7" t="s">
        <v>131</v>
      </c>
    </row>
    <row r="417" spans="1:7">
      <c r="B417" s="6" t="s">
        <v>144</v>
      </c>
      <c r="C417" s="14">
        <f>0.11*2</f>
        <v>0.22</v>
      </c>
      <c r="D417" s="14">
        <v>1.8960000000000001</v>
      </c>
      <c r="E417" s="6">
        <f>8*4</f>
        <v>32</v>
      </c>
      <c r="F417" s="9">
        <f t="shared" si="22"/>
        <v>13.35</v>
      </c>
      <c r="G417" s="7" t="s">
        <v>131</v>
      </c>
    </row>
    <row r="418" spans="1:7">
      <c r="B418" s="6" t="s">
        <v>146</v>
      </c>
      <c r="C418" s="14">
        <f>0.19*2</f>
        <v>0.38</v>
      </c>
      <c r="D418" s="14">
        <v>1.3460000000000001</v>
      </c>
      <c r="E418" s="6">
        <f>2*4</f>
        <v>8</v>
      </c>
      <c r="F418" s="9">
        <f t="shared" si="22"/>
        <v>4.09</v>
      </c>
      <c r="G418" s="7" t="s">
        <v>131</v>
      </c>
    </row>
    <row r="419" spans="1:7">
      <c r="B419" s="6" t="s">
        <v>147</v>
      </c>
      <c r="C419" s="14">
        <f>0.05*2</f>
        <v>0.1</v>
      </c>
      <c r="D419" s="14">
        <v>0.4</v>
      </c>
      <c r="E419" s="6">
        <f>1*4</f>
        <v>4</v>
      </c>
      <c r="F419" s="9">
        <f t="shared" si="22"/>
        <v>0.16</v>
      </c>
      <c r="G419" s="7" t="s">
        <v>131</v>
      </c>
    </row>
    <row r="420" spans="1:7">
      <c r="B420" s="6" t="s">
        <v>146</v>
      </c>
      <c r="C420" s="14">
        <f>0.19*2</f>
        <v>0.38</v>
      </c>
      <c r="D420" s="14">
        <v>1.296</v>
      </c>
      <c r="E420" s="6">
        <f>2*4</f>
        <v>8</v>
      </c>
      <c r="F420" s="9">
        <f t="shared" si="22"/>
        <v>3.94</v>
      </c>
      <c r="G420" s="7" t="s">
        <v>131</v>
      </c>
    </row>
    <row r="421" spans="1:7">
      <c r="B421" s="6" t="s">
        <v>144</v>
      </c>
      <c r="C421" s="14">
        <f>0.11*2</f>
        <v>0.22</v>
      </c>
      <c r="D421" s="14">
        <v>1.3460000000000001</v>
      </c>
      <c r="E421" s="6">
        <f>4*4</f>
        <v>16</v>
      </c>
      <c r="F421" s="9">
        <f t="shared" si="22"/>
        <v>4.74</v>
      </c>
      <c r="G421" s="7" t="s">
        <v>131</v>
      </c>
    </row>
    <row r="422" spans="1:7">
      <c r="B422" s="6" t="s">
        <v>144</v>
      </c>
      <c r="C422" s="14">
        <f>0.11*2</f>
        <v>0.22</v>
      </c>
      <c r="D422" s="14">
        <v>1.7150000000000001</v>
      </c>
      <c r="E422" s="6">
        <f>2*4</f>
        <v>8</v>
      </c>
      <c r="F422" s="9">
        <f t="shared" si="22"/>
        <v>3.02</v>
      </c>
      <c r="G422" s="7" t="s">
        <v>131</v>
      </c>
    </row>
    <row r="423" spans="1:7">
      <c r="B423" s="6" t="s">
        <v>144</v>
      </c>
      <c r="C423" s="14">
        <f>0.11*2</f>
        <v>0.22</v>
      </c>
      <c r="D423" s="14">
        <v>1.6420000000000001</v>
      </c>
      <c r="E423" s="6">
        <f>2*4</f>
        <v>8</v>
      </c>
      <c r="F423" s="9">
        <f t="shared" si="22"/>
        <v>2.89</v>
      </c>
      <c r="G423" s="7" t="s">
        <v>131</v>
      </c>
    </row>
    <row r="424" spans="1:7">
      <c r="A424" s="6" t="s">
        <v>148</v>
      </c>
      <c r="B424" s="6" t="s">
        <v>149</v>
      </c>
      <c r="C424" s="14">
        <f>0.42*2</f>
        <v>0.84</v>
      </c>
      <c r="D424" s="14">
        <v>1.57</v>
      </c>
      <c r="E424" s="6">
        <f>1*4</f>
        <v>4</v>
      </c>
      <c r="F424" s="9">
        <f t="shared" ref="F424:F429" si="23">ROUND(PRODUCT(C424:E424),2)</f>
        <v>5.28</v>
      </c>
      <c r="G424" s="7" t="s">
        <v>131</v>
      </c>
    </row>
    <row r="425" spans="1:7">
      <c r="B425" s="6" t="s">
        <v>150</v>
      </c>
      <c r="C425" s="14">
        <f>0.32*2</f>
        <v>0.64</v>
      </c>
      <c r="D425" s="14">
        <v>1.57</v>
      </c>
      <c r="E425" s="6">
        <f>1*4</f>
        <v>4</v>
      </c>
      <c r="F425" s="9">
        <f t="shared" si="23"/>
        <v>4.0199999999999996</v>
      </c>
      <c r="G425" s="7" t="s">
        <v>131</v>
      </c>
    </row>
    <row r="426" spans="1:7">
      <c r="B426" s="6" t="s">
        <v>150</v>
      </c>
      <c r="C426" s="14">
        <f>0.32*2</f>
        <v>0.64</v>
      </c>
      <c r="D426" s="14">
        <v>1.57</v>
      </c>
      <c r="E426" s="6">
        <f>1*4</f>
        <v>4</v>
      </c>
      <c r="F426" s="9">
        <f t="shared" si="23"/>
        <v>4.0199999999999996</v>
      </c>
      <c r="G426" s="7" t="s">
        <v>131</v>
      </c>
    </row>
    <row r="427" spans="1:7">
      <c r="B427" s="6" t="s">
        <v>153</v>
      </c>
      <c r="C427" s="14">
        <f>0.155*2</f>
        <v>0.31</v>
      </c>
      <c r="D427" s="14">
        <v>0.42</v>
      </c>
      <c r="E427" s="6">
        <f>2*4</f>
        <v>8</v>
      </c>
      <c r="F427" s="9">
        <f t="shared" si="23"/>
        <v>1.04</v>
      </c>
      <c r="G427" s="7" t="s">
        <v>131</v>
      </c>
    </row>
    <row r="428" spans="1:7">
      <c r="B428" s="6" t="s">
        <v>151</v>
      </c>
      <c r="C428" s="14">
        <f>0.08*2</f>
        <v>0.16</v>
      </c>
      <c r="D428" s="14">
        <v>0.42</v>
      </c>
      <c r="E428" s="6">
        <f>4*4</f>
        <v>16</v>
      </c>
      <c r="F428" s="9">
        <f t="shared" si="23"/>
        <v>1.08</v>
      </c>
      <c r="G428" s="7" t="s">
        <v>131</v>
      </c>
    </row>
    <row r="429" spans="1:7">
      <c r="B429" s="6" t="s">
        <v>152</v>
      </c>
      <c r="C429" s="14">
        <f>0.32*2</f>
        <v>0.64</v>
      </c>
      <c r="D429" s="14">
        <v>0.4</v>
      </c>
      <c r="E429" s="6">
        <f>1*4</f>
        <v>4</v>
      </c>
      <c r="F429" s="9">
        <f t="shared" si="23"/>
        <v>1.02</v>
      </c>
      <c r="G429" s="7" t="s">
        <v>131</v>
      </c>
    </row>
    <row r="430" spans="1:7">
      <c r="A430" s="6" t="s">
        <v>154</v>
      </c>
      <c r="B430" s="6" t="s">
        <v>155</v>
      </c>
      <c r="C430" s="14">
        <f>0.3*2+0.085*4</f>
        <v>0.94</v>
      </c>
      <c r="D430" s="14">
        <v>8.5280000000000005</v>
      </c>
      <c r="E430" s="6">
        <f>1*22</f>
        <v>22</v>
      </c>
      <c r="F430" s="9">
        <f t="shared" ref="F430:F447" si="24">ROUND(PRODUCT(C430:E430),2)</f>
        <v>176.36</v>
      </c>
      <c r="G430" s="7" t="s">
        <v>131</v>
      </c>
    </row>
    <row r="431" spans="1:7">
      <c r="B431" s="6" t="s">
        <v>157</v>
      </c>
      <c r="C431" s="14">
        <f>0.315*2</f>
        <v>0.63</v>
      </c>
      <c r="D431" s="14">
        <v>1.3900000000000001</v>
      </c>
      <c r="E431" s="6">
        <f>2*22</f>
        <v>44</v>
      </c>
      <c r="F431" s="9">
        <f t="shared" si="24"/>
        <v>38.53</v>
      </c>
      <c r="G431" s="7" t="s">
        <v>131</v>
      </c>
    </row>
    <row r="432" spans="1:7">
      <c r="B432" s="6" t="s">
        <v>156</v>
      </c>
      <c r="C432" s="14">
        <f>0.075*4</f>
        <v>0.3</v>
      </c>
      <c r="D432" s="14">
        <v>1.115</v>
      </c>
      <c r="E432" s="6">
        <f>2*22</f>
        <v>44</v>
      </c>
      <c r="F432" s="9">
        <f t="shared" si="24"/>
        <v>14.72</v>
      </c>
      <c r="G432" s="7" t="s">
        <v>131</v>
      </c>
    </row>
    <row r="433" spans="1:7">
      <c r="B433" s="6" t="s">
        <v>156</v>
      </c>
      <c r="C433" s="14">
        <f>0.075*4</f>
        <v>0.3</v>
      </c>
      <c r="D433" s="14">
        <v>1.1200000000000001</v>
      </c>
      <c r="E433" s="6">
        <f>6*22</f>
        <v>132</v>
      </c>
      <c r="F433" s="9">
        <f t="shared" si="24"/>
        <v>44.35</v>
      </c>
      <c r="G433" s="7" t="s">
        <v>131</v>
      </c>
    </row>
    <row r="434" spans="1:7">
      <c r="B434" s="6" t="s">
        <v>158</v>
      </c>
      <c r="C434" s="14">
        <f>0.28*2</f>
        <v>0.56000000000000005</v>
      </c>
      <c r="D434" s="14">
        <v>0.38</v>
      </c>
      <c r="E434" s="6">
        <f>2*22</f>
        <v>44</v>
      </c>
      <c r="F434" s="9">
        <f t="shared" si="24"/>
        <v>9.36</v>
      </c>
      <c r="G434" s="7" t="s">
        <v>131</v>
      </c>
    </row>
    <row r="435" spans="1:7">
      <c r="B435" s="6" t="s">
        <v>159</v>
      </c>
      <c r="C435" s="14">
        <f>0.255*2</f>
        <v>0.51</v>
      </c>
      <c r="D435" s="14">
        <v>0.36599999999999999</v>
      </c>
      <c r="E435" s="6">
        <f>2*22</f>
        <v>44</v>
      </c>
      <c r="F435" s="9">
        <f t="shared" si="24"/>
        <v>8.2100000000000009</v>
      </c>
      <c r="G435" s="7" t="s">
        <v>131</v>
      </c>
    </row>
    <row r="436" spans="1:7">
      <c r="B436" s="6" t="s">
        <v>160</v>
      </c>
      <c r="C436" s="14">
        <f>0.27*2</f>
        <v>0.54</v>
      </c>
      <c r="D436" s="14">
        <v>0.39600000000000002</v>
      </c>
      <c r="E436" s="6">
        <f>3*22</f>
        <v>66</v>
      </c>
      <c r="F436" s="9">
        <f t="shared" si="24"/>
        <v>14.11</v>
      </c>
      <c r="G436" s="7" t="s">
        <v>131</v>
      </c>
    </row>
    <row r="437" spans="1:7">
      <c r="B437" s="6" t="s">
        <v>156</v>
      </c>
      <c r="C437" s="14">
        <f>0.075*4</f>
        <v>0.3</v>
      </c>
      <c r="D437" s="14">
        <v>1.19</v>
      </c>
      <c r="E437" s="6">
        <f>2*22</f>
        <v>44</v>
      </c>
      <c r="F437" s="9">
        <f t="shared" si="24"/>
        <v>15.71</v>
      </c>
      <c r="G437" s="7" t="s">
        <v>131</v>
      </c>
    </row>
    <row r="438" spans="1:7">
      <c r="A438" s="6" t="s">
        <v>161</v>
      </c>
      <c r="B438" s="6" t="s">
        <v>155</v>
      </c>
      <c r="C438" s="14">
        <f>0.3*2+0.085*4</f>
        <v>0.94</v>
      </c>
      <c r="D438" s="14">
        <v>7.9779999999999998</v>
      </c>
      <c r="E438" s="6">
        <f>1*4</f>
        <v>4</v>
      </c>
      <c r="F438" s="9">
        <f t="shared" si="24"/>
        <v>30</v>
      </c>
      <c r="G438" s="7" t="s">
        <v>131</v>
      </c>
    </row>
    <row r="439" spans="1:7">
      <c r="B439" s="6" t="s">
        <v>162</v>
      </c>
      <c r="C439" s="14">
        <f>0.29*2</f>
        <v>0.57999999999999996</v>
      </c>
      <c r="D439" s="14">
        <v>1.3900000000000001</v>
      </c>
      <c r="E439" s="6">
        <f>2*4</f>
        <v>8</v>
      </c>
      <c r="F439" s="9">
        <f t="shared" si="24"/>
        <v>6.45</v>
      </c>
      <c r="G439" s="7" t="s">
        <v>131</v>
      </c>
    </row>
    <row r="440" spans="1:7">
      <c r="B440" s="6" t="s">
        <v>156</v>
      </c>
      <c r="C440" s="14">
        <f>0.075*4</f>
        <v>0.3</v>
      </c>
      <c r="D440" s="14">
        <v>1.155</v>
      </c>
      <c r="E440" s="6">
        <f>1*4</f>
        <v>4</v>
      </c>
      <c r="F440" s="9">
        <f t="shared" si="24"/>
        <v>1.39</v>
      </c>
      <c r="G440" s="7" t="s">
        <v>131</v>
      </c>
    </row>
    <row r="441" spans="1:7">
      <c r="B441" s="6" t="s">
        <v>156</v>
      </c>
      <c r="C441" s="14">
        <f>0.075*4</f>
        <v>0.3</v>
      </c>
      <c r="D441" s="14">
        <v>1.1200000000000001</v>
      </c>
      <c r="E441" s="6">
        <f>6*4</f>
        <v>24</v>
      </c>
      <c r="F441" s="9">
        <f t="shared" si="24"/>
        <v>8.06</v>
      </c>
      <c r="G441" s="7" t="s">
        <v>131</v>
      </c>
    </row>
    <row r="442" spans="1:7">
      <c r="B442" s="6" t="s">
        <v>163</v>
      </c>
      <c r="C442" s="14">
        <f>0.3*2</f>
        <v>0.6</v>
      </c>
      <c r="D442" s="14">
        <v>0.39500000000000002</v>
      </c>
      <c r="E442" s="6">
        <f>1*4</f>
        <v>4</v>
      </c>
      <c r="F442" s="9">
        <f t="shared" si="24"/>
        <v>0.95</v>
      </c>
      <c r="G442" s="7" t="s">
        <v>131</v>
      </c>
    </row>
    <row r="443" spans="1:7">
      <c r="B443" s="6" t="s">
        <v>158</v>
      </c>
      <c r="C443" s="14">
        <f>0.28*2</f>
        <v>0.56000000000000005</v>
      </c>
      <c r="D443" s="14">
        <v>0.39600000000000002</v>
      </c>
      <c r="E443" s="6">
        <f>2*4</f>
        <v>8</v>
      </c>
      <c r="F443" s="9">
        <f t="shared" si="24"/>
        <v>1.77</v>
      </c>
      <c r="G443" s="7" t="s">
        <v>131</v>
      </c>
    </row>
    <row r="444" spans="1:7">
      <c r="B444" s="6" t="s">
        <v>164</v>
      </c>
      <c r="C444" s="14">
        <f>0.29*2</f>
        <v>0.57999999999999996</v>
      </c>
      <c r="D444" s="14">
        <v>0.436</v>
      </c>
      <c r="E444" s="6">
        <f>2*4</f>
        <v>8</v>
      </c>
      <c r="F444" s="9">
        <f t="shared" si="24"/>
        <v>2.02</v>
      </c>
      <c r="G444" s="7" t="s">
        <v>131</v>
      </c>
    </row>
    <row r="445" spans="1:7">
      <c r="B445" s="6" t="s">
        <v>156</v>
      </c>
      <c r="C445" s="14">
        <f>0.075*4</f>
        <v>0.3</v>
      </c>
      <c r="D445" s="14">
        <v>1.5449999999999999</v>
      </c>
      <c r="E445" s="6">
        <f>1*4</f>
        <v>4</v>
      </c>
      <c r="F445" s="9">
        <f t="shared" si="24"/>
        <v>1.85</v>
      </c>
      <c r="G445" s="7" t="s">
        <v>131</v>
      </c>
    </row>
    <row r="446" spans="1:7">
      <c r="B446" s="6" t="s">
        <v>165</v>
      </c>
      <c r="C446" s="14">
        <f>0.285*2</f>
        <v>0.56999999999999995</v>
      </c>
      <c r="D446" s="14">
        <v>0.26</v>
      </c>
      <c r="E446" s="6">
        <f>1*4</f>
        <v>4</v>
      </c>
      <c r="F446" s="9">
        <f t="shared" si="24"/>
        <v>0.59</v>
      </c>
      <c r="G446" s="7" t="s">
        <v>131</v>
      </c>
    </row>
    <row r="447" spans="1:7">
      <c r="B447" s="6" t="s">
        <v>156</v>
      </c>
      <c r="C447" s="14">
        <f>0.075*4</f>
        <v>0.3</v>
      </c>
      <c r="D447" s="14">
        <v>1.2050000000000001</v>
      </c>
      <c r="E447" s="6">
        <f>1*4</f>
        <v>4</v>
      </c>
      <c r="F447" s="9">
        <f t="shared" si="24"/>
        <v>1.45</v>
      </c>
      <c r="G447" s="7" t="s">
        <v>131</v>
      </c>
    </row>
    <row r="448" spans="1:7">
      <c r="A448" s="6" t="s">
        <v>254</v>
      </c>
      <c r="F448" s="9">
        <f>SUBTOTAL(109,F2:F447)</f>
        <v>37975.479999999974</v>
      </c>
    </row>
  </sheetData>
  <phoneticPr fontId="3" type="noConversion"/>
  <conditionalFormatting sqref="A1:G1048576">
    <cfRule type="expression" dxfId="14" priority="1">
      <formula>(ROW()=1)+($A1="汇总")</formula>
    </cfRule>
    <cfRule type="expression" dxfId="13" priority="2">
      <formula>(ROW()&gt;1)*($A1&lt;&gt;"汇总")*(MOD(ROW(),2)=0)*($A1&lt;&gt;"")*($B1&amp;$C1&amp;$D1&amp;$E1&amp;$G1="")</formula>
    </cfRule>
    <cfRule type="expression" dxfId="12" priority="3">
      <formula>(ROW()&gt;1)*($A1&lt;&gt;"汇总")*(MOD(ROW(),2)=0)*($B1&amp;$C1&amp;$D1&amp;$E1&amp;$G1&lt;&gt;"")</formula>
    </cfRule>
    <cfRule type="expression" dxfId="11" priority="4">
      <formula>(ROW()&gt;1)*($A1&lt;&gt;"汇总")*(MOD(ROW(),2)=1)*($A1&lt;&gt;"")*($B1&amp;$C1&amp;$D1&amp;$E1&amp;$G1="")</formula>
    </cfRule>
    <cfRule type="expression" dxfId="10" priority="5">
      <formula>(ROW()&gt;1)*($A1&lt;&gt;"汇总")*(MOD(ROW(),2)=1)*($B1&amp;$C1&amp;$D1&amp;$E1&amp;$G1&lt;&gt;"")</formula>
    </cfRule>
  </conditionalFormatting>
  <printOptions horizontalCentered="1"/>
  <pageMargins left="0.59055118110236227" right="0.39370078740157483" top="0.6692913385826772" bottom="0.59055118110236227" header="0.39370078740157483" footer="0.39370078740157483"/>
  <pageSetup paperSize="9" orientation="portrait" blackAndWhite="1" r:id="rId1"/>
  <headerFooter alignWithMargins="0">
    <oddHeader>&amp;C&amp;"黑体,加粗"&amp;14&amp;A工程量计算书&amp;R&amp;10第 &amp;P 页 共 &amp;N 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zoomScaleNormal="100" workbookViewId="0">
      <pane ySplit="1" topLeftCell="A38" activePane="bottomLeft" state="frozen"/>
      <selection activeCell="A88" sqref="A88:C88"/>
      <selection pane="bottomLeft" activeCell="G67" sqref="G67"/>
    </sheetView>
  </sheetViews>
  <sheetFormatPr defaultRowHeight="14.25"/>
  <cols>
    <col min="1" max="1" width="14.625" style="6" customWidth="1"/>
    <col min="2" max="2" width="19.375" style="6" bestFit="1" customWidth="1"/>
    <col min="3" max="3" width="10.625" style="14" customWidth="1"/>
    <col min="4" max="4" width="7.625" style="14" customWidth="1"/>
    <col min="5" max="5" width="6" style="6" bestFit="1" customWidth="1"/>
    <col min="6" max="6" width="10.625" style="9" customWidth="1"/>
    <col min="7" max="7" width="10.625" style="7" customWidth="1"/>
    <col min="8" max="16384" width="9" style="8"/>
  </cols>
  <sheetData>
    <row r="1" spans="1:7">
      <c r="A1" s="6" t="s">
        <v>1</v>
      </c>
      <c r="B1" s="6" t="s">
        <v>2</v>
      </c>
      <c r="C1" s="14" t="s">
        <v>3</v>
      </c>
      <c r="D1" s="14" t="s">
        <v>4</v>
      </c>
      <c r="E1" s="6" t="s">
        <v>5</v>
      </c>
      <c r="F1" s="7" t="s">
        <v>6</v>
      </c>
      <c r="G1" s="7" t="s">
        <v>10</v>
      </c>
    </row>
    <row r="2" spans="1:7">
      <c r="A2" s="6" t="s">
        <v>72</v>
      </c>
      <c r="F2" s="9">
        <f t="shared" ref="F2:F66" si="0">ROUND(PRODUCT(C2:E2),2)</f>
        <v>0</v>
      </c>
    </row>
    <row r="3" spans="1:7" ht="28.5">
      <c r="A3" s="6" t="s">
        <v>263</v>
      </c>
      <c r="B3" s="6" t="s">
        <v>264</v>
      </c>
      <c r="C3" s="14">
        <f>0.35+0.95+0.4*4</f>
        <v>2.9</v>
      </c>
      <c r="D3" s="14">
        <f>11-1.3+0.35</f>
        <v>10.049999999999999</v>
      </c>
      <c r="E3" s="6">
        <f>2*10</f>
        <v>20</v>
      </c>
      <c r="F3" s="9">
        <f t="shared" si="0"/>
        <v>582.9</v>
      </c>
      <c r="G3" s="7" t="s">
        <v>312</v>
      </c>
    </row>
    <row r="4" spans="1:7">
      <c r="A4" s="6" t="s">
        <v>271</v>
      </c>
      <c r="B4" s="6" t="s">
        <v>273</v>
      </c>
      <c r="C4" s="14">
        <f>0.195*2</f>
        <v>0.39</v>
      </c>
      <c r="D4" s="14">
        <v>0.61399999999999999</v>
      </c>
      <c r="E4" s="6">
        <f>8*10</f>
        <v>80</v>
      </c>
      <c r="F4" s="9">
        <f t="shared" si="0"/>
        <v>19.16</v>
      </c>
      <c r="G4" s="7" t="s">
        <v>312</v>
      </c>
    </row>
    <row r="5" spans="1:7" ht="28.5">
      <c r="A5" s="6" t="s">
        <v>263</v>
      </c>
      <c r="B5" s="6" t="s">
        <v>265</v>
      </c>
      <c r="C5" s="14">
        <f>0.35*2+0.7*4</f>
        <v>3.5</v>
      </c>
      <c r="D5" s="14">
        <f>11-1.3+0.35</f>
        <v>10.049999999999999</v>
      </c>
      <c r="E5" s="6">
        <f>4*10</f>
        <v>40</v>
      </c>
      <c r="F5" s="9">
        <f t="shared" si="0"/>
        <v>1407</v>
      </c>
      <c r="G5" s="7" t="s">
        <v>312</v>
      </c>
    </row>
    <row r="6" spans="1:7" ht="28.5">
      <c r="A6" s="6" t="s">
        <v>339</v>
      </c>
      <c r="F6" s="9">
        <f t="shared" si="0"/>
        <v>0</v>
      </c>
    </row>
    <row r="7" spans="1:7">
      <c r="A7" s="6" t="s">
        <v>295</v>
      </c>
      <c r="B7" s="6" t="s">
        <v>340</v>
      </c>
      <c r="C7" s="14">
        <f>PI()*0.245</f>
        <v>0.76969020012949929</v>
      </c>
      <c r="D7" s="14">
        <v>13</v>
      </c>
      <c r="E7" s="6">
        <v>12</v>
      </c>
      <c r="F7" s="9">
        <f t="shared" si="0"/>
        <v>120.07</v>
      </c>
      <c r="G7" s="7" t="s">
        <v>295</v>
      </c>
    </row>
    <row r="8" spans="1:7">
      <c r="A8" s="6" t="s">
        <v>341</v>
      </c>
      <c r="B8" s="6" t="s">
        <v>342</v>
      </c>
      <c r="C8" s="14">
        <f>PI()*0.299</f>
        <v>0.93933620342334812</v>
      </c>
      <c r="D8" s="14">
        <v>13</v>
      </c>
      <c r="E8" s="6">
        <v>12</v>
      </c>
      <c r="F8" s="9">
        <f t="shared" si="0"/>
        <v>146.54</v>
      </c>
      <c r="G8" s="7" t="s">
        <v>313</v>
      </c>
    </row>
    <row r="9" spans="1:7">
      <c r="B9" s="6" t="s">
        <v>342</v>
      </c>
      <c r="C9" s="14">
        <f>PI()*0.299</f>
        <v>0.93933620342334812</v>
      </c>
      <c r="D9" s="14">
        <f>(13^2+10.8^2)^0.5</f>
        <v>16.900887550658396</v>
      </c>
      <c r="E9" s="6">
        <v>24</v>
      </c>
      <c r="F9" s="9">
        <f t="shared" ref="F9:F13" si="1">ROUND(PRODUCT(C9:E9),2)</f>
        <v>381.01</v>
      </c>
      <c r="G9" s="7" t="s">
        <v>313</v>
      </c>
    </row>
    <row r="10" spans="1:7">
      <c r="A10" s="6" t="s">
        <v>300</v>
      </c>
      <c r="B10" s="6" t="s">
        <v>343</v>
      </c>
      <c r="C10" s="14">
        <f>PI()*0.245</f>
        <v>0.76969020012949929</v>
      </c>
      <c r="D10" s="14">
        <v>13</v>
      </c>
      <c r="E10" s="6">
        <v>12</v>
      </c>
      <c r="F10" s="9">
        <f t="shared" si="1"/>
        <v>120.07</v>
      </c>
      <c r="G10" s="7" t="s">
        <v>313</v>
      </c>
    </row>
    <row r="11" spans="1:7">
      <c r="C11" s="14">
        <f>PI()*0.245</f>
        <v>0.76969020012949929</v>
      </c>
      <c r="D11" s="14">
        <f>(2.15^2+6.95^2)^0.5</f>
        <v>7.2749570445467242</v>
      </c>
      <c r="E11" s="6">
        <v>12</v>
      </c>
      <c r="F11" s="9">
        <f t="shared" si="1"/>
        <v>67.19</v>
      </c>
      <c r="G11" s="7" t="s">
        <v>313</v>
      </c>
    </row>
    <row r="12" spans="1:7">
      <c r="C12" s="14">
        <f>PI()*0.245</f>
        <v>0.76969020012949929</v>
      </c>
      <c r="D12" s="14">
        <f>(2.15^2+3.65^2)^0.5</f>
        <v>4.2361539159950263</v>
      </c>
      <c r="E12" s="6">
        <v>24</v>
      </c>
      <c r="F12" s="9">
        <f t="shared" si="1"/>
        <v>78.25</v>
      </c>
      <c r="G12" s="7" t="s">
        <v>313</v>
      </c>
    </row>
    <row r="13" spans="1:7">
      <c r="C13" s="14">
        <f>PI()*0.245</f>
        <v>0.76969020012949929</v>
      </c>
      <c r="D13" s="14">
        <f>(2.2^2+3.65^2)^0.5</f>
        <v>4.2617484674720068</v>
      </c>
      <c r="E13" s="6">
        <v>12</v>
      </c>
      <c r="F13" s="9">
        <f t="shared" si="1"/>
        <v>39.36</v>
      </c>
      <c r="G13" s="7" t="s">
        <v>313</v>
      </c>
    </row>
    <row r="14" spans="1:7">
      <c r="A14" s="6" t="s">
        <v>266</v>
      </c>
      <c r="F14" s="9">
        <f t="shared" si="0"/>
        <v>0</v>
      </c>
    </row>
    <row r="15" spans="1:7" ht="28.5">
      <c r="A15" s="6" t="s">
        <v>267</v>
      </c>
      <c r="B15" s="6" t="s">
        <v>268</v>
      </c>
      <c r="C15" s="14">
        <f>1.3+0.6+0.4*4</f>
        <v>3.5</v>
      </c>
      <c r="D15" s="14">
        <v>6.8</v>
      </c>
      <c r="E15" s="6">
        <f>2*10</f>
        <v>20</v>
      </c>
      <c r="F15" s="9">
        <f t="shared" si="0"/>
        <v>476</v>
      </c>
      <c r="G15" s="7" t="s">
        <v>266</v>
      </c>
    </row>
    <row r="16" spans="1:7" ht="28.5">
      <c r="B16" s="6" t="s">
        <v>269</v>
      </c>
      <c r="C16" s="14">
        <f>0.6+0.75+0.35*4</f>
        <v>2.75</v>
      </c>
      <c r="D16" s="14">
        <v>6.7</v>
      </c>
      <c r="E16" s="6">
        <f>4*10</f>
        <v>40</v>
      </c>
      <c r="F16" s="9">
        <f t="shared" si="0"/>
        <v>737</v>
      </c>
      <c r="G16" s="7" t="s">
        <v>266</v>
      </c>
    </row>
    <row r="17" spans="1:7">
      <c r="C17" s="14">
        <f>0.6+0.75+0.35*4</f>
        <v>2.75</v>
      </c>
      <c r="D17" s="14">
        <v>7</v>
      </c>
      <c r="E17" s="6">
        <f>6*10</f>
        <v>60</v>
      </c>
      <c r="F17" s="9">
        <f t="shared" si="0"/>
        <v>1155</v>
      </c>
      <c r="G17" s="7" t="s">
        <v>266</v>
      </c>
    </row>
    <row r="18" spans="1:7" ht="28.5">
      <c r="B18" s="6" t="s">
        <v>270</v>
      </c>
      <c r="C18" s="14">
        <f>0.6+1.35+0.43*4</f>
        <v>3.67</v>
      </c>
      <c r="D18" s="14">
        <v>6.8</v>
      </c>
      <c r="E18" s="6">
        <f>2*10</f>
        <v>20</v>
      </c>
      <c r="F18" s="9">
        <f t="shared" si="0"/>
        <v>499.12</v>
      </c>
      <c r="G18" s="7" t="s">
        <v>266</v>
      </c>
    </row>
    <row r="19" spans="1:7">
      <c r="C19" s="14">
        <f>0.6+1.35+0.43*4</f>
        <v>3.67</v>
      </c>
      <c r="D19" s="14">
        <v>8</v>
      </c>
      <c r="E19" s="6">
        <f>6*10</f>
        <v>60</v>
      </c>
      <c r="F19" s="9">
        <f t="shared" si="0"/>
        <v>1761.6</v>
      </c>
      <c r="G19" s="7" t="s">
        <v>266</v>
      </c>
    </row>
    <row r="20" spans="1:7">
      <c r="A20" s="6" t="s">
        <v>272</v>
      </c>
      <c r="B20" s="6" t="s">
        <v>274</v>
      </c>
      <c r="C20" s="14">
        <f>0.195*2</f>
        <v>0.39</v>
      </c>
      <c r="D20" s="14">
        <v>1.268</v>
      </c>
      <c r="E20" s="6">
        <f>4*10</f>
        <v>40</v>
      </c>
      <c r="F20" s="9">
        <f t="shared" si="0"/>
        <v>19.78</v>
      </c>
      <c r="G20" s="7" t="s">
        <v>266</v>
      </c>
    </row>
    <row r="21" spans="1:7">
      <c r="B21" s="6" t="s">
        <v>275</v>
      </c>
      <c r="C21" s="14">
        <f>0.21*2</f>
        <v>0.42</v>
      </c>
      <c r="D21" s="14">
        <v>1.3140000000000001</v>
      </c>
      <c r="E21" s="6">
        <f>16*10</f>
        <v>160</v>
      </c>
      <c r="F21" s="9">
        <f t="shared" si="0"/>
        <v>88.3</v>
      </c>
      <c r="G21" s="7" t="s">
        <v>266</v>
      </c>
    </row>
    <row r="22" spans="1:7">
      <c r="B22" s="6" t="s">
        <v>276</v>
      </c>
      <c r="C22" s="14">
        <f>0.4*2</f>
        <v>0.8</v>
      </c>
      <c r="D22" s="14">
        <v>0.80500000000000005</v>
      </c>
      <c r="E22" s="6">
        <f>10*10</f>
        <v>100</v>
      </c>
      <c r="F22" s="9">
        <f t="shared" si="0"/>
        <v>64.400000000000006</v>
      </c>
      <c r="G22" s="7" t="s">
        <v>266</v>
      </c>
    </row>
    <row r="23" spans="1:7">
      <c r="B23" s="6" t="s">
        <v>277</v>
      </c>
      <c r="C23" s="14">
        <f>0.35*2</f>
        <v>0.7</v>
      </c>
      <c r="D23" s="14">
        <v>0.93500000000000005</v>
      </c>
      <c r="E23" s="6">
        <f>5*10</f>
        <v>50</v>
      </c>
      <c r="F23" s="9">
        <f t="shared" si="0"/>
        <v>32.729999999999997</v>
      </c>
      <c r="G23" s="7" t="s">
        <v>266</v>
      </c>
    </row>
    <row r="24" spans="1:7">
      <c r="A24" s="6" t="s">
        <v>271</v>
      </c>
      <c r="B24" s="6" t="s">
        <v>278</v>
      </c>
      <c r="C24" s="14">
        <f>0.171*2</f>
        <v>0.34200000000000003</v>
      </c>
      <c r="D24" s="14">
        <v>0.56799999999999995</v>
      </c>
      <c r="E24" s="6">
        <f>40*10</f>
        <v>400</v>
      </c>
      <c r="F24" s="9">
        <f t="shared" si="0"/>
        <v>77.7</v>
      </c>
      <c r="G24" s="7" t="s">
        <v>266</v>
      </c>
    </row>
    <row r="25" spans="1:7">
      <c r="A25" s="6" t="s">
        <v>284</v>
      </c>
      <c r="F25" s="9">
        <f t="shared" si="0"/>
        <v>0</v>
      </c>
    </row>
    <row r="26" spans="1:7" ht="28.5">
      <c r="A26" s="6" t="s">
        <v>285</v>
      </c>
      <c r="B26" s="6" t="s">
        <v>286</v>
      </c>
      <c r="C26" s="14">
        <f>0.25*2+0.15*4</f>
        <v>1.1000000000000001</v>
      </c>
      <c r="D26" s="14">
        <v>2.1</v>
      </c>
      <c r="E26" s="6">
        <f>2*10</f>
        <v>20</v>
      </c>
      <c r="F26" s="9">
        <f t="shared" si="0"/>
        <v>46.2</v>
      </c>
      <c r="G26" s="7" t="s">
        <v>312</v>
      </c>
    </row>
    <row r="27" spans="1:7">
      <c r="C27" s="14">
        <f>0.25*2+0.15*4</f>
        <v>1.1000000000000001</v>
      </c>
      <c r="D27" s="14">
        <v>2.1</v>
      </c>
      <c r="E27" s="6">
        <f>17*2</f>
        <v>34</v>
      </c>
      <c r="F27" s="9">
        <f t="shared" si="0"/>
        <v>78.540000000000006</v>
      </c>
      <c r="G27" s="7" t="s">
        <v>312</v>
      </c>
    </row>
    <row r="28" spans="1:7">
      <c r="A28" s="6" t="s">
        <v>287</v>
      </c>
      <c r="F28" s="9">
        <f t="shared" si="0"/>
        <v>0</v>
      </c>
    </row>
    <row r="29" spans="1:7">
      <c r="A29" s="6" t="s">
        <v>288</v>
      </c>
      <c r="B29" s="6" t="s">
        <v>289</v>
      </c>
      <c r="C29" s="14">
        <f>0.2*2+0.1*4</f>
        <v>0.8</v>
      </c>
      <c r="D29" s="14">
        <v>1.8</v>
      </c>
      <c r="E29" s="6">
        <f>10*8</f>
        <v>80</v>
      </c>
      <c r="F29" s="9">
        <f t="shared" si="0"/>
        <v>115.2</v>
      </c>
      <c r="G29" s="7" t="s">
        <v>312</v>
      </c>
    </row>
    <row r="30" spans="1:7">
      <c r="A30" s="6" t="s">
        <v>300</v>
      </c>
      <c r="B30" s="6" t="s">
        <v>301</v>
      </c>
      <c r="C30" s="14">
        <f>PI()*0.022</f>
        <v>6.9115038378975438E-2</v>
      </c>
      <c r="D30" s="14">
        <f>(13^2+1.6^2)^0.5</f>
        <v>13.098091464026353</v>
      </c>
      <c r="E30" s="6">
        <v>12</v>
      </c>
      <c r="F30" s="9">
        <f t="shared" si="0"/>
        <v>10.86</v>
      </c>
      <c r="G30" s="7" t="s">
        <v>313</v>
      </c>
    </row>
    <row r="31" spans="1:7">
      <c r="A31" s="6" t="s">
        <v>290</v>
      </c>
      <c r="B31" s="6" t="s">
        <v>289</v>
      </c>
      <c r="C31" s="14">
        <f>0.2*2+0.1*4</f>
        <v>0.8</v>
      </c>
      <c r="D31" s="14">
        <v>1.5</v>
      </c>
      <c r="E31" s="6">
        <f>10*8</f>
        <v>80</v>
      </c>
      <c r="F31" s="9">
        <f t="shared" si="0"/>
        <v>96</v>
      </c>
      <c r="G31" s="7" t="s">
        <v>266</v>
      </c>
    </row>
    <row r="32" spans="1:7">
      <c r="A32" s="6" t="s">
        <v>296</v>
      </c>
      <c r="B32" s="6" t="s">
        <v>297</v>
      </c>
      <c r="C32" s="14">
        <f>PI()*0.194</f>
        <v>0.60946897479641993</v>
      </c>
      <c r="D32" s="14">
        <v>13</v>
      </c>
      <c r="E32" s="6">
        <v>105</v>
      </c>
      <c r="F32" s="9">
        <f t="shared" si="0"/>
        <v>831.93</v>
      </c>
      <c r="G32" s="7" t="s">
        <v>295</v>
      </c>
    </row>
    <row r="33" spans="1:7">
      <c r="A33" s="6" t="s">
        <v>298</v>
      </c>
      <c r="B33" s="6" t="s">
        <v>299</v>
      </c>
      <c r="C33" s="14">
        <f>PI()*0.025</f>
        <v>7.8539816339744828E-2</v>
      </c>
      <c r="D33" s="14">
        <f>(13^2+1.5^2)^0.5</f>
        <v>13.0862523283024</v>
      </c>
      <c r="E33" s="6">
        <f>12*5</f>
        <v>60</v>
      </c>
      <c r="F33" s="9">
        <f t="shared" si="0"/>
        <v>61.67</v>
      </c>
      <c r="G33" s="7" t="s">
        <v>314</v>
      </c>
    </row>
    <row r="34" spans="1:7">
      <c r="A34" s="6" t="s">
        <v>302</v>
      </c>
      <c r="B34" s="6" t="s">
        <v>303</v>
      </c>
      <c r="C34" s="14">
        <f>0.3*2+0.08*4+0.02*4</f>
        <v>0.99999999999999989</v>
      </c>
      <c r="D34" s="14">
        <v>91</v>
      </c>
      <c r="E34" s="6">
        <v>4</v>
      </c>
      <c r="F34" s="9">
        <f t="shared" si="0"/>
        <v>364</v>
      </c>
      <c r="G34" s="7" t="s">
        <v>315</v>
      </c>
    </row>
    <row r="35" spans="1:7">
      <c r="A35" s="6" t="s">
        <v>304</v>
      </c>
      <c r="B35" s="6" t="s">
        <v>305</v>
      </c>
      <c r="C35" s="14">
        <f>0.18*2+0.07*4+0.02*4</f>
        <v>0.72</v>
      </c>
      <c r="D35" s="14">
        <v>3</v>
      </c>
      <c r="E35" s="6">
        <v>4</v>
      </c>
      <c r="F35" s="9">
        <f t="shared" si="0"/>
        <v>8.64</v>
      </c>
      <c r="G35" s="7" t="s">
        <v>315</v>
      </c>
    </row>
    <row r="36" spans="1:7" ht="28.5">
      <c r="A36" s="6" t="s">
        <v>306</v>
      </c>
      <c r="B36" s="6" t="s">
        <v>307</v>
      </c>
      <c r="C36" s="14">
        <f>0.3*2+0.15*4</f>
        <v>1.2</v>
      </c>
      <c r="D36" s="14">
        <v>91</v>
      </c>
      <c r="E36" s="6">
        <v>20</v>
      </c>
      <c r="F36" s="9">
        <f t="shared" si="0"/>
        <v>2184</v>
      </c>
      <c r="G36" s="7" t="s">
        <v>315</v>
      </c>
    </row>
    <row r="37" spans="1:7">
      <c r="A37" s="6" t="s">
        <v>309</v>
      </c>
      <c r="B37" s="6" t="s">
        <v>310</v>
      </c>
      <c r="C37" s="14">
        <f>PI()*0.012</f>
        <v>3.7699111843077518E-2</v>
      </c>
      <c r="D37" s="14">
        <f>(2.5^2+1.15^2)^0.5</f>
        <v>2.7518175811634027</v>
      </c>
      <c r="E37" s="6">
        <f>8*7*6</f>
        <v>336</v>
      </c>
      <c r="F37" s="9">
        <f t="shared" si="0"/>
        <v>34.86</v>
      </c>
      <c r="G37" s="7" t="s">
        <v>316</v>
      </c>
    </row>
    <row r="38" spans="1:7">
      <c r="A38" s="6" t="s">
        <v>308</v>
      </c>
      <c r="B38" s="6" t="s">
        <v>311</v>
      </c>
      <c r="C38" s="14">
        <f>PI()*0.03</f>
        <v>9.4247779607693788E-2</v>
      </c>
      <c r="D38" s="14">
        <v>1.1499999999999999</v>
      </c>
      <c r="E38" s="6">
        <f>8*7*6</f>
        <v>336</v>
      </c>
      <c r="F38" s="9">
        <f t="shared" si="0"/>
        <v>36.42</v>
      </c>
      <c r="G38" s="7" t="s">
        <v>317</v>
      </c>
    </row>
    <row r="39" spans="1:7">
      <c r="C39" s="14">
        <f>PI()*0.03</f>
        <v>9.4247779607693788E-2</v>
      </c>
      <c r="D39" s="14">
        <v>0.4</v>
      </c>
      <c r="E39" s="6">
        <f>4*7*5</f>
        <v>140</v>
      </c>
      <c r="F39" s="9">
        <f t="shared" si="0"/>
        <v>5.28</v>
      </c>
      <c r="G39" s="7" t="s">
        <v>317</v>
      </c>
    </row>
    <row r="40" spans="1:7">
      <c r="A40" s="6" t="s">
        <v>291</v>
      </c>
      <c r="F40" s="9">
        <f t="shared" si="0"/>
        <v>0</v>
      </c>
    </row>
    <row r="41" spans="1:7" ht="28.5">
      <c r="A41" s="6" t="s">
        <v>290</v>
      </c>
      <c r="B41" s="6" t="s">
        <v>292</v>
      </c>
      <c r="C41" s="14">
        <f>0.3+0.6+0.28*4</f>
        <v>2.02</v>
      </c>
      <c r="D41" s="14">
        <v>8.3000000000000007</v>
      </c>
      <c r="E41" s="6">
        <f>2*10</f>
        <v>20</v>
      </c>
      <c r="F41" s="9">
        <f t="shared" si="0"/>
        <v>335.32</v>
      </c>
      <c r="G41" s="7" t="s">
        <v>266</v>
      </c>
    </row>
    <row r="42" spans="1:7">
      <c r="C42" s="14">
        <f>0.3+0.6+0.28*4</f>
        <v>2.02</v>
      </c>
      <c r="D42" s="14">
        <v>8.5500000000000007</v>
      </c>
      <c r="E42" s="6">
        <v>19</v>
      </c>
      <c r="F42" s="9">
        <f t="shared" si="0"/>
        <v>328.15</v>
      </c>
      <c r="G42" s="7" t="s">
        <v>266</v>
      </c>
    </row>
    <row r="43" spans="1:7">
      <c r="C43" s="14">
        <f>0.3+0.6+0.28*4</f>
        <v>2.02</v>
      </c>
      <c r="D43" s="14">
        <v>1.8</v>
      </c>
      <c r="E43" s="6">
        <v>10</v>
      </c>
      <c r="F43" s="9">
        <f t="shared" si="0"/>
        <v>36.36</v>
      </c>
      <c r="G43" s="7" t="s">
        <v>266</v>
      </c>
    </row>
    <row r="44" spans="1:7">
      <c r="A44" s="6" t="s">
        <v>293</v>
      </c>
      <c r="B44" s="6" t="s">
        <v>294</v>
      </c>
      <c r="C44" s="14">
        <f>PI()*0.165</f>
        <v>0.51836278784231593</v>
      </c>
      <c r="D44" s="14">
        <f>(5.3^2+3.55^2)^0.5</f>
        <v>6.3790673299472234</v>
      </c>
      <c r="E44" s="6">
        <f>2*10</f>
        <v>20</v>
      </c>
      <c r="F44" s="9">
        <f t="shared" si="0"/>
        <v>66.13</v>
      </c>
      <c r="G44" s="7" t="s">
        <v>266</v>
      </c>
    </row>
    <row r="45" spans="1:7">
      <c r="C45" s="14">
        <f>PI()*0.165</f>
        <v>0.51836278784231593</v>
      </c>
      <c r="D45" s="14">
        <f>(5.3^2+3.55^2)^0.5</f>
        <v>6.3790673299472234</v>
      </c>
      <c r="E45" s="6">
        <v>19</v>
      </c>
      <c r="F45" s="9">
        <f t="shared" si="0"/>
        <v>62.83</v>
      </c>
      <c r="G45" s="7" t="s">
        <v>266</v>
      </c>
    </row>
    <row r="46" spans="1:7">
      <c r="A46" s="6" t="s">
        <v>318</v>
      </c>
      <c r="F46" s="9">
        <f t="shared" si="0"/>
        <v>0</v>
      </c>
    </row>
    <row r="47" spans="1:7" ht="28.5">
      <c r="A47" s="6" t="s">
        <v>319</v>
      </c>
      <c r="B47" s="6" t="s">
        <v>321</v>
      </c>
      <c r="C47" s="14">
        <f>0.35+0.28+0.2*4</f>
        <v>1.4300000000000002</v>
      </c>
      <c r="D47" s="14">
        <v>1.8</v>
      </c>
      <c r="E47" s="6">
        <v>10</v>
      </c>
      <c r="F47" s="9">
        <f t="shared" si="0"/>
        <v>25.74</v>
      </c>
      <c r="G47" s="7" t="s">
        <v>266</v>
      </c>
    </row>
    <row r="48" spans="1:7">
      <c r="A48" s="6" t="s">
        <v>320</v>
      </c>
      <c r="B48" s="6" t="s">
        <v>322</v>
      </c>
      <c r="C48" s="14">
        <f>0.5*2+0.3*4</f>
        <v>2.2000000000000002</v>
      </c>
      <c r="D48" s="14">
        <v>13</v>
      </c>
      <c r="E48" s="6">
        <v>27</v>
      </c>
      <c r="F48" s="9">
        <f t="shared" si="0"/>
        <v>772.2</v>
      </c>
      <c r="G48" s="7" t="s">
        <v>295</v>
      </c>
    </row>
    <row r="49" spans="1:7">
      <c r="A49" s="6" t="s">
        <v>323</v>
      </c>
      <c r="B49" s="6" t="s">
        <v>332</v>
      </c>
      <c r="C49" s="14">
        <f>PI()*0.219</f>
        <v>0.68800879113616464</v>
      </c>
      <c r="D49" s="14">
        <v>13</v>
      </c>
      <c r="E49" s="6">
        <v>144</v>
      </c>
      <c r="F49" s="9">
        <f t="shared" si="0"/>
        <v>1287.95</v>
      </c>
      <c r="G49" s="7" t="s">
        <v>295</v>
      </c>
    </row>
    <row r="50" spans="1:7">
      <c r="C50" s="14">
        <f>PI()*0.219</f>
        <v>0.68800879113616464</v>
      </c>
      <c r="D50" s="14">
        <v>9</v>
      </c>
      <c r="E50" s="6">
        <v>6</v>
      </c>
      <c r="F50" s="9">
        <f t="shared" si="0"/>
        <v>37.15</v>
      </c>
      <c r="G50" s="7" t="s">
        <v>295</v>
      </c>
    </row>
    <row r="51" spans="1:7">
      <c r="C51" s="14">
        <f>PI()*0.219</f>
        <v>0.68800879113616464</v>
      </c>
      <c r="D51" s="14">
        <v>7.5</v>
      </c>
      <c r="E51" s="6">
        <v>12</v>
      </c>
      <c r="F51" s="9">
        <f t="shared" si="0"/>
        <v>61.92</v>
      </c>
      <c r="G51" s="7" t="s">
        <v>295</v>
      </c>
    </row>
    <row r="52" spans="1:7">
      <c r="A52" s="6" t="s">
        <v>324</v>
      </c>
      <c r="B52" s="6" t="s">
        <v>333</v>
      </c>
      <c r="C52" s="14">
        <f t="shared" ref="C52:C58" si="2">PI()*0.036</f>
        <v>0.11309733552923254</v>
      </c>
      <c r="D52" s="14">
        <f>(8.1^2+9^2)^0.5</f>
        <v>12.10826164236634</v>
      </c>
      <c r="E52" s="6">
        <v>4</v>
      </c>
      <c r="F52" s="9">
        <f t="shared" si="0"/>
        <v>5.48</v>
      </c>
      <c r="G52" s="7" t="s">
        <v>314</v>
      </c>
    </row>
    <row r="53" spans="1:7">
      <c r="C53" s="14">
        <f t="shared" si="2"/>
        <v>0.11309733552923254</v>
      </c>
      <c r="D53" s="14">
        <f>(8.1^2+7.5^2)^0.5</f>
        <v>11.039021695784459</v>
      </c>
      <c r="E53" s="6">
        <v>4</v>
      </c>
      <c r="F53" s="9">
        <f t="shared" si="0"/>
        <v>4.99</v>
      </c>
      <c r="G53" s="7" t="s">
        <v>314</v>
      </c>
    </row>
    <row r="54" spans="1:7">
      <c r="C54" s="14">
        <f t="shared" si="2"/>
        <v>0.11309733552923254</v>
      </c>
      <c r="D54" s="14">
        <f>(13^2+8.1^2)^0.5</f>
        <v>15.316984037335811</v>
      </c>
      <c r="E54" s="6">
        <v>12</v>
      </c>
      <c r="F54" s="9">
        <f t="shared" si="0"/>
        <v>20.79</v>
      </c>
      <c r="G54" s="7" t="s">
        <v>314</v>
      </c>
    </row>
    <row r="55" spans="1:7">
      <c r="C55" s="14">
        <f t="shared" si="2"/>
        <v>0.11309733552923254</v>
      </c>
      <c r="D55" s="14">
        <f>(13^2+9^2)^0.5</f>
        <v>15.811388300841896</v>
      </c>
      <c r="E55" s="6">
        <v>18</v>
      </c>
      <c r="F55" s="9">
        <f t="shared" si="0"/>
        <v>32.19</v>
      </c>
      <c r="G55" s="7" t="s">
        <v>314</v>
      </c>
    </row>
    <row r="56" spans="1:7">
      <c r="C56" s="14">
        <f t="shared" si="2"/>
        <v>0.11309733552923254</v>
      </c>
      <c r="D56" s="14">
        <f>(13^2+4.5^2)^0.5</f>
        <v>13.756816492197604</v>
      </c>
      <c r="E56" s="6">
        <v>12</v>
      </c>
      <c r="F56" s="9">
        <f t="shared" si="0"/>
        <v>18.670000000000002</v>
      </c>
      <c r="G56" s="7" t="s">
        <v>314</v>
      </c>
    </row>
    <row r="57" spans="1:7">
      <c r="C57" s="14">
        <f t="shared" si="2"/>
        <v>0.11309733552923254</v>
      </c>
      <c r="D57" s="14">
        <f>(13^2+6.75^2)^0.5</f>
        <v>14.647952075290252</v>
      </c>
      <c r="E57" s="6">
        <v>24</v>
      </c>
      <c r="F57" s="9">
        <f t="shared" si="0"/>
        <v>39.76</v>
      </c>
      <c r="G57" s="7" t="s">
        <v>314</v>
      </c>
    </row>
    <row r="58" spans="1:7">
      <c r="C58" s="14">
        <f t="shared" si="2"/>
        <v>0.11309733552923254</v>
      </c>
      <c r="D58" s="14">
        <f>(13^2+7.5^2)^0.5</f>
        <v>15.008331019803634</v>
      </c>
      <c r="E58" s="6">
        <f>6*12</f>
        <v>72</v>
      </c>
      <c r="F58" s="9">
        <f t="shared" si="0"/>
        <v>122.21</v>
      </c>
      <c r="G58" s="7" t="s">
        <v>314</v>
      </c>
    </row>
    <row r="59" spans="1:7" ht="28.5">
      <c r="A59" s="6" t="s">
        <v>325</v>
      </c>
      <c r="B59" s="6" t="s">
        <v>307</v>
      </c>
      <c r="C59" s="14">
        <f>0.3*2+0.15*4</f>
        <v>1.2</v>
      </c>
      <c r="D59" s="14">
        <v>15470</v>
      </c>
      <c r="E59" s="6">
        <v>1</v>
      </c>
      <c r="F59" s="9">
        <f t="shared" si="0"/>
        <v>18564</v>
      </c>
      <c r="G59" s="7" t="s">
        <v>315</v>
      </c>
    </row>
    <row r="60" spans="1:7">
      <c r="A60" s="6" t="s">
        <v>326</v>
      </c>
      <c r="B60" s="6" t="s">
        <v>334</v>
      </c>
      <c r="C60" s="14">
        <f>0.28*2+0.08*4+0.02*4</f>
        <v>0.96000000000000008</v>
      </c>
      <c r="D60" s="14">
        <f>54+9*9*6</f>
        <v>540</v>
      </c>
      <c r="E60" s="6">
        <v>1</v>
      </c>
      <c r="F60" s="9">
        <f t="shared" si="0"/>
        <v>518.4</v>
      </c>
      <c r="G60" s="7" t="s">
        <v>315</v>
      </c>
    </row>
    <row r="61" spans="1:7">
      <c r="A61" s="6" t="s">
        <v>327</v>
      </c>
      <c r="B61" s="6" t="s">
        <v>335</v>
      </c>
      <c r="C61" s="14">
        <f>0.28*2+0.08*4+0.02*4</f>
        <v>0.96000000000000008</v>
      </c>
      <c r="D61" s="14">
        <f>7.5*9*12</f>
        <v>810</v>
      </c>
      <c r="E61" s="6">
        <v>1</v>
      </c>
      <c r="F61" s="9">
        <f t="shared" si="0"/>
        <v>777.6</v>
      </c>
      <c r="G61" s="7" t="s">
        <v>315</v>
      </c>
    </row>
    <row r="62" spans="1:7">
      <c r="A62" s="6" t="s">
        <v>328</v>
      </c>
      <c r="B62" s="6" t="s">
        <v>310</v>
      </c>
      <c r="C62" s="14">
        <f>PI()*0.012</f>
        <v>3.7699111843077518E-2</v>
      </c>
      <c r="D62" s="14">
        <f>144+8.1*2-1*24</f>
        <v>136.19999999999999</v>
      </c>
      <c r="E62" s="6">
        <f>4*9</f>
        <v>36</v>
      </c>
      <c r="F62" s="9">
        <f t="shared" si="0"/>
        <v>184.85</v>
      </c>
      <c r="G62" s="7" t="s">
        <v>337</v>
      </c>
    </row>
    <row r="63" spans="1:7">
      <c r="C63" s="14">
        <f>PI()*0.012</f>
        <v>3.7699111843077518E-2</v>
      </c>
      <c r="D63" s="14">
        <f>0.95*4+1*2</f>
        <v>5.8</v>
      </c>
      <c r="E63" s="6">
        <f>3*6+2*12</f>
        <v>42</v>
      </c>
      <c r="F63" s="9">
        <f t="shared" si="0"/>
        <v>9.18</v>
      </c>
      <c r="G63" s="7" t="s">
        <v>337</v>
      </c>
    </row>
    <row r="64" spans="1:7">
      <c r="A64" s="6" t="s">
        <v>329</v>
      </c>
      <c r="B64" s="6" t="s">
        <v>310</v>
      </c>
      <c r="C64" s="14">
        <f>PI()*0.012</f>
        <v>3.7699111843077518E-2</v>
      </c>
      <c r="D64" s="14">
        <f>(2.5^2+1^2)^0.5</f>
        <v>2.6925824035672519</v>
      </c>
      <c r="E64" s="6">
        <f>8*9*12+8*6+4*12</f>
        <v>960</v>
      </c>
      <c r="F64" s="9">
        <f t="shared" si="0"/>
        <v>97.45</v>
      </c>
      <c r="G64" s="7" t="s">
        <v>316</v>
      </c>
    </row>
    <row r="65" spans="1:7">
      <c r="A65" s="6" t="s">
        <v>330</v>
      </c>
      <c r="B65" s="6" t="s">
        <v>311</v>
      </c>
      <c r="C65" s="14">
        <f>PI()*0.03</f>
        <v>9.4247779607693788E-2</v>
      </c>
      <c r="D65" s="14">
        <v>1</v>
      </c>
      <c r="E65" s="6">
        <f>8*9*12+6*6+4*12</f>
        <v>948</v>
      </c>
      <c r="F65" s="9">
        <f t="shared" si="0"/>
        <v>89.35</v>
      </c>
      <c r="G65" s="7" t="s">
        <v>317</v>
      </c>
    </row>
    <row r="66" spans="1:7">
      <c r="A66" s="6" t="s">
        <v>331</v>
      </c>
      <c r="B66" s="6" t="s">
        <v>336</v>
      </c>
      <c r="C66" s="14">
        <f>0.05*4</f>
        <v>0.2</v>
      </c>
      <c r="D66" s="14">
        <v>1.2</v>
      </c>
      <c r="E66" s="6">
        <v>1534</v>
      </c>
      <c r="F66" s="9">
        <f t="shared" si="0"/>
        <v>368.16</v>
      </c>
      <c r="G66" s="7" t="s">
        <v>338</v>
      </c>
    </row>
    <row r="67" spans="1:7">
      <c r="A67" s="6" t="s">
        <v>344</v>
      </c>
      <c r="F67" s="9">
        <f>SUBTOTAL(109,F2:F66)</f>
        <v>35613.61</v>
      </c>
    </row>
  </sheetData>
  <phoneticPr fontId="3" type="noConversion"/>
  <conditionalFormatting sqref="A1:G1048576">
    <cfRule type="expression" dxfId="9" priority="1">
      <formula>(ROW()=1)+($A1="汇总")</formula>
    </cfRule>
    <cfRule type="expression" dxfId="8" priority="2">
      <formula>(ROW()&gt;1)*($A1&lt;&gt;"汇总")*(MOD(ROW(),2)=0)*($A1&lt;&gt;"")*($B1&amp;$C1&amp;$D1&amp;$E1&amp;$G1="")</formula>
    </cfRule>
    <cfRule type="expression" dxfId="7" priority="3">
      <formula>(ROW()&gt;1)*($A1&lt;&gt;"汇总")*(MOD(ROW(),2)=0)*($B1&amp;$C1&amp;$D1&amp;$E1&amp;$G1&lt;&gt;"")</formula>
    </cfRule>
    <cfRule type="expression" dxfId="6" priority="4">
      <formula>(ROW()&gt;1)*($A1&lt;&gt;"汇总")*(MOD(ROW(),2)=1)*($A1&lt;&gt;"")*($B1&amp;$C1&amp;$D1&amp;$E1&amp;$G1="")</formula>
    </cfRule>
    <cfRule type="expression" dxfId="5" priority="5">
      <formula>(ROW()&gt;1)*($A1&lt;&gt;"汇总")*(MOD(ROW(),2)=1)*($B1&amp;$C1&amp;$D1&amp;$E1&amp;$G1&lt;&gt;"")</formula>
    </cfRule>
  </conditionalFormatting>
  <printOptions horizontalCentered="1"/>
  <pageMargins left="0.59055118110236227" right="0.39370078740157483" top="0.6692913385826772" bottom="0.59055118110236227" header="0.39370078740157483" footer="0.39370078740157483"/>
  <pageSetup paperSize="9" orientation="portrait" blackAndWhite="1" r:id="rId1"/>
  <headerFooter alignWithMargins="0">
    <oddHeader>&amp;C&amp;"黑体,加粗"&amp;14&amp;A工程量计算书&amp;R&amp;10第 &amp;P 页 共 &amp;N 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zoomScaleNormal="100" workbookViewId="0">
      <pane ySplit="1" topLeftCell="A2" activePane="bottomLeft" state="frozen"/>
      <selection activeCell="A88" sqref="A88:C88"/>
      <selection pane="bottomLeft" activeCell="G16" sqref="G16"/>
    </sheetView>
  </sheetViews>
  <sheetFormatPr defaultRowHeight="14.25"/>
  <cols>
    <col min="1" max="1" width="14.625" style="6" customWidth="1"/>
    <col min="2" max="2" width="19.375" style="6" bestFit="1" customWidth="1"/>
    <col min="3" max="3" width="10.625" style="14" customWidth="1"/>
    <col min="4" max="4" width="7.625" style="14" customWidth="1"/>
    <col min="5" max="5" width="6" style="6" bestFit="1" customWidth="1"/>
    <col min="6" max="6" width="10.625" style="9" customWidth="1"/>
    <col min="7" max="7" width="10.625" style="7" customWidth="1"/>
    <col min="8" max="16384" width="9" style="8"/>
  </cols>
  <sheetData>
    <row r="1" spans="1:7">
      <c r="A1" s="6" t="s">
        <v>1</v>
      </c>
      <c r="B1" s="6" t="s">
        <v>2</v>
      </c>
      <c r="C1" s="14" t="s">
        <v>3</v>
      </c>
      <c r="D1" s="14" t="s">
        <v>4</v>
      </c>
      <c r="E1" s="6" t="s">
        <v>5</v>
      </c>
      <c r="F1" s="7" t="s">
        <v>6</v>
      </c>
      <c r="G1" s="7" t="s">
        <v>10</v>
      </c>
    </row>
    <row r="2" spans="1:7">
      <c r="A2" s="6" t="s">
        <v>346</v>
      </c>
      <c r="F2" s="9">
        <f t="shared" ref="F2:F15" si="0">ROUND(PRODUCT(C2:E2),2)</f>
        <v>0</v>
      </c>
    </row>
    <row r="3" spans="1:7">
      <c r="A3" s="6" t="s">
        <v>347</v>
      </c>
      <c r="B3" s="6" t="s">
        <v>348</v>
      </c>
      <c r="C3" s="14">
        <f>0.35*2</f>
        <v>0.7</v>
      </c>
      <c r="D3" s="14">
        <v>8.9659999999999993</v>
      </c>
      <c r="E3" s="6">
        <f>1*4</f>
        <v>4</v>
      </c>
      <c r="F3" s="9">
        <f t="shared" si="0"/>
        <v>25.1</v>
      </c>
      <c r="G3" s="7" t="s">
        <v>346</v>
      </c>
    </row>
    <row r="4" spans="1:7">
      <c r="B4" s="6" t="s">
        <v>349</v>
      </c>
      <c r="C4" s="14">
        <f>0.22*2</f>
        <v>0.44</v>
      </c>
      <c r="D4" s="14">
        <v>8.9659999999999993</v>
      </c>
      <c r="E4" s="6">
        <f>1*4</f>
        <v>4</v>
      </c>
      <c r="F4" s="9">
        <f t="shared" si="0"/>
        <v>15.78</v>
      </c>
      <c r="G4" s="7" t="s">
        <v>346</v>
      </c>
    </row>
    <row r="5" spans="1:7">
      <c r="B5" s="6" t="s">
        <v>350</v>
      </c>
      <c r="C5" s="14">
        <f>0.572*2</f>
        <v>1.1439999999999999</v>
      </c>
      <c r="D5" s="14">
        <v>8.9659999999999993</v>
      </c>
      <c r="E5" s="6">
        <f>1*4</f>
        <v>4</v>
      </c>
      <c r="F5" s="9">
        <f t="shared" si="0"/>
        <v>41.03</v>
      </c>
      <c r="G5" s="7" t="s">
        <v>346</v>
      </c>
    </row>
    <row r="6" spans="1:7">
      <c r="B6" s="6" t="s">
        <v>351</v>
      </c>
      <c r="C6" s="14">
        <f>0.22*2</f>
        <v>0.44</v>
      </c>
      <c r="D6" s="14">
        <v>0.61199999999999999</v>
      </c>
      <c r="E6" s="6">
        <f>2*4</f>
        <v>8</v>
      </c>
      <c r="F6" s="9">
        <f t="shared" si="0"/>
        <v>2.15</v>
      </c>
      <c r="G6" s="7" t="s">
        <v>346</v>
      </c>
    </row>
    <row r="7" spans="1:7">
      <c r="B7" s="6" t="s">
        <v>352</v>
      </c>
      <c r="C7" s="14">
        <f>0.09*2</f>
        <v>0.18</v>
      </c>
      <c r="D7" s="14">
        <v>0.52</v>
      </c>
      <c r="E7" s="6">
        <f>16*4</f>
        <v>64</v>
      </c>
      <c r="F7" s="9">
        <f t="shared" si="0"/>
        <v>5.99</v>
      </c>
      <c r="G7" s="7" t="s">
        <v>346</v>
      </c>
    </row>
    <row r="8" spans="1:7">
      <c r="A8" s="6" t="s">
        <v>353</v>
      </c>
      <c r="B8" s="6" t="s">
        <v>351</v>
      </c>
      <c r="C8" s="14">
        <f>0.22*2</f>
        <v>0.44</v>
      </c>
      <c r="D8" s="14">
        <v>0.61199999999999999</v>
      </c>
      <c r="E8" s="6">
        <f>1*4</f>
        <v>4</v>
      </c>
      <c r="F8" s="9">
        <f t="shared" si="0"/>
        <v>1.08</v>
      </c>
      <c r="G8" s="7" t="s">
        <v>346</v>
      </c>
    </row>
    <row r="9" spans="1:7">
      <c r="B9" s="6" t="s">
        <v>352</v>
      </c>
      <c r="C9" s="14">
        <f>0.09*2</f>
        <v>0.18</v>
      </c>
      <c r="D9" s="14">
        <v>0.52</v>
      </c>
      <c r="E9" s="6">
        <f>16*4</f>
        <v>64</v>
      </c>
      <c r="F9" s="9">
        <f t="shared" si="0"/>
        <v>5.99</v>
      </c>
      <c r="G9" s="7" t="s">
        <v>346</v>
      </c>
    </row>
    <row r="10" spans="1:7">
      <c r="B10" s="6" t="s">
        <v>348</v>
      </c>
      <c r="C10" s="14">
        <f>0.35*2</f>
        <v>0.7</v>
      </c>
      <c r="D10" s="14">
        <v>8.9779999999999998</v>
      </c>
      <c r="E10" s="6">
        <f>1*4</f>
        <v>4</v>
      </c>
      <c r="F10" s="9">
        <f t="shared" si="0"/>
        <v>25.14</v>
      </c>
      <c r="G10" s="7" t="s">
        <v>346</v>
      </c>
    </row>
    <row r="11" spans="1:7">
      <c r="B11" s="6" t="s">
        <v>349</v>
      </c>
      <c r="C11" s="14">
        <f>0.2282</f>
        <v>0.22819999999999999</v>
      </c>
      <c r="D11" s="14">
        <v>8.9779999999999998</v>
      </c>
      <c r="E11" s="6">
        <f>1*4</f>
        <v>4</v>
      </c>
      <c r="F11" s="9">
        <f t="shared" si="0"/>
        <v>8.1999999999999993</v>
      </c>
      <c r="G11" s="7" t="s">
        <v>356</v>
      </c>
    </row>
    <row r="12" spans="1:7">
      <c r="B12" s="6" t="s">
        <v>350</v>
      </c>
      <c r="C12" s="14">
        <f>0.572*2</f>
        <v>1.1439999999999999</v>
      </c>
      <c r="D12" s="14">
        <v>8.9779999999999998</v>
      </c>
      <c r="E12" s="6">
        <f>1*4</f>
        <v>4</v>
      </c>
      <c r="F12" s="9">
        <f t="shared" si="0"/>
        <v>41.08</v>
      </c>
      <c r="G12" s="7" t="s">
        <v>356</v>
      </c>
    </row>
    <row r="13" spans="1:7">
      <c r="B13" s="6" t="s">
        <v>354</v>
      </c>
      <c r="C13" s="14">
        <f>0.1*2</f>
        <v>0.2</v>
      </c>
      <c r="D13" s="14">
        <v>0.57199999999999995</v>
      </c>
      <c r="E13" s="6">
        <f>2*4</f>
        <v>8</v>
      </c>
      <c r="F13" s="9">
        <f t="shared" si="0"/>
        <v>0.92</v>
      </c>
      <c r="G13" s="7" t="s">
        <v>356</v>
      </c>
    </row>
    <row r="14" spans="1:7">
      <c r="B14" s="6" t="s">
        <v>354</v>
      </c>
      <c r="C14" s="14">
        <f>0.1*2</f>
        <v>0.2</v>
      </c>
      <c r="D14" s="14">
        <v>0.52</v>
      </c>
      <c r="E14" s="6">
        <f>2*4</f>
        <v>8</v>
      </c>
      <c r="F14" s="9">
        <f t="shared" si="0"/>
        <v>0.83</v>
      </c>
      <c r="G14" s="7" t="s">
        <v>357</v>
      </c>
    </row>
    <row r="15" spans="1:7">
      <c r="B15" s="6" t="s">
        <v>355</v>
      </c>
      <c r="C15" s="14">
        <f>0.09*2</f>
        <v>0.18</v>
      </c>
      <c r="D15" s="14">
        <v>0.26</v>
      </c>
      <c r="E15" s="6">
        <f>1*4</f>
        <v>4</v>
      </c>
      <c r="F15" s="9">
        <f t="shared" si="0"/>
        <v>0.19</v>
      </c>
      <c r="G15" s="7" t="s">
        <v>358</v>
      </c>
    </row>
    <row r="16" spans="1:7">
      <c r="A16" s="6" t="s">
        <v>344</v>
      </c>
      <c r="F16" s="9">
        <f>SUBTOTAL(109,F2:F15)</f>
        <v>173.47999999999996</v>
      </c>
    </row>
  </sheetData>
  <phoneticPr fontId="3" type="noConversion"/>
  <conditionalFormatting sqref="A1:G1048576">
    <cfRule type="expression" dxfId="4" priority="1">
      <formula>(ROW()=1)+($A1="汇总")</formula>
    </cfRule>
    <cfRule type="expression" dxfId="3" priority="2">
      <formula>(ROW()&gt;1)*($A1&lt;&gt;"汇总")*(MOD(ROW(),2)=0)*($A1&lt;&gt;"")*($B1&amp;$C1&amp;$D1&amp;$E1&amp;$G1="")</formula>
    </cfRule>
    <cfRule type="expression" dxfId="2" priority="3">
      <formula>(ROW()&gt;1)*($A1&lt;&gt;"汇总")*(MOD(ROW(),2)=0)*($B1&amp;$C1&amp;$D1&amp;$E1&amp;$G1&lt;&gt;"")</formula>
    </cfRule>
    <cfRule type="expression" dxfId="1" priority="4">
      <formula>(ROW()&gt;1)*($A1&lt;&gt;"汇总")*(MOD(ROW(),2)=1)*($A1&lt;&gt;"")*($B1&amp;$C1&amp;$D1&amp;$E1&amp;$G1="")</formula>
    </cfRule>
    <cfRule type="expression" dxfId="0" priority="5">
      <formula>(ROW()&gt;1)*($A1&lt;&gt;"汇总")*(MOD(ROW(),2)=1)*($B1&amp;$C1&amp;$D1&amp;$E1&amp;$G1&lt;&gt;"")</formula>
    </cfRule>
  </conditionalFormatting>
  <printOptions horizontalCentered="1"/>
  <pageMargins left="0.59055118110236227" right="0.39370078740157483" top="0.6692913385826772" bottom="0.59055118110236227" header="0.39370078740157483" footer="0.39370078740157483"/>
  <pageSetup paperSize="9" orientation="portrait" blackAndWhite="1" r:id="rId1"/>
  <headerFooter alignWithMargins="0">
    <oddHeader>&amp;C&amp;"黑体,加粗"&amp;14&amp;A工程量计算书&amp;R&amp;10第 &amp;P 页 共 &amp;N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汇总</vt:lpstr>
      <vt:lpstr>1#厂房</vt:lpstr>
      <vt:lpstr>2#厂房</vt:lpstr>
      <vt:lpstr>3#厂房</vt:lpstr>
      <vt:lpstr>'1#厂房'!Print_Titles</vt:lpstr>
      <vt:lpstr>'2#厂房'!Print_Titles</vt:lpstr>
      <vt:lpstr>'3#厂房'!Print_Titles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Thinker</dc:creator>
  <cp:lastModifiedBy>黄永兴</cp:lastModifiedBy>
  <cp:lastPrinted>2022-04-18T05:22:04Z</cp:lastPrinted>
  <dcterms:created xsi:type="dcterms:W3CDTF">2018-03-18T02:36:29Z</dcterms:created>
  <dcterms:modified xsi:type="dcterms:W3CDTF">2022-05-04T12:36:19Z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