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SteelStructureCalculationTool\SteelStructureCalculationTool\Resources\"/>
    </mc:Choice>
  </mc:AlternateContent>
  <bookViews>
    <workbookView xWindow="-120" yWindow="-120" windowWidth="38640" windowHeight="21120" tabRatio="888"/>
  </bookViews>
  <sheets>
    <sheet name="汇总" sheetId="4" r:id="rId1"/>
    <sheet name="消防水站" sheetId="46" r:id="rId2"/>
    <sheet name="甲类仓库C1" sheetId="50" r:id="rId3"/>
    <sheet name="甲类仓库C2" sheetId="51" r:id="rId4"/>
    <sheet name="丙类仓库D1" sheetId="52" r:id="rId5"/>
    <sheet name="丙类仓库D2" sheetId="53" r:id="rId6"/>
    <sheet name="危废库" sheetId="54" r:id="rId7"/>
    <sheet name="酸碱类泵棚" sheetId="55" r:id="rId8"/>
    <sheet name="甲乙类泵棚" sheetId="56" r:id="rId9"/>
    <sheet name="罐区管架" sheetId="57" r:id="rId10"/>
    <sheet name="胶粘剂厂房" sheetId="58" r:id="rId11"/>
    <sheet name="军用助剂厂房" sheetId="59" r:id="rId12"/>
    <sheet name="卸车泵棚" sheetId="60" r:id="rId13"/>
    <sheet name="卸车台" sheetId="61" r:id="rId14"/>
    <sheet name="阻燃剂厂房" sheetId="62" r:id="rId15"/>
    <sheet name="管廊" sheetId="63" r:id="rId16"/>
  </sheets>
  <definedNames>
    <definedName name="_xlnm.Print_Titles" localSheetId="4">丙类仓库D1!$1:$1</definedName>
    <definedName name="_xlnm.Print_Titles" localSheetId="5">丙类仓库D2!$1:$1</definedName>
    <definedName name="_xlnm.Print_Titles" localSheetId="15">管廊!$1:$1</definedName>
    <definedName name="_xlnm.Print_Titles" localSheetId="9">罐区管架!$1:$1</definedName>
    <definedName name="_xlnm.Print_Titles" localSheetId="2">甲类仓库C1!$1:$1</definedName>
    <definedName name="_xlnm.Print_Titles" localSheetId="3">甲类仓库C2!$1:$1</definedName>
    <definedName name="_xlnm.Print_Titles" localSheetId="8">甲乙类泵棚!$1:$1</definedName>
    <definedName name="_xlnm.Print_Titles" localSheetId="10">胶粘剂厂房!$1:$1</definedName>
    <definedName name="_xlnm.Print_Titles" localSheetId="11">军用助剂厂房!$1:$1</definedName>
    <definedName name="_xlnm.Print_Titles" localSheetId="7">酸碱类泵棚!$1:$1</definedName>
    <definedName name="_xlnm.Print_Titles" localSheetId="6">危废库!$1:$1</definedName>
    <definedName name="_xlnm.Print_Titles" localSheetId="1">消防水站!$1:$1</definedName>
    <definedName name="_xlnm.Print_Titles" localSheetId="12">卸车泵棚!$1:$1</definedName>
    <definedName name="_xlnm.Print_Titles" localSheetId="13">卸车台!$1:$1</definedName>
    <definedName name="_xlnm.Print_Titles" localSheetId="14">阻燃剂厂房!$1:$1</definedName>
  </definedNames>
  <calcPr calcId="152511"/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3" i="4"/>
  <c r="L9" i="4"/>
  <c r="L3" i="4"/>
  <c r="L4" i="4"/>
  <c r="L5" i="4"/>
  <c r="L6" i="4"/>
  <c r="L7" i="4"/>
  <c r="L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4"/>
  <c r="D4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G456" i="63"/>
  <c r="G457" i="63"/>
  <c r="G222" i="63"/>
  <c r="G223" i="63"/>
  <c r="G119" i="63"/>
  <c r="G120" i="63"/>
  <c r="G121" i="63"/>
  <c r="G435" i="63"/>
  <c r="G426" i="63"/>
  <c r="G608" i="63"/>
  <c r="G613" i="63"/>
  <c r="G618" i="63"/>
  <c r="G603" i="63"/>
  <c r="G606" i="63"/>
  <c r="G611" i="63"/>
  <c r="G616" i="63"/>
  <c r="G601" i="63"/>
  <c r="G221" i="63"/>
  <c r="G455" i="63"/>
  <c r="G516" i="63"/>
  <c r="G118" i="63"/>
  <c r="H127" i="62"/>
  <c r="G50" i="62"/>
  <c r="H50" i="62" s="1"/>
  <c r="G107" i="62"/>
  <c r="G64" i="62"/>
  <c r="H64" i="62" s="1"/>
  <c r="G86" i="62"/>
  <c r="G9" i="62"/>
  <c r="H9" i="62" s="1"/>
  <c r="G18" i="62"/>
  <c r="G27" i="62"/>
  <c r="G8" i="62"/>
  <c r="H8" i="62" s="1"/>
  <c r="G17" i="62"/>
  <c r="H17" i="62" s="1"/>
  <c r="G26" i="62"/>
  <c r="G10" i="62"/>
  <c r="H10" i="62" s="1"/>
  <c r="G19" i="62"/>
  <c r="H19" i="62" s="1"/>
  <c r="G28" i="62"/>
  <c r="H28" i="62" s="1"/>
  <c r="G3" i="62"/>
  <c r="G12" i="62"/>
  <c r="H12" i="62" s="1"/>
  <c r="G21" i="62"/>
  <c r="G124" i="62"/>
  <c r="H124" i="62" s="1"/>
  <c r="G4" i="62"/>
  <c r="G13" i="62"/>
  <c r="H13" i="62" s="1"/>
  <c r="G22" i="62"/>
  <c r="G5" i="62"/>
  <c r="H5" i="62" s="1"/>
  <c r="G14" i="62"/>
  <c r="G23" i="62"/>
  <c r="H23" i="62" s="1"/>
  <c r="G6" i="62"/>
  <c r="G15" i="62"/>
  <c r="H15" i="62" s="1"/>
  <c r="G24" i="62"/>
  <c r="G7" i="62"/>
  <c r="H7" i="62" s="1"/>
  <c r="G16" i="62"/>
  <c r="H16" i="62" s="1"/>
  <c r="G25" i="62"/>
  <c r="H25" i="62" s="1"/>
  <c r="G40" i="62"/>
  <c r="G62" i="62"/>
  <c r="G122" i="62"/>
  <c r="H27" i="60"/>
  <c r="H3" i="63"/>
  <c r="H12" i="63"/>
  <c r="H14" i="63"/>
  <c r="H16" i="63"/>
  <c r="H18" i="63"/>
  <c r="H20" i="63"/>
  <c r="H21" i="63"/>
  <c r="H22" i="63"/>
  <c r="H23" i="63"/>
  <c r="H27" i="63"/>
  <c r="H30" i="63"/>
  <c r="H38" i="63"/>
  <c r="H40" i="63"/>
  <c r="H42" i="63"/>
  <c r="H43" i="63"/>
  <c r="H44" i="63"/>
  <c r="H45" i="63"/>
  <c r="H49" i="63"/>
  <c r="H52" i="63"/>
  <c r="H60" i="63"/>
  <c r="H61" i="63"/>
  <c r="H62" i="63"/>
  <c r="H63" i="63"/>
  <c r="H67" i="63"/>
  <c r="H70" i="63"/>
  <c r="H78" i="63"/>
  <c r="H79" i="63"/>
  <c r="H81" i="63"/>
  <c r="H82" i="63"/>
  <c r="H87" i="63"/>
  <c r="H89" i="63"/>
  <c r="H95" i="63"/>
  <c r="H97" i="63"/>
  <c r="H98" i="63"/>
  <c r="H103" i="63"/>
  <c r="H105" i="63"/>
  <c r="H111" i="63"/>
  <c r="H112" i="63"/>
  <c r="H122" i="63"/>
  <c r="H125" i="63"/>
  <c r="H127" i="63"/>
  <c r="H130" i="63"/>
  <c r="H132" i="63"/>
  <c r="H135" i="63"/>
  <c r="H137" i="63"/>
  <c r="H138" i="63"/>
  <c r="H142" i="63"/>
  <c r="H145" i="63"/>
  <c r="H146" i="63"/>
  <c r="H147" i="63"/>
  <c r="H151" i="63"/>
  <c r="H154" i="63"/>
  <c r="H155" i="63"/>
  <c r="H156" i="63"/>
  <c r="H160" i="63"/>
  <c r="H163" i="63"/>
  <c r="H164" i="63"/>
  <c r="H165" i="63"/>
  <c r="H166" i="63"/>
  <c r="H169" i="63"/>
  <c r="H170" i="63"/>
  <c r="H171" i="63"/>
  <c r="H174" i="63"/>
  <c r="H175" i="63"/>
  <c r="H176" i="63"/>
  <c r="H179" i="63"/>
  <c r="H180" i="63"/>
  <c r="H183" i="63"/>
  <c r="H187" i="63"/>
  <c r="H188" i="63"/>
  <c r="H189" i="63"/>
  <c r="H192" i="63"/>
  <c r="H196" i="63"/>
  <c r="H197" i="63"/>
  <c r="H198" i="63"/>
  <c r="H202" i="63"/>
  <c r="H206" i="63"/>
  <c r="H207" i="63"/>
  <c r="H211" i="63"/>
  <c r="H215" i="63"/>
  <c r="H216" i="63"/>
  <c r="H224" i="63"/>
  <c r="H225" i="63"/>
  <c r="H227" i="63"/>
  <c r="H231" i="63"/>
  <c r="H232" i="63"/>
  <c r="H233" i="63"/>
  <c r="H235" i="63"/>
  <c r="H239" i="63"/>
  <c r="H240" i="63"/>
  <c r="H241" i="63"/>
  <c r="H243" i="63"/>
  <c r="H247" i="63"/>
  <c r="H248" i="63"/>
  <c r="H249" i="63"/>
  <c r="H251" i="63"/>
  <c r="H255" i="63"/>
  <c r="H256" i="63"/>
  <c r="H257" i="63"/>
  <c r="H259" i="63"/>
  <c r="H263" i="63"/>
  <c r="H264" i="63"/>
  <c r="H265" i="63"/>
  <c r="H277" i="63"/>
  <c r="H280" i="63"/>
  <c r="H282" i="63"/>
  <c r="H284" i="63"/>
  <c r="H287" i="63"/>
  <c r="H289" i="63"/>
  <c r="H291" i="63"/>
  <c r="H293" i="63"/>
  <c r="H294" i="63"/>
  <c r="H296" i="63"/>
  <c r="H297" i="63"/>
  <c r="H300" i="63"/>
  <c r="H301" i="63"/>
  <c r="H302" i="63"/>
  <c r="H303" i="63"/>
  <c r="H306" i="63"/>
  <c r="H307" i="63"/>
  <c r="H315" i="63"/>
  <c r="H316" i="63"/>
  <c r="H317" i="63"/>
  <c r="H318" i="63"/>
  <c r="H321" i="63"/>
  <c r="H328" i="63"/>
  <c r="H329" i="63"/>
  <c r="H335" i="63"/>
  <c r="H342" i="63"/>
  <c r="H343" i="63"/>
  <c r="H347" i="63"/>
  <c r="H352" i="63"/>
  <c r="H353" i="63"/>
  <c r="H358" i="63"/>
  <c r="H360" i="63"/>
  <c r="H361" i="63"/>
  <c r="H363" i="63"/>
  <c r="H364" i="63"/>
  <c r="H365" i="63"/>
  <c r="H367" i="63"/>
  <c r="H371" i="63"/>
  <c r="H372" i="63"/>
  <c r="H374" i="63"/>
  <c r="H378" i="63"/>
  <c r="H379" i="63"/>
  <c r="H382" i="63"/>
  <c r="H386" i="63"/>
  <c r="H387" i="63"/>
  <c r="H393" i="63"/>
  <c r="H394" i="63"/>
  <c r="H397" i="63"/>
  <c r="H398" i="63"/>
  <c r="H401" i="63"/>
  <c r="H403" i="63"/>
  <c r="H408" i="63"/>
  <c r="H410" i="63"/>
  <c r="H411" i="63"/>
  <c r="H412" i="63"/>
  <c r="H414" i="63"/>
  <c r="H416" i="63"/>
  <c r="H418" i="63"/>
  <c r="H420" i="63"/>
  <c r="H421" i="63"/>
  <c r="H422" i="63"/>
  <c r="H428" i="63"/>
  <c r="H429" i="63"/>
  <c r="H431" i="63"/>
  <c r="H437" i="63"/>
  <c r="H438" i="63"/>
  <c r="H441" i="63"/>
  <c r="H442" i="63"/>
  <c r="H444" i="63"/>
  <c r="H445" i="63"/>
  <c r="H447" i="63"/>
  <c r="H448" i="63"/>
  <c r="H450" i="63"/>
  <c r="H458" i="63"/>
  <c r="H459" i="63"/>
  <c r="H460" i="63"/>
  <c r="H464" i="63"/>
  <c r="H465" i="63"/>
  <c r="H466" i="63"/>
  <c r="H467" i="63"/>
  <c r="H471" i="63"/>
  <c r="H472" i="63"/>
  <c r="H473" i="63"/>
  <c r="H474" i="63"/>
  <c r="H478" i="63"/>
  <c r="H479" i="63"/>
  <c r="H480" i="63"/>
  <c r="H483" i="63"/>
  <c r="H484" i="63"/>
  <c r="H486" i="63"/>
  <c r="H487" i="63"/>
  <c r="H490" i="63"/>
  <c r="H491" i="63"/>
  <c r="H495" i="63"/>
  <c r="H496" i="63"/>
  <c r="H498" i="63"/>
  <c r="H499" i="63"/>
  <c r="H501" i="63"/>
  <c r="H502" i="63"/>
  <c r="H503" i="63"/>
  <c r="H506" i="63"/>
  <c r="H510" i="63"/>
  <c r="H511" i="63"/>
  <c r="H517" i="63"/>
  <c r="H518" i="63"/>
  <c r="H522" i="63"/>
  <c r="H523" i="63"/>
  <c r="H524" i="63"/>
  <c r="H526" i="63"/>
  <c r="H527" i="63"/>
  <c r="H528" i="63"/>
  <c r="H531" i="63"/>
  <c r="H538" i="63"/>
  <c r="H539" i="63"/>
  <c r="H542" i="63"/>
  <c r="H543" i="63"/>
  <c r="H544" i="63"/>
  <c r="H547" i="63"/>
  <c r="H551" i="63"/>
  <c r="H552" i="63"/>
  <c r="H564" i="63"/>
  <c r="H566" i="63"/>
  <c r="H568" i="63"/>
  <c r="H569" i="63"/>
  <c r="H571" i="63"/>
  <c r="H573" i="63"/>
  <c r="H574" i="63"/>
  <c r="H575" i="63"/>
  <c r="H576" i="63"/>
  <c r="H577" i="63"/>
  <c r="H578" i="63"/>
  <c r="H579" i="63"/>
  <c r="H580" i="63"/>
  <c r="H583" i="63"/>
  <c r="H589" i="63"/>
  <c r="H590" i="63"/>
  <c r="H591" i="63"/>
  <c r="H595" i="63"/>
  <c r="H599" i="63"/>
  <c r="H601" i="63"/>
  <c r="H602" i="63"/>
  <c r="H604" i="63"/>
  <c r="H606" i="63"/>
  <c r="H607" i="63"/>
  <c r="H609" i="63"/>
  <c r="H611" i="63"/>
  <c r="H612" i="63"/>
  <c r="H614" i="63"/>
  <c r="H616" i="63"/>
  <c r="H617" i="63"/>
  <c r="H2" i="63"/>
  <c r="H3" i="62"/>
  <c r="H4" i="62"/>
  <c r="H6" i="62"/>
  <c r="H11" i="62"/>
  <c r="H14" i="62"/>
  <c r="H18" i="62"/>
  <c r="H20" i="62"/>
  <c r="H21" i="62"/>
  <c r="H22" i="62"/>
  <c r="H24" i="62"/>
  <c r="H26" i="62"/>
  <c r="H27" i="62"/>
  <c r="H29" i="62"/>
  <c r="H30" i="62"/>
  <c r="H32" i="62"/>
  <c r="H33" i="62"/>
  <c r="H35" i="62"/>
  <c r="H36" i="62"/>
  <c r="H37" i="62"/>
  <c r="H39" i="62"/>
  <c r="H40" i="62"/>
  <c r="H44" i="62"/>
  <c r="H45" i="62"/>
  <c r="H46" i="62"/>
  <c r="H49" i="62"/>
  <c r="H53" i="62"/>
  <c r="H55" i="62"/>
  <c r="H56" i="62"/>
  <c r="H57" i="62"/>
  <c r="H58" i="62"/>
  <c r="H59" i="62"/>
  <c r="H60" i="62"/>
  <c r="H61" i="62"/>
  <c r="H67" i="62"/>
  <c r="H68" i="62"/>
  <c r="H69" i="62"/>
  <c r="H70" i="62"/>
  <c r="H71" i="62"/>
  <c r="H72" i="62"/>
  <c r="H73" i="62"/>
  <c r="H74" i="62"/>
  <c r="H75" i="62"/>
  <c r="H76" i="62"/>
  <c r="H77" i="62"/>
  <c r="H78" i="62"/>
  <c r="H79" i="62"/>
  <c r="H80" i="62"/>
  <c r="H81" i="62"/>
  <c r="H82" i="62"/>
  <c r="H83" i="62"/>
  <c r="H84" i="62"/>
  <c r="H85" i="62"/>
  <c r="H86" i="62"/>
  <c r="H100" i="62"/>
  <c r="H101" i="62"/>
  <c r="H102" i="62"/>
  <c r="H103" i="62"/>
  <c r="H105" i="62"/>
  <c r="H106" i="62"/>
  <c r="H107" i="62"/>
  <c r="H111" i="62"/>
  <c r="H112" i="62"/>
  <c r="H113" i="62"/>
  <c r="H114" i="62"/>
  <c r="H115" i="62"/>
  <c r="H116" i="62"/>
  <c r="H117" i="62"/>
  <c r="H118" i="62"/>
  <c r="H119" i="62"/>
  <c r="H120" i="62"/>
  <c r="H121" i="62"/>
  <c r="H2" i="62"/>
  <c r="H5" i="61"/>
  <c r="H6" i="61"/>
  <c r="H7" i="61"/>
  <c r="H8" i="61"/>
  <c r="H10" i="61"/>
  <c r="H11" i="61"/>
  <c r="H12" i="61"/>
  <c r="H14" i="61"/>
  <c r="H15" i="61"/>
  <c r="H16" i="61"/>
  <c r="H17" i="61"/>
  <c r="H19" i="61"/>
  <c r="H21" i="61"/>
  <c r="H22" i="61"/>
  <c r="H24" i="61"/>
  <c r="H25" i="61"/>
  <c r="H27" i="61"/>
  <c r="H28" i="61"/>
  <c r="H29" i="61"/>
  <c r="H30" i="61"/>
  <c r="H2" i="61"/>
  <c r="H5" i="60"/>
  <c r="H6" i="60"/>
  <c r="H8" i="60"/>
  <c r="H9" i="60"/>
  <c r="H10" i="60"/>
  <c r="H11" i="60"/>
  <c r="H13" i="60"/>
  <c r="H14" i="60"/>
  <c r="H16" i="60"/>
  <c r="H18" i="60"/>
  <c r="H19" i="60"/>
  <c r="H20" i="60"/>
  <c r="H22" i="60"/>
  <c r="H23" i="60"/>
  <c r="H24" i="60"/>
  <c r="H25" i="60"/>
  <c r="H26" i="60"/>
  <c r="H2" i="60"/>
  <c r="H3" i="59"/>
  <c r="H4" i="59"/>
  <c r="H5" i="59"/>
  <c r="H6" i="59"/>
  <c r="H7" i="59"/>
  <c r="H10" i="59"/>
  <c r="H11" i="59"/>
  <c r="H12" i="59"/>
  <c r="H13" i="59"/>
  <c r="H14" i="59"/>
  <c r="H15" i="59"/>
  <c r="H17" i="59"/>
  <c r="H18" i="59"/>
  <c r="H19" i="59"/>
  <c r="H20" i="59"/>
  <c r="H21" i="59"/>
  <c r="H24" i="59"/>
  <c r="H25" i="59"/>
  <c r="H26" i="59"/>
  <c r="H27" i="59"/>
  <c r="H30" i="59"/>
  <c r="H31" i="59"/>
  <c r="H33" i="59"/>
  <c r="H37" i="59"/>
  <c r="H38" i="59"/>
  <c r="H39" i="59"/>
  <c r="H40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67" i="59"/>
  <c r="H68" i="59"/>
  <c r="H69" i="59"/>
  <c r="H70" i="59"/>
  <c r="H71" i="59"/>
  <c r="H72" i="59"/>
  <c r="H77" i="59"/>
  <c r="H78" i="59"/>
  <c r="H80" i="59"/>
  <c r="H81" i="59"/>
  <c r="H90" i="59"/>
  <c r="H93" i="59"/>
  <c r="H101" i="59"/>
  <c r="H102" i="59"/>
  <c r="H104" i="59"/>
  <c r="H105" i="59"/>
  <c r="H114" i="59"/>
  <c r="H115" i="59"/>
  <c r="H116" i="59"/>
  <c r="H117" i="59"/>
  <c r="H118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45" i="59"/>
  <c r="H146" i="59"/>
  <c r="H148" i="59"/>
  <c r="H149" i="59"/>
  <c r="H150" i="59"/>
  <c r="H158" i="59"/>
  <c r="H161" i="59"/>
  <c r="H171" i="59"/>
  <c r="H177" i="59"/>
  <c r="H178" i="59"/>
  <c r="H181" i="59"/>
  <c r="H182" i="59"/>
  <c r="H183" i="59"/>
  <c r="H191" i="59"/>
  <c r="H192" i="59"/>
  <c r="H195" i="59"/>
  <c r="H196" i="59"/>
  <c r="H197" i="59"/>
  <c r="H198" i="59"/>
  <c r="H199" i="59"/>
  <c r="H201" i="59"/>
  <c r="H217" i="59"/>
  <c r="H222" i="59"/>
  <c r="H223" i="59"/>
  <c r="H227" i="59"/>
  <c r="H228" i="59"/>
  <c r="H229" i="59"/>
  <c r="H230" i="59"/>
  <c r="H232" i="59"/>
  <c r="H233" i="59"/>
  <c r="H2" i="5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50" i="58"/>
  <c r="H51" i="58"/>
  <c r="H52" i="58"/>
  <c r="H53" i="58"/>
  <c r="H54" i="58"/>
  <c r="H55" i="58"/>
  <c r="H56" i="58"/>
  <c r="H57" i="58"/>
  <c r="H58" i="58"/>
  <c r="H59" i="58"/>
  <c r="H60" i="58"/>
  <c r="H61" i="58"/>
  <c r="H62" i="58"/>
  <c r="H63" i="58"/>
  <c r="H64" i="58"/>
  <c r="H65" i="58"/>
  <c r="H66" i="58"/>
  <c r="H67" i="58"/>
  <c r="H68" i="58"/>
  <c r="H69" i="58"/>
  <c r="H70" i="58"/>
  <c r="H71" i="58"/>
  <c r="H72" i="58"/>
  <c r="H73" i="58"/>
  <c r="H74" i="58"/>
  <c r="H75" i="58"/>
  <c r="H76" i="58"/>
  <c r="H77" i="58"/>
  <c r="H78" i="58"/>
  <c r="H79" i="58"/>
  <c r="H80" i="58"/>
  <c r="H81" i="58"/>
  <c r="H82" i="58"/>
  <c r="H83" i="58"/>
  <c r="H84" i="58"/>
  <c r="H85" i="58"/>
  <c r="H86" i="58"/>
  <c r="H87" i="58"/>
  <c r="H88" i="58"/>
  <c r="H89" i="58"/>
  <c r="H90" i="58"/>
  <c r="H91" i="58"/>
  <c r="H92" i="58"/>
  <c r="H93" i="58"/>
  <c r="H94" i="58"/>
  <c r="H95" i="58"/>
  <c r="H96" i="58"/>
  <c r="H97" i="58"/>
  <c r="H98" i="58"/>
  <c r="H99" i="58"/>
  <c r="H100" i="58"/>
  <c r="H101" i="58"/>
  <c r="H102" i="58"/>
  <c r="H103" i="58"/>
  <c r="H104" i="58"/>
  <c r="H105" i="58"/>
  <c r="H106" i="58"/>
  <c r="H107" i="58"/>
  <c r="H108" i="58"/>
  <c r="H109" i="58"/>
  <c r="H110" i="58"/>
  <c r="H111" i="58"/>
  <c r="H112" i="58"/>
  <c r="H113" i="58"/>
  <c r="H114" i="58"/>
  <c r="H115" i="58"/>
  <c r="H116" i="58"/>
  <c r="H117" i="58"/>
  <c r="H118" i="58"/>
  <c r="H119" i="58"/>
  <c r="H120" i="58"/>
  <c r="H121" i="58"/>
  <c r="H122" i="58"/>
  <c r="H123" i="58"/>
  <c r="H124" i="58"/>
  <c r="H125" i="58"/>
  <c r="H126" i="58"/>
  <c r="H127" i="58"/>
  <c r="H128" i="58"/>
  <c r="H129" i="58"/>
  <c r="H130" i="58"/>
  <c r="H131" i="58"/>
  <c r="H132" i="58"/>
  <c r="H133" i="58"/>
  <c r="H134" i="58"/>
  <c r="H135" i="58"/>
  <c r="H136" i="58"/>
  <c r="H137" i="58"/>
  <c r="H138" i="58"/>
  <c r="H139" i="58"/>
  <c r="H140" i="58"/>
  <c r="H141" i="58"/>
  <c r="H142" i="58"/>
  <c r="H143" i="58"/>
  <c r="H144" i="58"/>
  <c r="H145" i="58"/>
  <c r="H146" i="58"/>
  <c r="H147" i="58"/>
  <c r="H148" i="58"/>
  <c r="H149" i="58"/>
  <c r="H150" i="58"/>
  <c r="H151" i="58"/>
  <c r="H152" i="58"/>
  <c r="H153" i="58"/>
  <c r="H154" i="58"/>
  <c r="H155" i="58"/>
  <c r="H156" i="58"/>
  <c r="H157" i="58"/>
  <c r="H158" i="58"/>
  <c r="H159" i="58"/>
  <c r="H160" i="58"/>
  <c r="H161" i="58"/>
  <c r="H162" i="58"/>
  <c r="H163" i="58"/>
  <c r="H164" i="58"/>
  <c r="H165" i="58"/>
  <c r="H166" i="58"/>
  <c r="H167" i="58"/>
  <c r="H168" i="58"/>
  <c r="H169" i="58"/>
  <c r="H170" i="58"/>
  <c r="H171" i="58"/>
  <c r="H172" i="58"/>
  <c r="H173" i="58"/>
  <c r="H174" i="58"/>
  <c r="H175" i="58"/>
  <c r="H176" i="58"/>
  <c r="H177" i="58"/>
  <c r="H178" i="58"/>
  <c r="H179" i="58"/>
  <c r="H180" i="58"/>
  <c r="H181" i="58"/>
  <c r="H182" i="58"/>
  <c r="H183" i="58"/>
  <c r="H184" i="58"/>
  <c r="H185" i="58"/>
  <c r="H186" i="58"/>
  <c r="H187" i="58"/>
  <c r="H188" i="58"/>
  <c r="H189" i="58"/>
  <c r="H190" i="58"/>
  <c r="H191" i="58"/>
  <c r="H192" i="58"/>
  <c r="H193" i="58"/>
  <c r="H194" i="58"/>
  <c r="H195" i="58"/>
  <c r="H196" i="58"/>
  <c r="H197" i="58"/>
  <c r="H2" i="58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" i="57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2" i="56"/>
  <c r="H3" i="55"/>
  <c r="H4" i="55"/>
  <c r="H5" i="55"/>
  <c r="H20" i="55" s="1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" i="55"/>
  <c r="H3" i="54"/>
  <c r="H4" i="54"/>
  <c r="H5" i="54"/>
  <c r="H6" i="54"/>
  <c r="H2" i="54"/>
  <c r="H3" i="53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47" i="53"/>
  <c r="H48" i="53"/>
  <c r="H49" i="53"/>
  <c r="H50" i="53"/>
  <c r="H51" i="53"/>
  <c r="H52" i="53"/>
  <c r="H53" i="53"/>
  <c r="H54" i="53"/>
  <c r="H55" i="53"/>
  <c r="H56" i="53"/>
  <c r="H57" i="53"/>
  <c r="H58" i="53"/>
  <c r="H59" i="53"/>
  <c r="H60" i="53"/>
  <c r="H61" i="53"/>
  <c r="H62" i="53"/>
  <c r="H63" i="53"/>
  <c r="H64" i="53"/>
  <c r="H65" i="53"/>
  <c r="H66" i="53"/>
  <c r="H67" i="53"/>
  <c r="H68" i="53"/>
  <c r="H2" i="53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2" i="52"/>
  <c r="H3" i="51"/>
  <c r="H4" i="51"/>
  <c r="H5" i="51"/>
  <c r="H47" i="51" s="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2" i="51"/>
  <c r="H3" i="50"/>
  <c r="H4" i="50"/>
  <c r="H5" i="50"/>
  <c r="H47" i="50" s="1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2" i="50"/>
  <c r="H3" i="46"/>
  <c r="H4" i="46"/>
  <c r="H5" i="46"/>
  <c r="H37" i="46" s="1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2" i="46"/>
  <c r="G163" i="59"/>
  <c r="H163" i="59" s="1"/>
  <c r="G164" i="59"/>
  <c r="H164" i="59" s="1"/>
  <c r="G94" i="59"/>
  <c r="H94" i="59" s="1"/>
  <c r="G43" i="59"/>
  <c r="H43" i="59" s="1"/>
  <c r="G202" i="59"/>
  <c r="H202" i="59" s="1"/>
  <c r="G36" i="59"/>
  <c r="G203" i="59"/>
  <c r="H203" i="59" s="1"/>
  <c r="G76" i="59"/>
  <c r="G85" i="59"/>
  <c r="G84" i="59"/>
  <c r="G75" i="59"/>
  <c r="G151" i="59"/>
  <c r="H151" i="59" s="1"/>
  <c r="G184" i="59"/>
  <c r="H184" i="59" s="1"/>
  <c r="G109" i="59"/>
  <c r="G8" i="59"/>
  <c r="H8" i="59" s="1"/>
  <c r="G108" i="59"/>
  <c r="G138" i="59"/>
  <c r="H138" i="59" s="1"/>
  <c r="G89" i="59"/>
  <c r="G113" i="59"/>
  <c r="G176" i="59"/>
  <c r="G221" i="59"/>
  <c r="G35" i="59"/>
  <c r="H35" i="59" s="1"/>
  <c r="G9" i="59"/>
  <c r="H9" i="59" s="1"/>
  <c r="G16" i="59"/>
  <c r="H16" i="59" s="1"/>
  <c r="G22" i="59"/>
  <c r="H22" i="59" s="1"/>
  <c r="G28" i="59"/>
  <c r="H28" i="59" s="1"/>
  <c r="G32" i="59"/>
  <c r="H32" i="59" s="1"/>
  <c r="G83" i="59"/>
  <c r="G88" i="59"/>
  <c r="G112" i="59"/>
  <c r="G175" i="59"/>
  <c r="G220" i="59"/>
  <c r="G17" i="59"/>
  <c r="G23" i="59"/>
  <c r="H23" i="59" s="1"/>
  <c r="G29" i="59"/>
  <c r="H29" i="59" s="1"/>
  <c r="G93" i="59"/>
  <c r="G162" i="59"/>
  <c r="H162" i="59" s="1"/>
  <c r="G74" i="59"/>
  <c r="G91" i="59"/>
  <c r="H91" i="59" s="1"/>
  <c r="G160" i="59"/>
  <c r="H160" i="59" s="1"/>
  <c r="G87" i="59"/>
  <c r="G107" i="59"/>
  <c r="G111" i="59"/>
  <c r="G174" i="59"/>
  <c r="G219" i="59"/>
  <c r="G236" i="59"/>
  <c r="H236" i="59" s="1"/>
  <c r="G92" i="59"/>
  <c r="H92" i="59" s="1"/>
  <c r="G161" i="59"/>
  <c r="G159" i="59"/>
  <c r="H159" i="59" s="1"/>
  <c r="G42" i="59"/>
  <c r="H42" i="59" s="1"/>
  <c r="G235" i="59"/>
  <c r="H235" i="59" s="1"/>
  <c r="G234" i="59"/>
  <c r="H234" i="59" s="1"/>
  <c r="G88" i="58"/>
  <c r="G5" i="58"/>
  <c r="G11" i="58"/>
  <c r="G133" i="58"/>
  <c r="G6" i="58"/>
  <c r="G12" i="58"/>
  <c r="G134" i="58"/>
  <c r="G172" i="58"/>
  <c r="G4" i="58"/>
  <c r="G10" i="58"/>
  <c r="G132" i="58"/>
  <c r="G58" i="58"/>
  <c r="G122" i="58"/>
  <c r="G82" i="58"/>
  <c r="G85" i="58"/>
  <c r="G5" i="56"/>
  <c r="G6" i="56"/>
  <c r="G5" i="55"/>
  <c r="G6" i="55"/>
  <c r="G58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0" i="53"/>
  <c r="G19" i="53"/>
  <c r="G18" i="53"/>
  <c r="G17" i="53"/>
  <c r="G16" i="53"/>
  <c r="G11" i="53"/>
  <c r="G10" i="53"/>
  <c r="G9" i="53"/>
  <c r="G8" i="53"/>
  <c r="G7" i="53"/>
  <c r="G29" i="52"/>
  <c r="G26" i="52"/>
  <c r="G25" i="52"/>
  <c r="G30" i="52"/>
  <c r="G23" i="52"/>
  <c r="G22" i="52"/>
  <c r="G11" i="52"/>
  <c r="G20" i="52"/>
  <c r="G10" i="52"/>
  <c r="G9" i="52"/>
  <c r="G19" i="52"/>
  <c r="G28" i="52"/>
  <c r="G31" i="52"/>
  <c r="G18" i="52"/>
  <c r="G24" i="52"/>
  <c r="G8" i="52"/>
  <c r="G17" i="52"/>
  <c r="G27" i="52"/>
  <c r="G7" i="52"/>
  <c r="G16" i="52"/>
  <c r="G37" i="52"/>
  <c r="G36" i="52"/>
  <c r="G35" i="52"/>
  <c r="G34" i="52"/>
  <c r="G32" i="52"/>
  <c r="G42" i="52"/>
  <c r="G41" i="52"/>
  <c r="G40" i="52"/>
  <c r="G39" i="52"/>
  <c r="G38" i="52"/>
  <c r="G33" i="52"/>
  <c r="G58" i="52"/>
  <c r="G36" i="51"/>
  <c r="G21" i="51"/>
  <c r="G20" i="51"/>
  <c r="G19" i="51"/>
  <c r="G18" i="51"/>
  <c r="G17" i="51"/>
  <c r="G16" i="51"/>
  <c r="G15" i="51"/>
  <c r="G14" i="51"/>
  <c r="G13" i="51"/>
  <c r="G11" i="51"/>
  <c r="G10" i="51"/>
  <c r="G9" i="51"/>
  <c r="G8" i="51"/>
  <c r="G7" i="51"/>
  <c r="G19" i="50"/>
  <c r="G21" i="50"/>
  <c r="G20" i="50"/>
  <c r="G36" i="50"/>
  <c r="G15" i="50"/>
  <c r="G7" i="50"/>
  <c r="G10" i="50"/>
  <c r="G11" i="50"/>
  <c r="G8" i="50"/>
  <c r="G9" i="50"/>
  <c r="G16" i="50"/>
  <c r="G18" i="50"/>
  <c r="G13" i="50"/>
  <c r="G14" i="50"/>
  <c r="G17" i="50"/>
  <c r="G22" i="46"/>
  <c r="G23" i="46"/>
  <c r="G16" i="46"/>
  <c r="G9" i="46"/>
  <c r="G15" i="46"/>
  <c r="G8" i="46"/>
  <c r="G14" i="46"/>
  <c r="G7" i="46"/>
  <c r="G19" i="46"/>
  <c r="G12" i="46"/>
  <c r="G5" i="46"/>
  <c r="G13" i="46"/>
  <c r="G6" i="46"/>
  <c r="G21" i="46"/>
  <c r="G20" i="46"/>
  <c r="F3" i="63"/>
  <c r="F12" i="63"/>
  <c r="F16" i="63"/>
  <c r="F20" i="63"/>
  <c r="F38" i="63"/>
  <c r="F42" i="63"/>
  <c r="F60" i="63"/>
  <c r="F78" i="63"/>
  <c r="F95" i="63"/>
  <c r="F111" i="63"/>
  <c r="F112" i="63"/>
  <c r="F122" i="63"/>
  <c r="F127" i="63"/>
  <c r="F132" i="63"/>
  <c r="F137" i="63"/>
  <c r="F146" i="63"/>
  <c r="F155" i="63"/>
  <c r="F164" i="63"/>
  <c r="F169" i="63"/>
  <c r="F174" i="63"/>
  <c r="F179" i="63"/>
  <c r="F188" i="63"/>
  <c r="F197" i="63"/>
  <c r="F206" i="63"/>
  <c r="F215" i="63"/>
  <c r="F216" i="63"/>
  <c r="F224" i="63"/>
  <c r="F232" i="63"/>
  <c r="F240" i="63"/>
  <c r="F248" i="63"/>
  <c r="F256" i="63"/>
  <c r="F264" i="63"/>
  <c r="F265" i="63"/>
  <c r="F277" i="63"/>
  <c r="F284" i="63"/>
  <c r="F291" i="63"/>
  <c r="F294" i="63"/>
  <c r="F297" i="63"/>
  <c r="F300" i="63"/>
  <c r="F315" i="63"/>
  <c r="F328" i="63"/>
  <c r="F342" i="63"/>
  <c r="F352" i="63"/>
  <c r="F353" i="63"/>
  <c r="F358" i="63"/>
  <c r="F361" i="63"/>
  <c r="F364" i="63"/>
  <c r="F371" i="63"/>
  <c r="F378" i="63"/>
  <c r="F386" i="63"/>
  <c r="F387" i="63"/>
  <c r="F393" i="63"/>
  <c r="F397" i="63"/>
  <c r="F401" i="63"/>
  <c r="F403" i="63"/>
  <c r="F408" i="63"/>
  <c r="F410" i="63"/>
  <c r="F412" i="63"/>
  <c r="F416" i="63"/>
  <c r="F420" i="63"/>
  <c r="F428" i="63"/>
  <c r="F437" i="63"/>
  <c r="F438" i="63"/>
  <c r="F441" i="63"/>
  <c r="F444" i="63"/>
  <c r="F447" i="63"/>
  <c r="F450" i="63"/>
  <c r="F458" i="63"/>
  <c r="F465" i="63"/>
  <c r="F472" i="63"/>
  <c r="F479" i="63"/>
  <c r="F480" i="63"/>
  <c r="F483" i="63"/>
  <c r="F486" i="63"/>
  <c r="F490" i="63"/>
  <c r="F491" i="63"/>
  <c r="F495" i="63"/>
  <c r="F498" i="63"/>
  <c r="F501" i="63"/>
  <c r="F510" i="63"/>
  <c r="F511" i="63"/>
  <c r="F517" i="63"/>
  <c r="F523" i="63"/>
  <c r="F526" i="63"/>
  <c r="F531" i="63"/>
  <c r="F538" i="63"/>
  <c r="F542" i="63"/>
  <c r="F551" i="63"/>
  <c r="F552" i="63"/>
  <c r="F564" i="63"/>
  <c r="F569" i="63"/>
  <c r="F574" i="63"/>
  <c r="F576" i="63"/>
  <c r="F589" i="63"/>
  <c r="F599" i="63"/>
  <c r="F604" i="63"/>
  <c r="F609" i="63"/>
  <c r="F614" i="63"/>
  <c r="F2" i="63"/>
  <c r="F3" i="62"/>
  <c r="F4" i="62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40" i="62"/>
  <c r="F44" i="62"/>
  <c r="F53" i="62"/>
  <c r="F55" i="62"/>
  <c r="F64" i="62"/>
  <c r="F67" i="62"/>
  <c r="F86" i="62"/>
  <c r="F100" i="62"/>
  <c r="F107" i="62"/>
  <c r="F111" i="62"/>
  <c r="F113" i="62"/>
  <c r="F124" i="62"/>
  <c r="F2" i="62"/>
  <c r="F5" i="61"/>
  <c r="F14" i="61"/>
  <c r="F24" i="61"/>
  <c r="F2" i="61"/>
  <c r="F5" i="60"/>
  <c r="F9" i="60"/>
  <c r="F14" i="60"/>
  <c r="F22" i="60"/>
  <c r="F2" i="60"/>
  <c r="F8" i="59"/>
  <c r="F9" i="59"/>
  <c r="F10" i="59"/>
  <c r="F16" i="59"/>
  <c r="F17" i="59"/>
  <c r="F18" i="59"/>
  <c r="F22" i="59"/>
  <c r="F23" i="59"/>
  <c r="F24" i="59"/>
  <c r="F28" i="59"/>
  <c r="F29" i="59"/>
  <c r="F30" i="59"/>
  <c r="F32" i="59"/>
  <c r="F33" i="59"/>
  <c r="F35" i="59"/>
  <c r="F42" i="59"/>
  <c r="F43" i="59"/>
  <c r="F49" i="59"/>
  <c r="F72" i="59"/>
  <c r="F77" i="59"/>
  <c r="F81" i="59"/>
  <c r="F90" i="59"/>
  <c r="F91" i="59"/>
  <c r="F92" i="59"/>
  <c r="F93" i="59"/>
  <c r="F94" i="59"/>
  <c r="F101" i="59"/>
  <c r="F105" i="59"/>
  <c r="F114" i="59"/>
  <c r="F132" i="59"/>
  <c r="F138" i="59"/>
  <c r="F145" i="59"/>
  <c r="F151" i="59"/>
  <c r="F158" i="59"/>
  <c r="F159" i="59"/>
  <c r="F160" i="59"/>
  <c r="F161" i="59"/>
  <c r="F162" i="59"/>
  <c r="F163" i="59"/>
  <c r="F164" i="59"/>
  <c r="F171" i="59"/>
  <c r="F177" i="59"/>
  <c r="F184" i="59"/>
  <c r="F191" i="59"/>
  <c r="F202" i="59"/>
  <c r="F203" i="59"/>
  <c r="F217" i="59"/>
  <c r="F222" i="59"/>
  <c r="F234" i="59"/>
  <c r="F235" i="59"/>
  <c r="F236" i="59"/>
  <c r="F2" i="59"/>
  <c r="F13" i="58"/>
  <c r="F47" i="58"/>
  <c r="F58" i="58"/>
  <c r="F64" i="58"/>
  <c r="F88" i="58"/>
  <c r="F116" i="58"/>
  <c r="F122" i="58"/>
  <c r="F130" i="58"/>
  <c r="F135" i="58"/>
  <c r="F172" i="58"/>
  <c r="F2" i="58"/>
  <c r="F5" i="57"/>
  <c r="F13" i="57"/>
  <c r="F17" i="57"/>
  <c r="F2" i="57"/>
  <c r="F5" i="56"/>
  <c r="F7" i="56"/>
  <c r="F13" i="56"/>
  <c r="F23" i="56"/>
  <c r="F25" i="56"/>
  <c r="F2" i="56"/>
  <c r="F5" i="55"/>
  <c r="F7" i="55"/>
  <c r="F13" i="55"/>
  <c r="F18" i="55"/>
  <c r="F2" i="55"/>
  <c r="F2" i="54"/>
  <c r="F18" i="53"/>
  <c r="F21" i="53"/>
  <c r="F43" i="53"/>
  <c r="F50" i="53"/>
  <c r="F56" i="53"/>
  <c r="F59" i="53"/>
  <c r="F63" i="53"/>
  <c r="F2" i="53"/>
  <c r="F18" i="52"/>
  <c r="F21" i="52"/>
  <c r="F43" i="52"/>
  <c r="F50" i="52"/>
  <c r="F56" i="52"/>
  <c r="F59" i="52"/>
  <c r="F63" i="52"/>
  <c r="F2" i="52"/>
  <c r="F12" i="51"/>
  <c r="F22" i="51"/>
  <c r="F27" i="51"/>
  <c r="F34" i="51"/>
  <c r="F37" i="51"/>
  <c r="F41" i="51"/>
  <c r="F2" i="51"/>
  <c r="F12" i="50"/>
  <c r="F22" i="50"/>
  <c r="F27" i="50"/>
  <c r="F34" i="50"/>
  <c r="F37" i="50"/>
  <c r="F41" i="50"/>
  <c r="F2" i="50"/>
  <c r="F2" i="46"/>
  <c r="F17" i="46"/>
  <c r="F24" i="46"/>
  <c r="F31" i="46"/>
  <c r="D618" i="63" l="1"/>
  <c r="E618" i="63"/>
  <c r="E617" i="63"/>
  <c r="F617" i="63" s="1"/>
  <c r="E616" i="63"/>
  <c r="F616" i="63" s="1"/>
  <c r="C615" i="63"/>
  <c r="E615" i="63"/>
  <c r="D613" i="63"/>
  <c r="E613" i="63"/>
  <c r="E612" i="63"/>
  <c r="F612" i="63" s="1"/>
  <c r="E611" i="63"/>
  <c r="F611" i="63" s="1"/>
  <c r="C610" i="63"/>
  <c r="E610" i="63"/>
  <c r="D608" i="63"/>
  <c r="E608" i="63"/>
  <c r="E607" i="63"/>
  <c r="F607" i="63" s="1"/>
  <c r="E606" i="63"/>
  <c r="F606" i="63" s="1"/>
  <c r="C605" i="63"/>
  <c r="E605" i="63"/>
  <c r="D603" i="63"/>
  <c r="E603" i="63"/>
  <c r="E602" i="63"/>
  <c r="F602" i="63" s="1"/>
  <c r="E601" i="63"/>
  <c r="F601" i="63" s="1"/>
  <c r="C600" i="63"/>
  <c r="E600" i="63"/>
  <c r="C598" i="63"/>
  <c r="E598" i="63"/>
  <c r="C597" i="63"/>
  <c r="E597" i="63"/>
  <c r="C596" i="63"/>
  <c r="E596" i="63"/>
  <c r="E595" i="63"/>
  <c r="F595" i="63" s="1"/>
  <c r="C594" i="63"/>
  <c r="E594" i="63"/>
  <c r="C593" i="63"/>
  <c r="E593" i="63"/>
  <c r="C592" i="63"/>
  <c r="E592" i="63"/>
  <c r="E591" i="63"/>
  <c r="F591" i="63" s="1"/>
  <c r="E590" i="63"/>
  <c r="F590" i="63" s="1"/>
  <c r="C588" i="63"/>
  <c r="E588" i="63"/>
  <c r="C587" i="63"/>
  <c r="E587" i="63"/>
  <c r="C586" i="63"/>
  <c r="E586" i="63"/>
  <c r="C585" i="63"/>
  <c r="E585" i="63"/>
  <c r="C584" i="63"/>
  <c r="E584" i="63"/>
  <c r="E583" i="63"/>
  <c r="F583" i="63" s="1"/>
  <c r="C582" i="63"/>
  <c r="E582" i="63"/>
  <c r="C581" i="63"/>
  <c r="E581" i="63"/>
  <c r="E580" i="63"/>
  <c r="F580" i="63" s="1"/>
  <c r="E579" i="63"/>
  <c r="F579" i="63" s="1"/>
  <c r="E578" i="63"/>
  <c r="F578" i="63" s="1"/>
  <c r="E577" i="63"/>
  <c r="F577" i="63" s="1"/>
  <c r="E575" i="63"/>
  <c r="F575" i="63" s="1"/>
  <c r="E573" i="63"/>
  <c r="F573" i="63" s="1"/>
  <c r="C572" i="63"/>
  <c r="E572" i="63"/>
  <c r="E571" i="63"/>
  <c r="F571" i="63" s="1"/>
  <c r="C570" i="63"/>
  <c r="E570" i="63"/>
  <c r="E568" i="63"/>
  <c r="F568" i="63" s="1"/>
  <c r="C567" i="63"/>
  <c r="E567" i="63"/>
  <c r="E566" i="63"/>
  <c r="F566" i="63" s="1"/>
  <c r="C565" i="63"/>
  <c r="E565" i="63"/>
  <c r="C563" i="63"/>
  <c r="E563" i="63"/>
  <c r="C562" i="63"/>
  <c r="E562" i="63"/>
  <c r="C561" i="63"/>
  <c r="E561" i="63"/>
  <c r="C560" i="63"/>
  <c r="E560" i="63"/>
  <c r="C559" i="63"/>
  <c r="E559" i="63"/>
  <c r="C558" i="63"/>
  <c r="E558" i="63"/>
  <c r="C557" i="63"/>
  <c r="E557" i="63"/>
  <c r="C556" i="63"/>
  <c r="E556" i="63"/>
  <c r="C555" i="63"/>
  <c r="E555" i="63"/>
  <c r="C554" i="63"/>
  <c r="E554" i="63"/>
  <c r="C553" i="63"/>
  <c r="E553" i="63"/>
  <c r="C550" i="63"/>
  <c r="E550" i="63"/>
  <c r="C549" i="63"/>
  <c r="E549" i="63"/>
  <c r="C548" i="63"/>
  <c r="E548" i="63"/>
  <c r="E547" i="63"/>
  <c r="F547" i="63" s="1"/>
  <c r="E543" i="63"/>
  <c r="F543" i="63" s="1"/>
  <c r="C546" i="63"/>
  <c r="E546" i="63"/>
  <c r="C545" i="63"/>
  <c r="E545" i="63"/>
  <c r="E544" i="63"/>
  <c r="F544" i="63" s="1"/>
  <c r="C541" i="63"/>
  <c r="E541" i="63"/>
  <c r="C540" i="63"/>
  <c r="E540" i="63"/>
  <c r="E539" i="63"/>
  <c r="F539" i="63" s="1"/>
  <c r="C537" i="63"/>
  <c r="E537" i="63"/>
  <c r="C536" i="63"/>
  <c r="E536" i="63"/>
  <c r="C535" i="63"/>
  <c r="E535" i="63"/>
  <c r="C534" i="63"/>
  <c r="E534" i="63"/>
  <c r="C533" i="63"/>
  <c r="E533" i="63"/>
  <c r="C532" i="63"/>
  <c r="E532" i="63"/>
  <c r="C530" i="63"/>
  <c r="E530" i="63"/>
  <c r="C529" i="63"/>
  <c r="E529" i="63"/>
  <c r="E528" i="63"/>
  <c r="F528" i="63" s="1"/>
  <c r="E527" i="63"/>
  <c r="F527" i="63" s="1"/>
  <c r="C525" i="63"/>
  <c r="E525" i="63"/>
  <c r="E524" i="63"/>
  <c r="F524" i="63" s="1"/>
  <c r="C521" i="63"/>
  <c r="E522" i="63"/>
  <c r="F522" i="63" s="1"/>
  <c r="E521" i="63"/>
  <c r="C520" i="63"/>
  <c r="E520" i="63"/>
  <c r="C519" i="63"/>
  <c r="E519" i="63"/>
  <c r="E518" i="63"/>
  <c r="F518" i="63" s="1"/>
  <c r="C118" i="63"/>
  <c r="C221" i="63"/>
  <c r="C455" i="63"/>
  <c r="C516" i="63"/>
  <c r="F516" i="63" s="1"/>
  <c r="E516" i="63"/>
  <c r="C515" i="63"/>
  <c r="E515" i="63"/>
  <c r="C514" i="63"/>
  <c r="E514" i="63"/>
  <c r="C513" i="63"/>
  <c r="E513" i="63"/>
  <c r="C512" i="63"/>
  <c r="E512" i="63"/>
  <c r="C509" i="63"/>
  <c r="E509" i="63"/>
  <c r="C508" i="63"/>
  <c r="E508" i="63"/>
  <c r="C507" i="63"/>
  <c r="E507" i="63"/>
  <c r="E506" i="63"/>
  <c r="F506" i="63" s="1"/>
  <c r="E502" i="63"/>
  <c r="F502" i="63" s="1"/>
  <c r="C505" i="63"/>
  <c r="E505" i="63"/>
  <c r="C504" i="63"/>
  <c r="E504" i="63"/>
  <c r="E503" i="63"/>
  <c r="F503" i="63" s="1"/>
  <c r="C500" i="63"/>
  <c r="E500" i="63"/>
  <c r="E499" i="63"/>
  <c r="F499" i="63" s="1"/>
  <c r="C497" i="63"/>
  <c r="E497" i="63"/>
  <c r="E496" i="63"/>
  <c r="F496" i="63" s="1"/>
  <c r="C494" i="63"/>
  <c r="E494" i="63"/>
  <c r="C493" i="63"/>
  <c r="E493" i="63"/>
  <c r="C492" i="63"/>
  <c r="E492" i="63"/>
  <c r="C489" i="63"/>
  <c r="E489" i="63"/>
  <c r="E488" i="63"/>
  <c r="E487" i="63"/>
  <c r="F487" i="63" s="1"/>
  <c r="C488" i="63"/>
  <c r="C485" i="63"/>
  <c r="E485" i="63"/>
  <c r="E484" i="63"/>
  <c r="F484" i="63" s="1"/>
  <c r="C482" i="63"/>
  <c r="E482" i="63"/>
  <c r="C481" i="63"/>
  <c r="E481" i="63"/>
  <c r="E478" i="63"/>
  <c r="F478" i="63" s="1"/>
  <c r="C477" i="63"/>
  <c r="E477" i="63"/>
  <c r="C476" i="63"/>
  <c r="E476" i="63"/>
  <c r="C475" i="63"/>
  <c r="E475" i="63"/>
  <c r="E474" i="63"/>
  <c r="F474" i="63" s="1"/>
  <c r="E473" i="63"/>
  <c r="F473" i="63" s="1"/>
  <c r="E471" i="63"/>
  <c r="F471" i="63" s="1"/>
  <c r="C470" i="63"/>
  <c r="E470" i="63"/>
  <c r="C469" i="63"/>
  <c r="E469" i="63"/>
  <c r="C468" i="63"/>
  <c r="E468" i="63"/>
  <c r="E467" i="63"/>
  <c r="F467" i="63" s="1"/>
  <c r="E466" i="63"/>
  <c r="F466" i="63" s="1"/>
  <c r="C463" i="63"/>
  <c r="E464" i="63"/>
  <c r="F464" i="63" s="1"/>
  <c r="E463" i="63"/>
  <c r="C462" i="63"/>
  <c r="E462" i="63"/>
  <c r="C461" i="63"/>
  <c r="E461" i="63"/>
  <c r="E460" i="63"/>
  <c r="F460" i="63" s="1"/>
  <c r="E459" i="63"/>
  <c r="F459" i="63" s="1"/>
  <c r="C457" i="63"/>
  <c r="E457" i="63"/>
  <c r="C456" i="63"/>
  <c r="F456" i="63" s="1"/>
  <c r="E456" i="63"/>
  <c r="E455" i="63"/>
  <c r="E454" i="63"/>
  <c r="C454" i="63"/>
  <c r="C453" i="63"/>
  <c r="E453" i="63"/>
  <c r="C452" i="63"/>
  <c r="E452" i="63"/>
  <c r="C451" i="63"/>
  <c r="E451" i="63"/>
  <c r="C449" i="63"/>
  <c r="E449" i="63"/>
  <c r="E448" i="63"/>
  <c r="F448" i="63" s="1"/>
  <c r="C446" i="63"/>
  <c r="E446" i="63"/>
  <c r="E445" i="63"/>
  <c r="F445" i="63" s="1"/>
  <c r="C443" i="63"/>
  <c r="E443" i="63"/>
  <c r="E442" i="63"/>
  <c r="F442" i="63" s="1"/>
  <c r="C440" i="63"/>
  <c r="E440" i="63"/>
  <c r="C439" i="63"/>
  <c r="E439" i="63"/>
  <c r="C430" i="63"/>
  <c r="E430" i="63"/>
  <c r="D436" i="63"/>
  <c r="C436" i="63"/>
  <c r="E436" i="63"/>
  <c r="D435" i="63"/>
  <c r="E435" i="63"/>
  <c r="D434" i="63"/>
  <c r="C434" i="63"/>
  <c r="E434" i="63"/>
  <c r="C433" i="63"/>
  <c r="E433" i="63"/>
  <c r="C432" i="63"/>
  <c r="E432" i="63"/>
  <c r="E431" i="63"/>
  <c r="F431" i="63" s="1"/>
  <c r="E429" i="63"/>
  <c r="F429" i="63" s="1"/>
  <c r="D425" i="63"/>
  <c r="D427" i="63"/>
  <c r="C427" i="63"/>
  <c r="E427" i="63"/>
  <c r="D426" i="63"/>
  <c r="E426" i="63"/>
  <c r="C425" i="63"/>
  <c r="E425" i="63"/>
  <c r="E424" i="63"/>
  <c r="C424" i="63"/>
  <c r="C423" i="63"/>
  <c r="E423" i="63"/>
  <c r="E422" i="63"/>
  <c r="F422" i="63" s="1"/>
  <c r="E421" i="63"/>
  <c r="F421" i="63" s="1"/>
  <c r="C419" i="63"/>
  <c r="E419" i="63"/>
  <c r="E418" i="63"/>
  <c r="F418" i="63" s="1"/>
  <c r="C417" i="63"/>
  <c r="E417" i="63"/>
  <c r="C415" i="63"/>
  <c r="E415" i="63"/>
  <c r="E414" i="63"/>
  <c r="F414" i="63" s="1"/>
  <c r="C413" i="63"/>
  <c r="E413" i="63"/>
  <c r="E411" i="63"/>
  <c r="F411" i="63" s="1"/>
  <c r="C409" i="63"/>
  <c r="E409" i="63"/>
  <c r="C407" i="63"/>
  <c r="E407" i="63"/>
  <c r="C406" i="63"/>
  <c r="E406" i="63"/>
  <c r="C405" i="63"/>
  <c r="E405" i="63"/>
  <c r="C404" i="63"/>
  <c r="E404" i="63"/>
  <c r="C402" i="63"/>
  <c r="E402" i="63"/>
  <c r="C400" i="63"/>
  <c r="E400" i="63"/>
  <c r="C399" i="63"/>
  <c r="E399" i="63"/>
  <c r="E398" i="63"/>
  <c r="F398" i="63" s="1"/>
  <c r="C396" i="63"/>
  <c r="C395" i="63"/>
  <c r="E396" i="63"/>
  <c r="E395" i="63"/>
  <c r="E394" i="63"/>
  <c r="F394" i="63" s="1"/>
  <c r="C392" i="63"/>
  <c r="E392" i="63"/>
  <c r="C391" i="63"/>
  <c r="E391" i="63"/>
  <c r="C390" i="63"/>
  <c r="C389" i="63"/>
  <c r="E389" i="63"/>
  <c r="C388" i="63"/>
  <c r="E390" i="63"/>
  <c r="E388" i="63"/>
  <c r="H396" i="63" l="1"/>
  <c r="F396" i="63"/>
  <c r="H413" i="63"/>
  <c r="F413" i="63"/>
  <c r="H423" i="63"/>
  <c r="F423" i="63"/>
  <c r="H425" i="63"/>
  <c r="F425" i="63"/>
  <c r="H433" i="63"/>
  <c r="F433" i="63"/>
  <c r="H439" i="63"/>
  <c r="F439" i="63"/>
  <c r="H457" i="63"/>
  <c r="F457" i="63"/>
  <c r="H497" i="63"/>
  <c r="F497" i="63"/>
  <c r="H507" i="63"/>
  <c r="F507" i="63"/>
  <c r="H515" i="63"/>
  <c r="F515" i="63"/>
  <c r="H519" i="63"/>
  <c r="F519" i="63"/>
  <c r="H550" i="63"/>
  <c r="F550" i="63"/>
  <c r="H558" i="63"/>
  <c r="F558" i="63"/>
  <c r="H562" i="63"/>
  <c r="F562" i="63"/>
  <c r="H585" i="63"/>
  <c r="F585" i="63"/>
  <c r="H426" i="63"/>
  <c r="F426" i="63"/>
  <c r="H390" i="63"/>
  <c r="F390" i="63"/>
  <c r="H392" i="63"/>
  <c r="F392" i="63"/>
  <c r="H395" i="63"/>
  <c r="F395" i="63"/>
  <c r="H399" i="63"/>
  <c r="F399" i="63"/>
  <c r="H402" i="63"/>
  <c r="F402" i="63"/>
  <c r="H405" i="63"/>
  <c r="F405" i="63"/>
  <c r="H407" i="63"/>
  <c r="F407" i="63"/>
  <c r="H415" i="63"/>
  <c r="F415" i="63"/>
  <c r="H436" i="63"/>
  <c r="F436" i="63"/>
  <c r="H449" i="63"/>
  <c r="F449" i="63"/>
  <c r="H452" i="63"/>
  <c r="F452" i="63"/>
  <c r="H469" i="63"/>
  <c r="F469" i="63"/>
  <c r="H482" i="63"/>
  <c r="F482" i="63"/>
  <c r="H488" i="63"/>
  <c r="F488" i="63"/>
  <c r="H489" i="63"/>
  <c r="F489" i="63"/>
  <c r="H493" i="63"/>
  <c r="F493" i="63"/>
  <c r="H500" i="63"/>
  <c r="F500" i="63"/>
  <c r="F455" i="63"/>
  <c r="H455" i="63"/>
  <c r="H541" i="63"/>
  <c r="F541" i="63"/>
  <c r="H567" i="63"/>
  <c r="F567" i="63"/>
  <c r="H582" i="63"/>
  <c r="F582" i="63"/>
  <c r="H597" i="63"/>
  <c r="F597" i="63"/>
  <c r="H600" i="63"/>
  <c r="F600" i="63"/>
  <c r="H603" i="63"/>
  <c r="F603" i="63"/>
  <c r="H610" i="63"/>
  <c r="F610" i="63"/>
  <c r="H613" i="63"/>
  <c r="F613" i="63"/>
  <c r="H456" i="63"/>
  <c r="H388" i="63"/>
  <c r="F388" i="63"/>
  <c r="H427" i="63"/>
  <c r="F427" i="63"/>
  <c r="H446" i="63"/>
  <c r="F446" i="63"/>
  <c r="H461" i="63"/>
  <c r="F461" i="63"/>
  <c r="H505" i="63"/>
  <c r="F505" i="63"/>
  <c r="H529" i="63"/>
  <c r="F529" i="63"/>
  <c r="H534" i="63"/>
  <c r="F534" i="63"/>
  <c r="H546" i="63"/>
  <c r="F546" i="63"/>
  <c r="H556" i="63"/>
  <c r="F556" i="63"/>
  <c r="H565" i="63"/>
  <c r="F565" i="63"/>
  <c r="H587" i="63"/>
  <c r="F587" i="63"/>
  <c r="H593" i="63"/>
  <c r="F593" i="63"/>
  <c r="H391" i="63"/>
  <c r="F391" i="63"/>
  <c r="H400" i="63"/>
  <c r="F400" i="63"/>
  <c r="H404" i="63"/>
  <c r="F404" i="63"/>
  <c r="H406" i="63"/>
  <c r="F406" i="63"/>
  <c r="H409" i="63"/>
  <c r="F409" i="63"/>
  <c r="H417" i="63"/>
  <c r="F417" i="63"/>
  <c r="H424" i="63"/>
  <c r="F424" i="63"/>
  <c r="H435" i="63"/>
  <c r="F435" i="63"/>
  <c r="H443" i="63"/>
  <c r="F443" i="63"/>
  <c r="H451" i="63"/>
  <c r="F451" i="63"/>
  <c r="H453" i="63"/>
  <c r="F453" i="63"/>
  <c r="H463" i="63"/>
  <c r="F463" i="63"/>
  <c r="F468" i="63"/>
  <c r="H468" i="63"/>
  <c r="H470" i="63"/>
  <c r="F470" i="63"/>
  <c r="H481" i="63"/>
  <c r="F481" i="63"/>
  <c r="H492" i="63"/>
  <c r="F492" i="63"/>
  <c r="H494" i="63"/>
  <c r="F494" i="63"/>
  <c r="H118" i="63"/>
  <c r="H521" i="63"/>
  <c r="F521" i="63"/>
  <c r="H540" i="63"/>
  <c r="F540" i="63"/>
  <c r="H572" i="63"/>
  <c r="F572" i="63"/>
  <c r="H581" i="63"/>
  <c r="F581" i="63"/>
  <c r="H596" i="63"/>
  <c r="F596" i="63"/>
  <c r="H598" i="63"/>
  <c r="F598" i="63"/>
  <c r="H605" i="63"/>
  <c r="F605" i="63"/>
  <c r="H608" i="63"/>
  <c r="F608" i="63"/>
  <c r="H615" i="63"/>
  <c r="F615" i="63"/>
  <c r="H618" i="63"/>
  <c r="F618" i="63"/>
  <c r="H419" i="63"/>
  <c r="F419" i="63"/>
  <c r="H476" i="63"/>
  <c r="F476" i="63"/>
  <c r="H509" i="63"/>
  <c r="F509" i="63"/>
  <c r="H513" i="63"/>
  <c r="F513" i="63"/>
  <c r="H221" i="63"/>
  <c r="H525" i="63"/>
  <c r="F525" i="63"/>
  <c r="H532" i="63"/>
  <c r="F532" i="63"/>
  <c r="H536" i="63"/>
  <c r="F536" i="63"/>
  <c r="H548" i="63"/>
  <c r="F548" i="63"/>
  <c r="H554" i="63"/>
  <c r="F554" i="63"/>
  <c r="H560" i="63"/>
  <c r="F560" i="63"/>
  <c r="H389" i="63"/>
  <c r="F389" i="63"/>
  <c r="H432" i="63"/>
  <c r="F432" i="63"/>
  <c r="H434" i="63"/>
  <c r="F434" i="63"/>
  <c r="H430" i="63"/>
  <c r="F430" i="63"/>
  <c r="H440" i="63"/>
  <c r="F440" i="63"/>
  <c r="H454" i="63"/>
  <c r="F454" i="63"/>
  <c r="H462" i="63"/>
  <c r="F462" i="63"/>
  <c r="H475" i="63"/>
  <c r="F475" i="63"/>
  <c r="H477" i="63"/>
  <c r="F477" i="63"/>
  <c r="H485" i="63"/>
  <c r="F485" i="63"/>
  <c r="H504" i="63"/>
  <c r="F504" i="63"/>
  <c r="H508" i="63"/>
  <c r="F508" i="63"/>
  <c r="H512" i="63"/>
  <c r="F512" i="63"/>
  <c r="H514" i="63"/>
  <c r="F514" i="63"/>
  <c r="H520" i="63"/>
  <c r="F520" i="63"/>
  <c r="H530" i="63"/>
  <c r="F530" i="63"/>
  <c r="H533" i="63"/>
  <c r="F533" i="63"/>
  <c r="H535" i="63"/>
  <c r="F535" i="63"/>
  <c r="H537" i="63"/>
  <c r="F537" i="63"/>
  <c r="H545" i="63"/>
  <c r="F545" i="63"/>
  <c r="H549" i="63"/>
  <c r="F549" i="63"/>
  <c r="H553" i="63"/>
  <c r="F553" i="63"/>
  <c r="H555" i="63"/>
  <c r="F555" i="63"/>
  <c r="F557" i="63"/>
  <c r="H557" i="63"/>
  <c r="H559" i="63"/>
  <c r="F559" i="63"/>
  <c r="F561" i="63"/>
  <c r="H561" i="63"/>
  <c r="H563" i="63"/>
  <c r="F563" i="63"/>
  <c r="H570" i="63"/>
  <c r="F570" i="63"/>
  <c r="H584" i="63"/>
  <c r="F584" i="63"/>
  <c r="H586" i="63"/>
  <c r="F586" i="63"/>
  <c r="H588" i="63"/>
  <c r="F588" i="63"/>
  <c r="H592" i="63"/>
  <c r="F592" i="63"/>
  <c r="H594" i="63"/>
  <c r="F594" i="63"/>
  <c r="H516" i="63"/>
  <c r="C385" i="63"/>
  <c r="E385" i="63"/>
  <c r="C384" i="63"/>
  <c r="E384" i="63"/>
  <c r="C383" i="63"/>
  <c r="E383" i="63"/>
  <c r="E382" i="63"/>
  <c r="F382" i="63" s="1"/>
  <c r="C381" i="63"/>
  <c r="E381" i="63"/>
  <c r="C380" i="63"/>
  <c r="E380" i="63"/>
  <c r="E379" i="63"/>
  <c r="F379" i="63" s="1"/>
  <c r="C377" i="63"/>
  <c r="E377" i="63"/>
  <c r="C376" i="63"/>
  <c r="E376" i="63"/>
  <c r="C375" i="63"/>
  <c r="E375" i="63"/>
  <c r="E374" i="63"/>
  <c r="F374" i="63" s="1"/>
  <c r="C373" i="63"/>
  <c r="E373" i="63"/>
  <c r="E372" i="63"/>
  <c r="F372" i="63" s="1"/>
  <c r="C370" i="63"/>
  <c r="E370" i="63"/>
  <c r="C369" i="63"/>
  <c r="E369" i="63"/>
  <c r="C368" i="63"/>
  <c r="E368" i="63"/>
  <c r="E367" i="63"/>
  <c r="F367" i="63" s="1"/>
  <c r="C366" i="63"/>
  <c r="E366" i="63"/>
  <c r="E365" i="63"/>
  <c r="F365" i="63" s="1"/>
  <c r="E363" i="63"/>
  <c r="F363" i="63" s="1"/>
  <c r="C362" i="63"/>
  <c r="E362" i="63"/>
  <c r="E360" i="63"/>
  <c r="F360" i="63" s="1"/>
  <c r="C359" i="63"/>
  <c r="E359" i="63"/>
  <c r="C357" i="63"/>
  <c r="E357" i="63"/>
  <c r="C356" i="63"/>
  <c r="C355" i="63"/>
  <c r="E355" i="63"/>
  <c r="C354" i="63"/>
  <c r="E356" i="63"/>
  <c r="E354" i="63"/>
  <c r="C351" i="63"/>
  <c r="E351" i="63"/>
  <c r="C350" i="63"/>
  <c r="E350" i="63"/>
  <c r="C349" i="63"/>
  <c r="E349" i="63"/>
  <c r="C348" i="63"/>
  <c r="E348" i="63"/>
  <c r="E347" i="63"/>
  <c r="F347" i="63" s="1"/>
  <c r="C346" i="63"/>
  <c r="E346" i="63"/>
  <c r="C345" i="63"/>
  <c r="E345" i="63"/>
  <c r="C344" i="63"/>
  <c r="E344" i="63"/>
  <c r="E343" i="63"/>
  <c r="F343" i="63" s="1"/>
  <c r="E329" i="63"/>
  <c r="F329" i="63" s="1"/>
  <c r="C341" i="63"/>
  <c r="E341" i="63"/>
  <c r="C340" i="63"/>
  <c r="E340" i="63"/>
  <c r="C339" i="63"/>
  <c r="E339" i="63"/>
  <c r="C338" i="63"/>
  <c r="E338" i="63"/>
  <c r="C337" i="63"/>
  <c r="E337" i="63"/>
  <c r="C336" i="63"/>
  <c r="E336" i="63"/>
  <c r="E335" i="63"/>
  <c r="F335" i="63" s="1"/>
  <c r="C334" i="63"/>
  <c r="E334" i="63"/>
  <c r="C333" i="63"/>
  <c r="E333" i="63"/>
  <c r="C332" i="63"/>
  <c r="E332" i="63"/>
  <c r="C331" i="63"/>
  <c r="E331" i="63"/>
  <c r="C330" i="63"/>
  <c r="E330" i="63"/>
  <c r="C327" i="63"/>
  <c r="E327" i="63"/>
  <c r="C326" i="63"/>
  <c r="E326" i="63"/>
  <c r="C325" i="63"/>
  <c r="E325" i="63"/>
  <c r="C324" i="63"/>
  <c r="E324" i="63"/>
  <c r="C323" i="63"/>
  <c r="E323" i="63"/>
  <c r="C322" i="63"/>
  <c r="E322" i="63"/>
  <c r="E321" i="63"/>
  <c r="F321" i="63" s="1"/>
  <c r="C320" i="63"/>
  <c r="E320" i="63"/>
  <c r="C319" i="63"/>
  <c r="E319" i="63"/>
  <c r="E318" i="63"/>
  <c r="F318" i="63" s="1"/>
  <c r="E317" i="63"/>
  <c r="F317" i="63" s="1"/>
  <c r="E316" i="63"/>
  <c r="F316" i="63" s="1"/>
  <c r="C299" i="63"/>
  <c r="E299" i="63"/>
  <c r="E298" i="63"/>
  <c r="C298" i="63"/>
  <c r="C314" i="63"/>
  <c r="E314" i="63"/>
  <c r="C313" i="63"/>
  <c r="E313" i="63"/>
  <c r="C312" i="63"/>
  <c r="E312" i="63"/>
  <c r="C311" i="63"/>
  <c r="E311" i="63"/>
  <c r="C310" i="63"/>
  <c r="E310" i="63"/>
  <c r="C309" i="63"/>
  <c r="E309" i="63"/>
  <c r="C308" i="63"/>
  <c r="E308" i="63"/>
  <c r="E307" i="63"/>
  <c r="F307" i="63" s="1"/>
  <c r="E306" i="63"/>
  <c r="F306" i="63" s="1"/>
  <c r="C305" i="63"/>
  <c r="E305" i="63"/>
  <c r="C304" i="63"/>
  <c r="E304" i="63"/>
  <c r="E303" i="63"/>
  <c r="F303" i="63" s="1"/>
  <c r="E302" i="63"/>
  <c r="F302" i="63" s="1"/>
  <c r="E301" i="63"/>
  <c r="F301" i="63" s="1"/>
  <c r="E296" i="63"/>
  <c r="F296" i="63" s="1"/>
  <c r="C295" i="63"/>
  <c r="E295" i="63"/>
  <c r="E293" i="63"/>
  <c r="F293" i="63" s="1"/>
  <c r="C292" i="63"/>
  <c r="E292" i="63"/>
  <c r="C290" i="63"/>
  <c r="E290" i="63"/>
  <c r="E289" i="63"/>
  <c r="F289" i="63" s="1"/>
  <c r="C288" i="63"/>
  <c r="E288" i="63"/>
  <c r="E287" i="63"/>
  <c r="F287" i="63" s="1"/>
  <c r="C286" i="63"/>
  <c r="E286" i="63"/>
  <c r="C285" i="63"/>
  <c r="E285" i="63"/>
  <c r="C283" i="63"/>
  <c r="C281" i="63"/>
  <c r="C279" i="63"/>
  <c r="E283" i="63"/>
  <c r="E282" i="63"/>
  <c r="F282" i="63" s="1"/>
  <c r="E281" i="63"/>
  <c r="E280" i="63"/>
  <c r="F280" i="63" s="1"/>
  <c r="E279" i="63"/>
  <c r="C278" i="63"/>
  <c r="E278" i="63"/>
  <c r="C276" i="63"/>
  <c r="E276" i="63"/>
  <c r="C275" i="63"/>
  <c r="E275" i="63"/>
  <c r="C274" i="63"/>
  <c r="E274" i="63"/>
  <c r="C273" i="63"/>
  <c r="E273" i="63"/>
  <c r="C272" i="63"/>
  <c r="E272" i="63"/>
  <c r="C271" i="63"/>
  <c r="E271" i="63"/>
  <c r="C270" i="63"/>
  <c r="E270" i="63"/>
  <c r="C269" i="63"/>
  <c r="E269" i="63"/>
  <c r="C268" i="63"/>
  <c r="E268" i="63"/>
  <c r="C267" i="63"/>
  <c r="E267" i="63"/>
  <c r="C266" i="63"/>
  <c r="E266" i="63"/>
  <c r="E263" i="63"/>
  <c r="F263" i="63" s="1"/>
  <c r="C262" i="63"/>
  <c r="E262" i="63"/>
  <c r="C261" i="63"/>
  <c r="E261" i="63"/>
  <c r="C260" i="63"/>
  <c r="E260" i="63"/>
  <c r="E259" i="63"/>
  <c r="F259" i="63" s="1"/>
  <c r="C258" i="63"/>
  <c r="E258" i="63"/>
  <c r="E257" i="63"/>
  <c r="F257" i="63" s="1"/>
  <c r="E255" i="63"/>
  <c r="F255" i="63" s="1"/>
  <c r="C254" i="63"/>
  <c r="E254" i="63"/>
  <c r="C253" i="63"/>
  <c r="E253" i="63"/>
  <c r="C252" i="63"/>
  <c r="E252" i="63"/>
  <c r="E251" i="63"/>
  <c r="F251" i="63" s="1"/>
  <c r="C250" i="63"/>
  <c r="E250" i="63"/>
  <c r="E249" i="63"/>
  <c r="F249" i="63" s="1"/>
  <c r="E247" i="63"/>
  <c r="F247" i="63" s="1"/>
  <c r="C246" i="63"/>
  <c r="E246" i="63"/>
  <c r="C245" i="63"/>
  <c r="E245" i="63"/>
  <c r="C244" i="63"/>
  <c r="E244" i="63"/>
  <c r="E243" i="63"/>
  <c r="F243" i="63" s="1"/>
  <c r="C242" i="63"/>
  <c r="E242" i="63"/>
  <c r="E241" i="63"/>
  <c r="F241" i="63" s="1"/>
  <c r="E239" i="63"/>
  <c r="F239" i="63" s="1"/>
  <c r="C238" i="63"/>
  <c r="E238" i="63"/>
  <c r="C237" i="63"/>
  <c r="E237" i="63"/>
  <c r="C236" i="63"/>
  <c r="E236" i="63"/>
  <c r="E235" i="63"/>
  <c r="F235" i="63" s="1"/>
  <c r="C234" i="63"/>
  <c r="E234" i="63"/>
  <c r="E233" i="63"/>
  <c r="F233" i="63" s="1"/>
  <c r="E231" i="63"/>
  <c r="F231" i="63" s="1"/>
  <c r="C230" i="63"/>
  <c r="E230" i="63"/>
  <c r="C229" i="63"/>
  <c r="E229" i="63"/>
  <c r="E228" i="63"/>
  <c r="C228" i="63"/>
  <c r="E227" i="63"/>
  <c r="F227" i="63" s="1"/>
  <c r="C226" i="63"/>
  <c r="E226" i="63"/>
  <c r="E225" i="63"/>
  <c r="F225" i="63" s="1"/>
  <c r="C223" i="63"/>
  <c r="E223" i="63"/>
  <c r="C222" i="63"/>
  <c r="E222" i="63"/>
  <c r="E221" i="63"/>
  <c r="F221" i="63" s="1"/>
  <c r="C220" i="63"/>
  <c r="C219" i="63"/>
  <c r="E219" i="63"/>
  <c r="C218" i="63"/>
  <c r="E218" i="63"/>
  <c r="C217" i="63"/>
  <c r="E220" i="63"/>
  <c r="E217" i="63"/>
  <c r="C214" i="63"/>
  <c r="E214" i="63"/>
  <c r="C213" i="63"/>
  <c r="E213" i="63"/>
  <c r="C212" i="63"/>
  <c r="E212" i="63"/>
  <c r="E211" i="63"/>
  <c r="F211" i="63" s="1"/>
  <c r="C210" i="63"/>
  <c r="E210" i="63"/>
  <c r="C209" i="63"/>
  <c r="E209" i="63"/>
  <c r="C208" i="63"/>
  <c r="E208" i="63"/>
  <c r="E207" i="63"/>
  <c r="F207" i="63" s="1"/>
  <c r="C205" i="63"/>
  <c r="E205" i="63"/>
  <c r="C204" i="63"/>
  <c r="E204" i="63"/>
  <c r="C199" i="63"/>
  <c r="E199" i="63"/>
  <c r="E200" i="63"/>
  <c r="C200" i="63"/>
  <c r="C203" i="63"/>
  <c r="E203" i="63"/>
  <c r="E202" i="63"/>
  <c r="F202" i="63" s="1"/>
  <c r="C201" i="63"/>
  <c r="E201" i="63"/>
  <c r="E198" i="63"/>
  <c r="F198" i="63" s="1"/>
  <c r="E196" i="63"/>
  <c r="F196" i="63" s="1"/>
  <c r="C195" i="63"/>
  <c r="E195" i="63"/>
  <c r="C194" i="63"/>
  <c r="E194" i="63"/>
  <c r="C193" i="63"/>
  <c r="E193" i="63"/>
  <c r="E192" i="63"/>
  <c r="F192" i="63" s="1"/>
  <c r="C191" i="63"/>
  <c r="E191" i="63"/>
  <c r="C190" i="63"/>
  <c r="E190" i="63"/>
  <c r="E189" i="63"/>
  <c r="F189" i="63" s="1"/>
  <c r="E187" i="63"/>
  <c r="F187" i="63" s="1"/>
  <c r="C186" i="63"/>
  <c r="E186" i="63"/>
  <c r="C185" i="63"/>
  <c r="E185" i="63"/>
  <c r="C184" i="63"/>
  <c r="E184" i="63"/>
  <c r="E183" i="63"/>
  <c r="F183" i="63" s="1"/>
  <c r="C182" i="63"/>
  <c r="E182" i="63"/>
  <c r="C181" i="63"/>
  <c r="E181" i="63"/>
  <c r="E180" i="63"/>
  <c r="F180" i="63" s="1"/>
  <c r="C136" i="63"/>
  <c r="E136" i="63"/>
  <c r="E135" i="63"/>
  <c r="F135" i="63" s="1"/>
  <c r="C134" i="63"/>
  <c r="E134" i="63"/>
  <c r="C133" i="63"/>
  <c r="E133" i="63"/>
  <c r="C178" i="63"/>
  <c r="E178" i="63"/>
  <c r="C177" i="63"/>
  <c r="E177" i="63"/>
  <c r="E176" i="63"/>
  <c r="F176" i="63" s="1"/>
  <c r="E175" i="63"/>
  <c r="F175" i="63" s="1"/>
  <c r="C173" i="63"/>
  <c r="E173" i="63"/>
  <c r="C172" i="63"/>
  <c r="E172" i="63"/>
  <c r="E171" i="63"/>
  <c r="F171" i="63" s="1"/>
  <c r="E170" i="63"/>
  <c r="F170" i="63" s="1"/>
  <c r="C168" i="63"/>
  <c r="E168" i="63"/>
  <c r="C167" i="63"/>
  <c r="E167" i="63"/>
  <c r="E166" i="63"/>
  <c r="F166" i="63" s="1"/>
  <c r="E165" i="63"/>
  <c r="F165" i="63" s="1"/>
  <c r="E163" i="63"/>
  <c r="F163" i="63" s="1"/>
  <c r="C162" i="63"/>
  <c r="E162" i="63"/>
  <c r="C161" i="63"/>
  <c r="E161" i="63"/>
  <c r="E160" i="63"/>
  <c r="F160" i="63" s="1"/>
  <c r="C159" i="63"/>
  <c r="E159" i="63"/>
  <c r="C158" i="63"/>
  <c r="E158" i="63"/>
  <c r="C157" i="63"/>
  <c r="E157" i="63"/>
  <c r="E156" i="63"/>
  <c r="F156" i="63" s="1"/>
  <c r="E154" i="63"/>
  <c r="F154" i="63" s="1"/>
  <c r="C153" i="63"/>
  <c r="E153" i="63"/>
  <c r="C152" i="63"/>
  <c r="E152" i="63"/>
  <c r="E151" i="63"/>
  <c r="F151" i="63" s="1"/>
  <c r="C150" i="63"/>
  <c r="E150" i="63"/>
  <c r="C149" i="63"/>
  <c r="E149" i="63"/>
  <c r="C148" i="63"/>
  <c r="E148" i="63"/>
  <c r="E147" i="63"/>
  <c r="F147" i="63" s="1"/>
  <c r="C121" i="63"/>
  <c r="E121" i="63"/>
  <c r="C120" i="63"/>
  <c r="E120" i="63"/>
  <c r="C119" i="63"/>
  <c r="E119" i="63"/>
  <c r="E118" i="63"/>
  <c r="F118" i="63" s="1"/>
  <c r="E145" i="63"/>
  <c r="F145" i="63" s="1"/>
  <c r="C144" i="63"/>
  <c r="E144" i="63"/>
  <c r="C143" i="63"/>
  <c r="E143" i="63"/>
  <c r="E142" i="63"/>
  <c r="F142" i="63" s="1"/>
  <c r="C141" i="63"/>
  <c r="E141" i="63"/>
  <c r="C140" i="63"/>
  <c r="E140" i="63"/>
  <c r="C139" i="63"/>
  <c r="E139" i="63"/>
  <c r="E138" i="63"/>
  <c r="F138" i="63" s="1"/>
  <c r="C131" i="63"/>
  <c r="E131" i="63"/>
  <c r="E130" i="63"/>
  <c r="F130" i="63" s="1"/>
  <c r="C129" i="63"/>
  <c r="E129" i="63"/>
  <c r="C128" i="63"/>
  <c r="E128" i="63"/>
  <c r="C126" i="63"/>
  <c r="E126" i="63"/>
  <c r="C124" i="63"/>
  <c r="E124" i="63"/>
  <c r="C123" i="63"/>
  <c r="E125" i="63"/>
  <c r="F125" i="63" s="1"/>
  <c r="E123" i="63"/>
  <c r="C117" i="63"/>
  <c r="E117" i="63"/>
  <c r="C116" i="63"/>
  <c r="C115" i="63"/>
  <c r="E115" i="63"/>
  <c r="C114" i="63"/>
  <c r="E114" i="63"/>
  <c r="C113" i="63"/>
  <c r="E116" i="63"/>
  <c r="E113" i="63"/>
  <c r="C110" i="63"/>
  <c r="C94" i="63"/>
  <c r="C77" i="63"/>
  <c r="C59" i="63"/>
  <c r="C37" i="63"/>
  <c r="E110" i="63"/>
  <c r="C109" i="63"/>
  <c r="E109" i="63"/>
  <c r="C108" i="63"/>
  <c r="E108" i="63"/>
  <c r="C107" i="63"/>
  <c r="E107" i="63"/>
  <c r="C106" i="63"/>
  <c r="E106" i="63"/>
  <c r="E105" i="63"/>
  <c r="F105" i="63" s="1"/>
  <c r="C104" i="63"/>
  <c r="E104" i="63"/>
  <c r="E103" i="63"/>
  <c r="F103" i="63" s="1"/>
  <c r="C102" i="63"/>
  <c r="E102" i="63"/>
  <c r="C101" i="63"/>
  <c r="E101" i="63"/>
  <c r="C100" i="63"/>
  <c r="E100" i="63"/>
  <c r="C99" i="63"/>
  <c r="E99" i="63"/>
  <c r="E98" i="63"/>
  <c r="F98" i="63" s="1"/>
  <c r="E97" i="63"/>
  <c r="F97" i="63" s="1"/>
  <c r="C96" i="63"/>
  <c r="E96" i="63"/>
  <c r="E94" i="63"/>
  <c r="C93" i="63"/>
  <c r="E93" i="63"/>
  <c r="C92" i="63"/>
  <c r="E92" i="63"/>
  <c r="C91" i="63"/>
  <c r="E91" i="63"/>
  <c r="E79" i="63"/>
  <c r="F79" i="63" s="1"/>
  <c r="C90" i="63"/>
  <c r="E90" i="63"/>
  <c r="E89" i="63"/>
  <c r="F89" i="63" s="1"/>
  <c r="C88" i="63"/>
  <c r="E88" i="63"/>
  <c r="E87" i="63"/>
  <c r="F87" i="63" s="1"/>
  <c r="C86" i="63"/>
  <c r="E86" i="63"/>
  <c r="C85" i="63"/>
  <c r="E85" i="63"/>
  <c r="C84" i="63"/>
  <c r="E84" i="63"/>
  <c r="C83" i="63"/>
  <c r="E83" i="63"/>
  <c r="E82" i="63"/>
  <c r="F82" i="63" s="1"/>
  <c r="E81" i="63"/>
  <c r="F81" i="63" s="1"/>
  <c r="C80" i="63"/>
  <c r="E80" i="63"/>
  <c r="E77" i="63"/>
  <c r="E59" i="63"/>
  <c r="E37" i="63"/>
  <c r="C41" i="63"/>
  <c r="E41" i="63"/>
  <c r="E40" i="63"/>
  <c r="F40" i="63" s="1"/>
  <c r="C39" i="63"/>
  <c r="E39" i="63"/>
  <c r="C76" i="63"/>
  <c r="E76" i="63"/>
  <c r="C75" i="63"/>
  <c r="E75" i="63"/>
  <c r="C74" i="63"/>
  <c r="E74" i="63"/>
  <c r="C73" i="63"/>
  <c r="E73" i="63"/>
  <c r="C72" i="63"/>
  <c r="E72" i="63"/>
  <c r="C71" i="63"/>
  <c r="E71" i="63"/>
  <c r="E70" i="63"/>
  <c r="F70" i="63" s="1"/>
  <c r="C69" i="63"/>
  <c r="E69" i="63"/>
  <c r="C68" i="63"/>
  <c r="E68" i="63"/>
  <c r="E67" i="63"/>
  <c r="F67" i="63" s="1"/>
  <c r="C66" i="63"/>
  <c r="E66" i="63"/>
  <c r="C65" i="63"/>
  <c r="E65" i="63"/>
  <c r="C64" i="63"/>
  <c r="E64" i="63"/>
  <c r="E63" i="63"/>
  <c r="F63" i="63" s="1"/>
  <c r="E62" i="63"/>
  <c r="F62" i="63" s="1"/>
  <c r="E61" i="63"/>
  <c r="F61" i="63" s="1"/>
  <c r="C58" i="63"/>
  <c r="E58" i="63"/>
  <c r="C57" i="63"/>
  <c r="E57" i="63"/>
  <c r="C56" i="63"/>
  <c r="E56" i="63"/>
  <c r="C55" i="63"/>
  <c r="E55" i="63"/>
  <c r="C54" i="63"/>
  <c r="E54" i="63"/>
  <c r="C53" i="63"/>
  <c r="E53" i="63"/>
  <c r="E52" i="63"/>
  <c r="F52" i="63" s="1"/>
  <c r="C51" i="63"/>
  <c r="E51" i="63"/>
  <c r="C50" i="63"/>
  <c r="E50" i="63"/>
  <c r="E49" i="63"/>
  <c r="F49" i="63" s="1"/>
  <c r="C48" i="63"/>
  <c r="E48" i="63"/>
  <c r="C47" i="63"/>
  <c r="E47" i="63"/>
  <c r="C46" i="63"/>
  <c r="E46" i="63"/>
  <c r="E45" i="63"/>
  <c r="F45" i="63" s="1"/>
  <c r="E44" i="63"/>
  <c r="F44" i="63" s="1"/>
  <c r="E43" i="63"/>
  <c r="F43" i="63" s="1"/>
  <c r="C36" i="63"/>
  <c r="E36" i="63"/>
  <c r="C35" i="63"/>
  <c r="E35" i="63"/>
  <c r="C34" i="63"/>
  <c r="E34" i="63"/>
  <c r="C33" i="63"/>
  <c r="E33" i="63"/>
  <c r="C32" i="63"/>
  <c r="E32" i="63"/>
  <c r="C31" i="63"/>
  <c r="E31" i="63"/>
  <c r="E30" i="63"/>
  <c r="F30" i="63" s="1"/>
  <c r="C29" i="63"/>
  <c r="E29" i="63"/>
  <c r="C28" i="63"/>
  <c r="E28" i="63"/>
  <c r="E27" i="63"/>
  <c r="F27" i="63" s="1"/>
  <c r="C26" i="63"/>
  <c r="E26" i="63"/>
  <c r="C25" i="63"/>
  <c r="E25" i="63"/>
  <c r="C24" i="63"/>
  <c r="E24" i="63"/>
  <c r="E23" i="63"/>
  <c r="F23" i="63" s="1"/>
  <c r="E22" i="63"/>
  <c r="F22" i="63" s="1"/>
  <c r="E21" i="63"/>
  <c r="F21" i="63" s="1"/>
  <c r="C19" i="63"/>
  <c r="E19" i="63"/>
  <c r="E18" i="63"/>
  <c r="F18" i="63" s="1"/>
  <c r="C17" i="63"/>
  <c r="E17" i="63"/>
  <c r="C11" i="63"/>
  <c r="E11" i="63"/>
  <c r="C8" i="63"/>
  <c r="E8" i="63"/>
  <c r="C7" i="63"/>
  <c r="E7" i="63"/>
  <c r="C15" i="63"/>
  <c r="E15" i="63"/>
  <c r="E14" i="63"/>
  <c r="F14" i="63" s="1"/>
  <c r="C13" i="63"/>
  <c r="E13" i="63"/>
  <c r="C4" i="63"/>
  <c r="C10" i="63"/>
  <c r="C9" i="63"/>
  <c r="C6" i="63"/>
  <c r="C5" i="63"/>
  <c r="E10" i="63"/>
  <c r="E9" i="63"/>
  <c r="E6" i="63"/>
  <c r="E5" i="63"/>
  <c r="E4" i="63"/>
  <c r="D126" i="62"/>
  <c r="E126" i="62"/>
  <c r="D125" i="62"/>
  <c r="E125" i="62"/>
  <c r="D122" i="62"/>
  <c r="C123" i="62"/>
  <c r="E123" i="62"/>
  <c r="E122" i="62"/>
  <c r="E121" i="62"/>
  <c r="F121" i="62" s="1"/>
  <c r="E120" i="62"/>
  <c r="F120" i="62" s="1"/>
  <c r="E119" i="62"/>
  <c r="F119" i="62" s="1"/>
  <c r="E117" i="62"/>
  <c r="F117" i="62" s="1"/>
  <c r="E118" i="62"/>
  <c r="F118" i="62" s="1"/>
  <c r="E116" i="62"/>
  <c r="F116" i="62" s="1"/>
  <c r="E115" i="62"/>
  <c r="F115" i="62" s="1"/>
  <c r="E114" i="62"/>
  <c r="F114" i="62" s="1"/>
  <c r="E112" i="62"/>
  <c r="F112" i="62" s="1"/>
  <c r="D110" i="62"/>
  <c r="E110" i="62"/>
  <c r="D109" i="62"/>
  <c r="E109" i="62"/>
  <c r="D108" i="62"/>
  <c r="E108" i="62"/>
  <c r="E106" i="62"/>
  <c r="F106" i="62" s="1"/>
  <c r="E105" i="62"/>
  <c r="F105" i="62" s="1"/>
  <c r="C104" i="62"/>
  <c r="E104" i="62"/>
  <c r="E103" i="62"/>
  <c r="F103" i="62" s="1"/>
  <c r="E102" i="62"/>
  <c r="F102" i="62" s="1"/>
  <c r="E101" i="62"/>
  <c r="F101" i="62" s="1"/>
  <c r="D99" i="62"/>
  <c r="E99" i="62"/>
  <c r="D98" i="62"/>
  <c r="E98" i="62"/>
  <c r="D97" i="62"/>
  <c r="E97" i="62"/>
  <c r="D96" i="62"/>
  <c r="E96" i="62"/>
  <c r="D95" i="62"/>
  <c r="E95" i="62"/>
  <c r="D93" i="62"/>
  <c r="D94" i="62"/>
  <c r="E94" i="62"/>
  <c r="E93" i="62"/>
  <c r="D92" i="62"/>
  <c r="E92" i="62"/>
  <c r="D91" i="62"/>
  <c r="E91" i="62"/>
  <c r="D90" i="62"/>
  <c r="E90" i="62"/>
  <c r="D89" i="62"/>
  <c r="E89" i="62"/>
  <c r="D88" i="62"/>
  <c r="E88" i="62"/>
  <c r="D87" i="62"/>
  <c r="E87" i="62"/>
  <c r="E85" i="62"/>
  <c r="F85" i="62" s="1"/>
  <c r="E84" i="62"/>
  <c r="F84" i="62" s="1"/>
  <c r="E83" i="62"/>
  <c r="F83" i="62" s="1"/>
  <c r="E82" i="62"/>
  <c r="F82" i="62" s="1"/>
  <c r="E81" i="62"/>
  <c r="F81" i="62" s="1"/>
  <c r="E80" i="62"/>
  <c r="F80" i="62" s="1"/>
  <c r="E79" i="62"/>
  <c r="F79" i="62" s="1"/>
  <c r="E78" i="62"/>
  <c r="F78" i="62" s="1"/>
  <c r="E77" i="62"/>
  <c r="F77" i="62" s="1"/>
  <c r="E76" i="62"/>
  <c r="F76" i="62" s="1"/>
  <c r="E75" i="62"/>
  <c r="F75" i="62" s="1"/>
  <c r="E74" i="62"/>
  <c r="F74" i="62" s="1"/>
  <c r="E73" i="62"/>
  <c r="F73" i="62" s="1"/>
  <c r="E72" i="62"/>
  <c r="F72" i="62" s="1"/>
  <c r="E71" i="62"/>
  <c r="F71" i="62" s="1"/>
  <c r="E70" i="62"/>
  <c r="F70" i="62" s="1"/>
  <c r="E69" i="62"/>
  <c r="F69" i="62" s="1"/>
  <c r="E68" i="62"/>
  <c r="F68" i="62" s="1"/>
  <c r="D66" i="62"/>
  <c r="D65" i="62"/>
  <c r="E66" i="62"/>
  <c r="E65" i="62"/>
  <c r="D62" i="62"/>
  <c r="E62" i="62"/>
  <c r="C63" i="62"/>
  <c r="E63" i="62"/>
  <c r="E61" i="62"/>
  <c r="F61" i="62" s="1"/>
  <c r="E60" i="62"/>
  <c r="F60" i="62" s="1"/>
  <c r="E59" i="62"/>
  <c r="F59" i="62" s="1"/>
  <c r="E58" i="62"/>
  <c r="F58" i="62" s="1"/>
  <c r="E57" i="62"/>
  <c r="F57" i="62" s="1"/>
  <c r="E56" i="62"/>
  <c r="F56" i="62" s="1"/>
  <c r="C54" i="62"/>
  <c r="E54" i="62"/>
  <c r="D52" i="62"/>
  <c r="E52" i="62"/>
  <c r="D51" i="62"/>
  <c r="E51" i="62"/>
  <c r="E50" i="62"/>
  <c r="F50" i="62" s="1"/>
  <c r="E49" i="62"/>
  <c r="F49" i="62" s="1"/>
  <c r="C48" i="62"/>
  <c r="E48" i="62"/>
  <c r="C47" i="62"/>
  <c r="E47" i="62"/>
  <c r="E46" i="62"/>
  <c r="F46" i="62" s="1"/>
  <c r="E45" i="62"/>
  <c r="F45" i="62" s="1"/>
  <c r="D43" i="62"/>
  <c r="E43" i="62"/>
  <c r="D42" i="62"/>
  <c r="E42" i="62"/>
  <c r="D41" i="62"/>
  <c r="E41" i="62"/>
  <c r="E39" i="62"/>
  <c r="F39" i="62" s="1"/>
  <c r="C38" i="62"/>
  <c r="E36" i="62"/>
  <c r="F36" i="62" s="1"/>
  <c r="E35" i="62"/>
  <c r="F35" i="62" s="1"/>
  <c r="C34" i="62"/>
  <c r="E34" i="62"/>
  <c r="C31" i="62"/>
  <c r="E38" i="62"/>
  <c r="E37" i="62"/>
  <c r="F37" i="62" s="1"/>
  <c r="E33" i="62"/>
  <c r="F33" i="62" s="1"/>
  <c r="E32" i="62"/>
  <c r="F32" i="62" s="1"/>
  <c r="E31" i="62"/>
  <c r="E30" i="62"/>
  <c r="F30" i="62" s="1"/>
  <c r="E30" i="61"/>
  <c r="F30" i="61" s="1"/>
  <c r="E29" i="61"/>
  <c r="F29" i="61" s="1"/>
  <c r="C26" i="61"/>
  <c r="E28" i="61"/>
  <c r="F28" i="61" s="1"/>
  <c r="E27" i="61"/>
  <c r="F27" i="61" s="1"/>
  <c r="E26" i="61"/>
  <c r="E25" i="61"/>
  <c r="F25" i="61" s="1"/>
  <c r="C23" i="61"/>
  <c r="E23" i="61"/>
  <c r="C9" i="61"/>
  <c r="C17" i="60"/>
  <c r="C15" i="60"/>
  <c r="C20" i="61"/>
  <c r="C18" i="61"/>
  <c r="E19" i="61"/>
  <c r="F19" i="61" s="1"/>
  <c r="E21" i="61"/>
  <c r="F21" i="61" s="1"/>
  <c r="E20" i="61"/>
  <c r="E18" i="61"/>
  <c r="E17" i="61"/>
  <c r="F17" i="61" s="1"/>
  <c r="E16" i="61"/>
  <c r="F16" i="61" s="1"/>
  <c r="E22" i="61"/>
  <c r="F22" i="61" s="1"/>
  <c r="E15" i="61"/>
  <c r="F15" i="61" s="1"/>
  <c r="C13" i="61"/>
  <c r="E13" i="61"/>
  <c r="E12" i="61"/>
  <c r="F12" i="61" s="1"/>
  <c r="E9" i="61"/>
  <c r="E7" i="61"/>
  <c r="F7" i="61" s="1"/>
  <c r="E11" i="61"/>
  <c r="F11" i="61" s="1"/>
  <c r="E10" i="61"/>
  <c r="F10" i="61" s="1"/>
  <c r="E8" i="61"/>
  <c r="F8" i="61" s="1"/>
  <c r="E6" i="61"/>
  <c r="F6" i="61" s="1"/>
  <c r="C4" i="61"/>
  <c r="E4" i="61"/>
  <c r="C3" i="61"/>
  <c r="E3" i="61"/>
  <c r="E26" i="60"/>
  <c r="F26" i="60" s="1"/>
  <c r="E25" i="60"/>
  <c r="F25" i="60" s="1"/>
  <c r="E24" i="60"/>
  <c r="F24" i="60" s="1"/>
  <c r="E23" i="60"/>
  <c r="F23" i="60" s="1"/>
  <c r="C21" i="60"/>
  <c r="E21" i="60"/>
  <c r="E20" i="60"/>
  <c r="F20" i="60" s="1"/>
  <c r="E19" i="60"/>
  <c r="F19" i="60" s="1"/>
  <c r="E18" i="60"/>
  <c r="F18" i="60" s="1"/>
  <c r="E17" i="60"/>
  <c r="E16" i="60"/>
  <c r="F16" i="60" s="1"/>
  <c r="E15" i="60"/>
  <c r="E13" i="60"/>
  <c r="F13" i="60" s="1"/>
  <c r="C12" i="60"/>
  <c r="E12" i="60"/>
  <c r="E11" i="60"/>
  <c r="F11" i="60" s="1"/>
  <c r="E10" i="60"/>
  <c r="F10" i="60" s="1"/>
  <c r="E8" i="60"/>
  <c r="F8" i="60" s="1"/>
  <c r="C7" i="60"/>
  <c r="E7" i="60"/>
  <c r="E6" i="60"/>
  <c r="F6" i="60" s="1"/>
  <c r="C4" i="60"/>
  <c r="E4" i="60"/>
  <c r="C3" i="60"/>
  <c r="E3" i="60"/>
  <c r="E241" i="59"/>
  <c r="E242" i="59"/>
  <c r="E240" i="59"/>
  <c r="D239" i="59"/>
  <c r="H239" i="59" s="1"/>
  <c r="D238" i="59"/>
  <c r="H238" i="59" s="1"/>
  <c r="D237" i="59"/>
  <c r="H237" i="59" s="1"/>
  <c r="E239" i="59"/>
  <c r="E238" i="59"/>
  <c r="E237" i="59"/>
  <c r="E233" i="59"/>
  <c r="F233" i="59" s="1"/>
  <c r="E232" i="59"/>
  <c r="F232" i="59" s="1"/>
  <c r="C231" i="59"/>
  <c r="H231" i="59" s="1"/>
  <c r="E231" i="59"/>
  <c r="E230" i="59"/>
  <c r="F230" i="59" s="1"/>
  <c r="E229" i="59"/>
  <c r="F229" i="59" s="1"/>
  <c r="E228" i="59"/>
  <c r="F228" i="59" s="1"/>
  <c r="E227" i="59"/>
  <c r="F227" i="59" s="1"/>
  <c r="C226" i="59"/>
  <c r="H226" i="59" s="1"/>
  <c r="E226" i="59"/>
  <c r="C225" i="59"/>
  <c r="H225" i="59" s="1"/>
  <c r="E225" i="59"/>
  <c r="C224" i="59"/>
  <c r="H224" i="59" s="1"/>
  <c r="E224" i="59"/>
  <c r="E223" i="59"/>
  <c r="F223" i="59" s="1"/>
  <c r="D221" i="59"/>
  <c r="H221" i="59" s="1"/>
  <c r="D220" i="59"/>
  <c r="H220" i="59" s="1"/>
  <c r="D219" i="59"/>
  <c r="H219" i="59" s="1"/>
  <c r="C218" i="59"/>
  <c r="H218" i="59" s="1"/>
  <c r="E221" i="59"/>
  <c r="E220" i="59"/>
  <c r="E218" i="59"/>
  <c r="D216" i="59"/>
  <c r="H216" i="59" s="1"/>
  <c r="E216" i="59"/>
  <c r="H10" i="63" l="1"/>
  <c r="F10" i="63"/>
  <c r="H7" i="63"/>
  <c r="F7" i="63"/>
  <c r="H34" i="63"/>
  <c r="F34" i="63"/>
  <c r="H50" i="63"/>
  <c r="F50" i="63"/>
  <c r="H64" i="63"/>
  <c r="F64" i="63"/>
  <c r="H71" i="63"/>
  <c r="F71" i="63"/>
  <c r="H75" i="63"/>
  <c r="F75" i="63"/>
  <c r="H80" i="63"/>
  <c r="F80" i="63"/>
  <c r="H90" i="63"/>
  <c r="F90" i="63"/>
  <c r="H100" i="63"/>
  <c r="F100" i="63"/>
  <c r="H109" i="63"/>
  <c r="F109" i="63"/>
  <c r="F120" i="63"/>
  <c r="H120" i="63"/>
  <c r="H152" i="63"/>
  <c r="F152" i="63"/>
  <c r="H158" i="63"/>
  <c r="F158" i="63"/>
  <c r="H177" i="63"/>
  <c r="F177" i="63"/>
  <c r="H194" i="63"/>
  <c r="F194" i="63"/>
  <c r="H210" i="63"/>
  <c r="F210" i="63"/>
  <c r="H218" i="63"/>
  <c r="F218" i="63"/>
  <c r="H244" i="63"/>
  <c r="F244" i="63"/>
  <c r="H311" i="63"/>
  <c r="F311" i="63"/>
  <c r="H322" i="63"/>
  <c r="F322" i="63"/>
  <c r="H326" i="63"/>
  <c r="F326" i="63"/>
  <c r="H332" i="63"/>
  <c r="F332" i="63"/>
  <c r="H348" i="63"/>
  <c r="F348" i="63"/>
  <c r="H356" i="63"/>
  <c r="F356" i="63"/>
  <c r="H359" i="63"/>
  <c r="F359" i="63"/>
  <c r="H375" i="63"/>
  <c r="F375" i="63"/>
  <c r="H9" i="63"/>
  <c r="F9" i="63"/>
  <c r="H13" i="63"/>
  <c r="F13" i="63"/>
  <c r="F29" i="63"/>
  <c r="H29" i="63"/>
  <c r="H47" i="63"/>
  <c r="F47" i="63"/>
  <c r="H54" i="63"/>
  <c r="F54" i="63"/>
  <c r="H56" i="63"/>
  <c r="F56" i="63"/>
  <c r="H58" i="63"/>
  <c r="F58" i="63"/>
  <c r="H68" i="63"/>
  <c r="F68" i="63"/>
  <c r="H41" i="63"/>
  <c r="F41" i="63"/>
  <c r="H91" i="63"/>
  <c r="F91" i="63"/>
  <c r="H93" i="63"/>
  <c r="F93" i="63"/>
  <c r="H104" i="63"/>
  <c r="F104" i="63"/>
  <c r="H59" i="63"/>
  <c r="F59" i="63"/>
  <c r="H114" i="63"/>
  <c r="F114" i="63"/>
  <c r="F123" i="63"/>
  <c r="H123" i="63"/>
  <c r="H126" i="63"/>
  <c r="F126" i="63"/>
  <c r="H129" i="63"/>
  <c r="F129" i="63"/>
  <c r="H140" i="63"/>
  <c r="F140" i="63"/>
  <c r="H149" i="63"/>
  <c r="F149" i="63"/>
  <c r="H162" i="63"/>
  <c r="F162" i="63"/>
  <c r="H185" i="63"/>
  <c r="F185" i="63"/>
  <c r="F191" i="63"/>
  <c r="H191" i="63"/>
  <c r="H204" i="63"/>
  <c r="F204" i="63"/>
  <c r="H212" i="63"/>
  <c r="F212" i="63"/>
  <c r="H214" i="63"/>
  <c r="F214" i="63"/>
  <c r="H220" i="63"/>
  <c r="F220" i="63"/>
  <c r="H226" i="63"/>
  <c r="F226" i="63"/>
  <c r="H237" i="63"/>
  <c r="F237" i="63"/>
  <c r="H252" i="63"/>
  <c r="F252" i="63"/>
  <c r="H254" i="63"/>
  <c r="F254" i="63"/>
  <c r="H258" i="63"/>
  <c r="F258" i="63"/>
  <c r="H267" i="63"/>
  <c r="F267" i="63"/>
  <c r="H269" i="63"/>
  <c r="F269" i="63"/>
  <c r="H271" i="63"/>
  <c r="F271" i="63"/>
  <c r="H273" i="63"/>
  <c r="F273" i="63"/>
  <c r="H275" i="63"/>
  <c r="F275" i="63"/>
  <c r="H278" i="63"/>
  <c r="F278" i="63"/>
  <c r="H283" i="63"/>
  <c r="F283" i="63"/>
  <c r="H286" i="63"/>
  <c r="F286" i="63"/>
  <c r="H292" i="63"/>
  <c r="F292" i="63"/>
  <c r="H298" i="63"/>
  <c r="F298" i="63"/>
  <c r="H319" i="63"/>
  <c r="F319" i="63"/>
  <c r="H336" i="63"/>
  <c r="F336" i="63"/>
  <c r="H338" i="63"/>
  <c r="F338" i="63"/>
  <c r="H340" i="63"/>
  <c r="F340" i="63"/>
  <c r="H345" i="63"/>
  <c r="F345" i="63"/>
  <c r="H355" i="63"/>
  <c r="F355" i="63"/>
  <c r="H362" i="63"/>
  <c r="F362" i="63"/>
  <c r="H366" i="63"/>
  <c r="F366" i="63"/>
  <c r="H380" i="63"/>
  <c r="F380" i="63"/>
  <c r="H11" i="63"/>
  <c r="F11" i="63"/>
  <c r="H25" i="63"/>
  <c r="F25" i="63"/>
  <c r="H32" i="63"/>
  <c r="F32" i="63"/>
  <c r="H66" i="63"/>
  <c r="F66" i="63"/>
  <c r="H73" i="63"/>
  <c r="F73" i="63"/>
  <c r="H83" i="63"/>
  <c r="F83" i="63"/>
  <c r="H77" i="63"/>
  <c r="F77" i="63"/>
  <c r="H173" i="63"/>
  <c r="F173" i="63"/>
  <c r="H181" i="63"/>
  <c r="F181" i="63"/>
  <c r="H208" i="63"/>
  <c r="F208" i="63"/>
  <c r="H223" i="63"/>
  <c r="F223" i="63"/>
  <c r="H229" i="63"/>
  <c r="F229" i="63"/>
  <c r="H246" i="63"/>
  <c r="F246" i="63"/>
  <c r="H250" i="63"/>
  <c r="F250" i="63"/>
  <c r="H261" i="63"/>
  <c r="F261" i="63"/>
  <c r="H304" i="63"/>
  <c r="F304" i="63"/>
  <c r="H309" i="63"/>
  <c r="F309" i="63"/>
  <c r="H313" i="63"/>
  <c r="F313" i="63"/>
  <c r="H334" i="63"/>
  <c r="F334" i="63"/>
  <c r="H350" i="63"/>
  <c r="F350" i="63"/>
  <c r="H377" i="63"/>
  <c r="F377" i="63"/>
  <c r="H383" i="63"/>
  <c r="F383" i="63"/>
  <c r="H5" i="63"/>
  <c r="F5" i="63"/>
  <c r="H4" i="63"/>
  <c r="F4" i="63"/>
  <c r="H19" i="63"/>
  <c r="F19" i="63"/>
  <c r="H28" i="63"/>
  <c r="F28" i="63"/>
  <c r="H46" i="63"/>
  <c r="F46" i="63"/>
  <c r="H48" i="63"/>
  <c r="F48" i="63"/>
  <c r="H53" i="63"/>
  <c r="F53" i="63"/>
  <c r="H55" i="63"/>
  <c r="F55" i="63"/>
  <c r="H57" i="63"/>
  <c r="F57" i="63"/>
  <c r="H69" i="63"/>
  <c r="F69" i="63"/>
  <c r="H88" i="63"/>
  <c r="F88" i="63"/>
  <c r="H92" i="63"/>
  <c r="F92" i="63"/>
  <c r="H94" i="63"/>
  <c r="F94" i="63"/>
  <c r="H113" i="63"/>
  <c r="F113" i="63"/>
  <c r="H115" i="63"/>
  <c r="F115" i="63"/>
  <c r="H124" i="63"/>
  <c r="F124" i="63"/>
  <c r="H128" i="63"/>
  <c r="F128" i="63"/>
  <c r="H139" i="63"/>
  <c r="F139" i="63"/>
  <c r="H141" i="63"/>
  <c r="F141" i="63"/>
  <c r="H148" i="63"/>
  <c r="F148" i="63"/>
  <c r="H150" i="63"/>
  <c r="F150" i="63"/>
  <c r="H161" i="63"/>
  <c r="F161" i="63"/>
  <c r="H136" i="63"/>
  <c r="F136" i="63"/>
  <c r="H184" i="63"/>
  <c r="F184" i="63"/>
  <c r="H186" i="63"/>
  <c r="F186" i="63"/>
  <c r="H190" i="63"/>
  <c r="F190" i="63"/>
  <c r="F203" i="63"/>
  <c r="H203" i="63"/>
  <c r="F199" i="63"/>
  <c r="H199" i="63"/>
  <c r="H205" i="63"/>
  <c r="F205" i="63"/>
  <c r="H213" i="63"/>
  <c r="F213" i="63"/>
  <c r="H228" i="63"/>
  <c r="F228" i="63"/>
  <c r="H236" i="63"/>
  <c r="F236" i="63"/>
  <c r="H238" i="63"/>
  <c r="F238" i="63"/>
  <c r="H242" i="63"/>
  <c r="F242" i="63"/>
  <c r="H253" i="63"/>
  <c r="F253" i="63"/>
  <c r="H266" i="63"/>
  <c r="F266" i="63"/>
  <c r="H268" i="63"/>
  <c r="F268" i="63"/>
  <c r="H270" i="63"/>
  <c r="F270" i="63"/>
  <c r="H272" i="63"/>
  <c r="F272" i="63"/>
  <c r="H274" i="63"/>
  <c r="F274" i="63"/>
  <c r="H276" i="63"/>
  <c r="F276" i="63"/>
  <c r="H279" i="63"/>
  <c r="F279" i="63"/>
  <c r="H285" i="63"/>
  <c r="F285" i="63"/>
  <c r="H290" i="63"/>
  <c r="F290" i="63"/>
  <c r="H320" i="63"/>
  <c r="F320" i="63"/>
  <c r="H337" i="63"/>
  <c r="F337" i="63"/>
  <c r="H339" i="63"/>
  <c r="F339" i="63"/>
  <c r="H341" i="63"/>
  <c r="F341" i="63"/>
  <c r="H344" i="63"/>
  <c r="F344" i="63"/>
  <c r="H346" i="63"/>
  <c r="F346" i="63"/>
  <c r="H354" i="63"/>
  <c r="F354" i="63"/>
  <c r="H373" i="63"/>
  <c r="F373" i="63"/>
  <c r="H381" i="63"/>
  <c r="F381" i="63"/>
  <c r="H36" i="63"/>
  <c r="F36" i="63"/>
  <c r="H39" i="63"/>
  <c r="F39" i="63"/>
  <c r="H85" i="63"/>
  <c r="F85" i="63"/>
  <c r="H102" i="63"/>
  <c r="F102" i="63"/>
  <c r="H107" i="63"/>
  <c r="F107" i="63"/>
  <c r="H117" i="63"/>
  <c r="F117" i="63"/>
  <c r="F143" i="63"/>
  <c r="H143" i="63"/>
  <c r="H167" i="63"/>
  <c r="F167" i="63"/>
  <c r="H133" i="63"/>
  <c r="F133" i="63"/>
  <c r="H324" i="63"/>
  <c r="F324" i="63"/>
  <c r="H330" i="63"/>
  <c r="F330" i="63"/>
  <c r="H369" i="63"/>
  <c r="F369" i="63"/>
  <c r="H385" i="63"/>
  <c r="F385" i="63"/>
  <c r="H6" i="63"/>
  <c r="F6" i="63"/>
  <c r="H15" i="63"/>
  <c r="F15" i="63"/>
  <c r="H8" i="63"/>
  <c r="F8" i="63"/>
  <c r="H17" i="63"/>
  <c r="F17" i="63"/>
  <c r="H24" i="63"/>
  <c r="F24" i="63"/>
  <c r="H26" i="63"/>
  <c r="F26" i="63"/>
  <c r="H31" i="63"/>
  <c r="F31" i="63"/>
  <c r="H33" i="63"/>
  <c r="F33" i="63"/>
  <c r="H35" i="63"/>
  <c r="F35" i="63"/>
  <c r="H51" i="63"/>
  <c r="F51" i="63"/>
  <c r="H65" i="63"/>
  <c r="F65" i="63"/>
  <c r="H72" i="63"/>
  <c r="F72" i="63"/>
  <c r="H74" i="63"/>
  <c r="F74" i="63"/>
  <c r="H76" i="63"/>
  <c r="F76" i="63"/>
  <c r="H84" i="63"/>
  <c r="F84" i="63"/>
  <c r="H86" i="63"/>
  <c r="F86" i="63"/>
  <c r="H96" i="63"/>
  <c r="F96" i="63"/>
  <c r="H99" i="63"/>
  <c r="F99" i="63"/>
  <c r="H101" i="63"/>
  <c r="F101" i="63"/>
  <c r="H106" i="63"/>
  <c r="F106" i="63"/>
  <c r="H108" i="63"/>
  <c r="F108" i="63"/>
  <c r="H37" i="63"/>
  <c r="F37" i="63"/>
  <c r="H110" i="63"/>
  <c r="F110" i="63"/>
  <c r="H116" i="63"/>
  <c r="F116" i="63"/>
  <c r="F131" i="63"/>
  <c r="H131" i="63"/>
  <c r="H144" i="63"/>
  <c r="F144" i="63"/>
  <c r="H119" i="63"/>
  <c r="F119" i="63"/>
  <c r="F121" i="63"/>
  <c r="H121" i="63"/>
  <c r="H153" i="63"/>
  <c r="F153" i="63"/>
  <c r="H157" i="63"/>
  <c r="F157" i="63"/>
  <c r="F159" i="63"/>
  <c r="H159" i="63"/>
  <c r="H168" i="63"/>
  <c r="F168" i="63"/>
  <c r="H172" i="63"/>
  <c r="F172" i="63"/>
  <c r="H178" i="63"/>
  <c r="F178" i="63"/>
  <c r="H134" i="63"/>
  <c r="F134" i="63"/>
  <c r="H182" i="63"/>
  <c r="F182" i="63"/>
  <c r="H193" i="63"/>
  <c r="F193" i="63"/>
  <c r="F195" i="63"/>
  <c r="H195" i="63"/>
  <c r="H201" i="63"/>
  <c r="F201" i="63"/>
  <c r="H200" i="63"/>
  <c r="F200" i="63"/>
  <c r="H209" i="63"/>
  <c r="F209" i="63"/>
  <c r="H217" i="63"/>
  <c r="F217" i="63"/>
  <c r="F219" i="63"/>
  <c r="H219" i="63"/>
  <c r="H222" i="63"/>
  <c r="F222" i="63"/>
  <c r="H230" i="63"/>
  <c r="F230" i="63"/>
  <c r="H234" i="63"/>
  <c r="F234" i="63"/>
  <c r="H245" i="63"/>
  <c r="F245" i="63"/>
  <c r="H260" i="63"/>
  <c r="F260" i="63"/>
  <c r="H262" i="63"/>
  <c r="F262" i="63"/>
  <c r="H281" i="63"/>
  <c r="F281" i="63"/>
  <c r="H288" i="63"/>
  <c r="F288" i="63"/>
  <c r="H295" i="63"/>
  <c r="F295" i="63"/>
  <c r="H305" i="63"/>
  <c r="F305" i="63"/>
  <c r="H308" i="63"/>
  <c r="F308" i="63"/>
  <c r="H310" i="63"/>
  <c r="F310" i="63"/>
  <c r="H312" i="63"/>
  <c r="F312" i="63"/>
  <c r="H314" i="63"/>
  <c r="F314" i="63"/>
  <c r="H299" i="63"/>
  <c r="F299" i="63"/>
  <c r="H323" i="63"/>
  <c r="F323" i="63"/>
  <c r="H325" i="63"/>
  <c r="F325" i="63"/>
  <c r="H327" i="63"/>
  <c r="F327" i="63"/>
  <c r="H331" i="63"/>
  <c r="F331" i="63"/>
  <c r="H333" i="63"/>
  <c r="F333" i="63"/>
  <c r="H349" i="63"/>
  <c r="F349" i="63"/>
  <c r="H351" i="63"/>
  <c r="F351" i="63"/>
  <c r="H357" i="63"/>
  <c r="F357" i="63"/>
  <c r="H368" i="63"/>
  <c r="F368" i="63"/>
  <c r="H370" i="63"/>
  <c r="F370" i="63"/>
  <c r="H376" i="63"/>
  <c r="F376" i="63"/>
  <c r="H384" i="63"/>
  <c r="F384" i="63"/>
  <c r="H42" i="62"/>
  <c r="F42" i="62"/>
  <c r="F48" i="62"/>
  <c r="H48" i="62"/>
  <c r="H110" i="62"/>
  <c r="F110" i="62"/>
  <c r="H123" i="62"/>
  <c r="F123" i="62"/>
  <c r="H38" i="62"/>
  <c r="F38" i="62"/>
  <c r="H62" i="62"/>
  <c r="F62" i="62"/>
  <c r="H66" i="62"/>
  <c r="F66" i="62"/>
  <c r="H87" i="62"/>
  <c r="F87" i="62"/>
  <c r="H89" i="62"/>
  <c r="F89" i="62"/>
  <c r="H91" i="62"/>
  <c r="F91" i="62"/>
  <c r="H95" i="62"/>
  <c r="F95" i="62"/>
  <c r="H97" i="62"/>
  <c r="F97" i="62"/>
  <c r="H99" i="62"/>
  <c r="F99" i="62"/>
  <c r="F125" i="62"/>
  <c r="H125" i="62"/>
  <c r="H34" i="62"/>
  <c r="F34" i="62"/>
  <c r="H51" i="62"/>
  <c r="F51" i="62"/>
  <c r="H94" i="62"/>
  <c r="F94" i="62"/>
  <c r="H108" i="62"/>
  <c r="F108" i="62"/>
  <c r="H54" i="62"/>
  <c r="F54" i="62"/>
  <c r="H63" i="62"/>
  <c r="F63" i="62"/>
  <c r="H88" i="62"/>
  <c r="F88" i="62"/>
  <c r="H90" i="62"/>
  <c r="F90" i="62"/>
  <c r="H92" i="62"/>
  <c r="F92" i="62"/>
  <c r="F93" i="62"/>
  <c r="H93" i="62"/>
  <c r="H96" i="62"/>
  <c r="F96" i="62"/>
  <c r="H98" i="62"/>
  <c r="F98" i="62"/>
  <c r="H122" i="62"/>
  <c r="F122" i="62"/>
  <c r="H126" i="62"/>
  <c r="F126" i="62"/>
  <c r="H104" i="62"/>
  <c r="F104" i="62"/>
  <c r="F31" i="62"/>
  <c r="H31" i="62"/>
  <c r="F41" i="62"/>
  <c r="H41" i="62"/>
  <c r="F43" i="62"/>
  <c r="H43" i="62"/>
  <c r="F47" i="62"/>
  <c r="H47" i="62"/>
  <c r="H52" i="62"/>
  <c r="F52" i="62"/>
  <c r="H65" i="62"/>
  <c r="F65" i="62"/>
  <c r="H109" i="62"/>
  <c r="F109" i="62"/>
  <c r="H20" i="61"/>
  <c r="F20" i="61"/>
  <c r="H4" i="61"/>
  <c r="F4" i="61"/>
  <c r="H13" i="61"/>
  <c r="F13" i="61"/>
  <c r="F26" i="61"/>
  <c r="H26" i="61"/>
  <c r="H23" i="61"/>
  <c r="F23" i="61"/>
  <c r="H3" i="61"/>
  <c r="H31" i="61" s="1"/>
  <c r="F3" i="61"/>
  <c r="F18" i="61"/>
  <c r="H18" i="61"/>
  <c r="F9" i="61"/>
  <c r="H9" i="61"/>
  <c r="H15" i="60"/>
  <c r="F15" i="60"/>
  <c r="H21" i="60"/>
  <c r="F21" i="60"/>
  <c r="H7" i="60"/>
  <c r="F7" i="60"/>
  <c r="H17" i="60"/>
  <c r="F17" i="60"/>
  <c r="H3" i="60"/>
  <c r="F3" i="60"/>
  <c r="H4" i="60"/>
  <c r="F4" i="60"/>
  <c r="F27" i="60" s="1"/>
  <c r="H12" i="60"/>
  <c r="F12" i="60"/>
  <c r="F219" i="59"/>
  <c r="F237" i="59"/>
  <c r="F216" i="59"/>
  <c r="F218" i="59"/>
  <c r="F225" i="59"/>
  <c r="F231" i="59"/>
  <c r="F239" i="59"/>
  <c r="F220" i="59"/>
  <c r="F224" i="59"/>
  <c r="F226" i="59"/>
  <c r="F221" i="59"/>
  <c r="F238" i="59"/>
  <c r="D241" i="59"/>
  <c r="H241" i="59" s="1"/>
  <c r="D242" i="59"/>
  <c r="H242" i="59" s="1"/>
  <c r="D211" i="59"/>
  <c r="H211" i="59" s="1"/>
  <c r="E211" i="59"/>
  <c r="E212" i="59"/>
  <c r="E213" i="59"/>
  <c r="E214" i="59"/>
  <c r="E215" i="59"/>
  <c r="E210" i="59"/>
  <c r="D209" i="59"/>
  <c r="H209" i="59" s="1"/>
  <c r="E209" i="59"/>
  <c r="D208" i="59"/>
  <c r="H208" i="59" s="1"/>
  <c r="D207" i="59"/>
  <c r="H207" i="59" s="1"/>
  <c r="E208" i="59"/>
  <c r="E207" i="59"/>
  <c r="D206" i="59"/>
  <c r="H206" i="59" s="1"/>
  <c r="E206" i="59"/>
  <c r="D205" i="59"/>
  <c r="H205" i="59" s="1"/>
  <c r="E205" i="59"/>
  <c r="D204" i="59"/>
  <c r="H204" i="59" s="1"/>
  <c r="E204" i="59"/>
  <c r="E201" i="59"/>
  <c r="F201" i="59" s="1"/>
  <c r="C200" i="59"/>
  <c r="H200" i="59" s="1"/>
  <c r="E200" i="59"/>
  <c r="E199" i="59"/>
  <c r="F199" i="59" s="1"/>
  <c r="E198" i="59"/>
  <c r="F198" i="59" s="1"/>
  <c r="E197" i="59"/>
  <c r="F197" i="59" s="1"/>
  <c r="E196" i="59"/>
  <c r="F196" i="59" s="1"/>
  <c r="E195" i="59"/>
  <c r="F195" i="59" s="1"/>
  <c r="C194" i="59"/>
  <c r="H194" i="59" s="1"/>
  <c r="E194" i="59"/>
  <c r="C193" i="59"/>
  <c r="H193" i="59" s="1"/>
  <c r="E193" i="59"/>
  <c r="E192" i="59"/>
  <c r="F192" i="59" s="1"/>
  <c r="E189" i="59"/>
  <c r="E190" i="59"/>
  <c r="E188" i="59"/>
  <c r="D187" i="59"/>
  <c r="H187" i="59" s="1"/>
  <c r="E187" i="59"/>
  <c r="D186" i="59"/>
  <c r="H186" i="59" s="1"/>
  <c r="E186" i="59"/>
  <c r="D185" i="59"/>
  <c r="H185" i="59" s="1"/>
  <c r="E185" i="59"/>
  <c r="E183" i="59"/>
  <c r="F183" i="59" s="1"/>
  <c r="E182" i="59"/>
  <c r="F182" i="59" s="1"/>
  <c r="C180" i="59"/>
  <c r="H180" i="59" s="1"/>
  <c r="C179" i="59"/>
  <c r="H179" i="59" s="1"/>
  <c r="E181" i="59"/>
  <c r="F181" i="59" s="1"/>
  <c r="E180" i="59"/>
  <c r="E179" i="59"/>
  <c r="E178" i="59"/>
  <c r="F178" i="59" s="1"/>
  <c r="H619" i="63" l="1"/>
  <c r="F127" i="62"/>
  <c r="D189" i="59"/>
  <c r="F186" i="59"/>
  <c r="F193" i="59"/>
  <c r="F204" i="59"/>
  <c r="F208" i="59"/>
  <c r="F200" i="59"/>
  <c r="F180" i="59"/>
  <c r="F185" i="59"/>
  <c r="D190" i="59"/>
  <c r="F187" i="59"/>
  <c r="F194" i="59"/>
  <c r="F205" i="59"/>
  <c r="D215" i="59"/>
  <c r="H215" i="59" s="1"/>
  <c r="F209" i="59"/>
  <c r="D212" i="59"/>
  <c r="F206" i="59"/>
  <c r="F179" i="59"/>
  <c r="D213" i="59"/>
  <c r="H213" i="59" s="1"/>
  <c r="F207" i="59"/>
  <c r="F211" i="59"/>
  <c r="F242" i="59"/>
  <c r="F241" i="59"/>
  <c r="G44" i="4"/>
  <c r="G43" i="4"/>
  <c r="F619" i="63"/>
  <c r="D214" i="59"/>
  <c r="H214" i="59" s="1"/>
  <c r="F31" i="61"/>
  <c r="G45" i="4"/>
  <c r="D176" i="59"/>
  <c r="H176" i="59" s="1"/>
  <c r="D175" i="59"/>
  <c r="H175" i="59" s="1"/>
  <c r="D174" i="59"/>
  <c r="H174" i="59" s="1"/>
  <c r="C173" i="59"/>
  <c r="H173" i="59" s="1"/>
  <c r="E173" i="59"/>
  <c r="C172" i="59"/>
  <c r="H172" i="59" s="1"/>
  <c r="E176" i="59"/>
  <c r="E175" i="59"/>
  <c r="E172" i="59"/>
  <c r="D169" i="59"/>
  <c r="H169" i="59" s="1"/>
  <c r="E170" i="59"/>
  <c r="E169" i="59"/>
  <c r="E168" i="59"/>
  <c r="D167" i="59"/>
  <c r="H167" i="59" s="1"/>
  <c r="E167" i="59"/>
  <c r="D166" i="59"/>
  <c r="H166" i="59" s="1"/>
  <c r="E166" i="59"/>
  <c r="D165" i="59"/>
  <c r="H165" i="59" s="1"/>
  <c r="E165" i="59"/>
  <c r="E157" i="59"/>
  <c r="E156" i="59"/>
  <c r="E155" i="59"/>
  <c r="D154" i="59"/>
  <c r="H154" i="59" s="1"/>
  <c r="E154" i="59"/>
  <c r="D153" i="59"/>
  <c r="H153" i="59" s="1"/>
  <c r="E150" i="59"/>
  <c r="F150" i="59" s="1"/>
  <c r="E153" i="59"/>
  <c r="D152" i="59"/>
  <c r="H152" i="59" s="1"/>
  <c r="E152" i="59"/>
  <c r="E149" i="59"/>
  <c r="F149" i="59" s="1"/>
  <c r="E148" i="59"/>
  <c r="F148" i="59" s="1"/>
  <c r="C147" i="59"/>
  <c r="H147" i="59" s="1"/>
  <c r="E147" i="59"/>
  <c r="E146" i="59"/>
  <c r="F146" i="59" s="1"/>
  <c r="E144" i="59"/>
  <c r="D141" i="59"/>
  <c r="D143" i="59"/>
  <c r="H143" i="59" s="1"/>
  <c r="E143" i="59"/>
  <c r="E142" i="59"/>
  <c r="E141" i="59"/>
  <c r="E140" i="59"/>
  <c r="D140" i="59"/>
  <c r="H140" i="59" s="1"/>
  <c r="D139" i="59"/>
  <c r="H139" i="59" s="1"/>
  <c r="E139" i="59"/>
  <c r="E99" i="59"/>
  <c r="E100" i="59"/>
  <c r="E98" i="59"/>
  <c r="C137" i="59"/>
  <c r="H137" i="59" s="1"/>
  <c r="E137" i="59"/>
  <c r="E136" i="59"/>
  <c r="F136" i="59" s="1"/>
  <c r="E135" i="59"/>
  <c r="F135" i="59" s="1"/>
  <c r="E134" i="59"/>
  <c r="F134" i="59" s="1"/>
  <c r="E133" i="59"/>
  <c r="F133" i="59" s="1"/>
  <c r="C110" i="59"/>
  <c r="H110" i="59" s="1"/>
  <c r="E131" i="59"/>
  <c r="F131" i="59" s="1"/>
  <c r="C119" i="59"/>
  <c r="H119" i="59" s="1"/>
  <c r="E130" i="59"/>
  <c r="F130" i="59" s="1"/>
  <c r="E129" i="59"/>
  <c r="F129" i="59" s="1"/>
  <c r="E128" i="59"/>
  <c r="F128" i="59" s="1"/>
  <c r="E127" i="59"/>
  <c r="F127" i="59" s="1"/>
  <c r="E126" i="59"/>
  <c r="F126" i="59" s="1"/>
  <c r="E125" i="59"/>
  <c r="F125" i="59" s="1"/>
  <c r="E124" i="59"/>
  <c r="F124" i="59" s="1"/>
  <c r="E123" i="59"/>
  <c r="F123" i="59" s="1"/>
  <c r="E122" i="59"/>
  <c r="F122" i="59" s="1"/>
  <c r="E121" i="59"/>
  <c r="F121" i="59" s="1"/>
  <c r="E120" i="59"/>
  <c r="F120" i="59" s="1"/>
  <c r="E119" i="59"/>
  <c r="E118" i="59"/>
  <c r="F118" i="59" s="1"/>
  <c r="E117" i="59"/>
  <c r="F117" i="59" s="1"/>
  <c r="E116" i="59"/>
  <c r="F116" i="59" s="1"/>
  <c r="E115" i="59"/>
  <c r="F115" i="59" s="1"/>
  <c r="D113" i="59"/>
  <c r="H113" i="59" s="1"/>
  <c r="D112" i="59"/>
  <c r="H112" i="59" s="1"/>
  <c r="D111" i="59"/>
  <c r="H111" i="59" s="1"/>
  <c r="E113" i="59"/>
  <c r="E112" i="59"/>
  <c r="E110" i="59"/>
  <c r="D109" i="59"/>
  <c r="H109" i="59" s="1"/>
  <c r="E109" i="59"/>
  <c r="D108" i="59"/>
  <c r="H108" i="59" s="1"/>
  <c r="E108" i="59"/>
  <c r="D107" i="59"/>
  <c r="H107" i="59" s="1"/>
  <c r="C106" i="59"/>
  <c r="H106" i="59" s="1"/>
  <c r="E106" i="59"/>
  <c r="E104" i="59"/>
  <c r="F104" i="59" s="1"/>
  <c r="C103" i="59"/>
  <c r="H103" i="59" s="1"/>
  <c r="E103" i="59"/>
  <c r="E102" i="59"/>
  <c r="F102" i="59" s="1"/>
  <c r="F212" i="59" l="1"/>
  <c r="H212" i="59"/>
  <c r="D188" i="59"/>
  <c r="H188" i="59" s="1"/>
  <c r="H141" i="59"/>
  <c r="F190" i="59"/>
  <c r="H190" i="59"/>
  <c r="F189" i="59"/>
  <c r="H189" i="59"/>
  <c r="F213" i="59"/>
  <c r="F215" i="59"/>
  <c r="F188" i="59"/>
  <c r="F108" i="59"/>
  <c r="F113" i="59"/>
  <c r="F153" i="59"/>
  <c r="F176" i="59"/>
  <c r="F152" i="59"/>
  <c r="F173" i="59"/>
  <c r="F103" i="59"/>
  <c r="F107" i="59"/>
  <c r="F109" i="59"/>
  <c r="F111" i="59"/>
  <c r="D142" i="59"/>
  <c r="H142" i="59" s="1"/>
  <c r="F139" i="59"/>
  <c r="D157" i="59"/>
  <c r="F154" i="59"/>
  <c r="F174" i="59"/>
  <c r="F143" i="59"/>
  <c r="F106" i="59"/>
  <c r="F119" i="59"/>
  <c r="F137" i="59"/>
  <c r="F141" i="59"/>
  <c r="F147" i="59"/>
  <c r="F166" i="59"/>
  <c r="F112" i="59"/>
  <c r="F110" i="59"/>
  <c r="D144" i="59"/>
  <c r="H144" i="59" s="1"/>
  <c r="F140" i="59"/>
  <c r="F165" i="59"/>
  <c r="D170" i="59"/>
  <c r="H170" i="59" s="1"/>
  <c r="F167" i="59"/>
  <c r="F172" i="59"/>
  <c r="F175" i="59"/>
  <c r="F169" i="59"/>
  <c r="F214" i="59"/>
  <c r="K8" i="4"/>
  <c r="O8" i="4" s="1"/>
  <c r="D156" i="59"/>
  <c r="H156" i="59" s="1"/>
  <c r="D89" i="59"/>
  <c r="H89" i="59" s="1"/>
  <c r="E89" i="59"/>
  <c r="D88" i="59"/>
  <c r="H88" i="59" s="1"/>
  <c r="E88" i="59"/>
  <c r="D87" i="59"/>
  <c r="H87" i="59" s="1"/>
  <c r="C86" i="59"/>
  <c r="H86" i="59" s="1"/>
  <c r="E86" i="59"/>
  <c r="E97" i="59"/>
  <c r="D97" i="59"/>
  <c r="H97" i="59" s="1"/>
  <c r="D96" i="59"/>
  <c r="H96" i="59" s="1"/>
  <c r="E96" i="59"/>
  <c r="D95" i="59"/>
  <c r="H95" i="59" s="1"/>
  <c r="E95" i="59"/>
  <c r="D85" i="59"/>
  <c r="H85" i="59" s="1"/>
  <c r="E85" i="59"/>
  <c r="D84" i="59"/>
  <c r="H84" i="59" s="1"/>
  <c r="E84" i="59"/>
  <c r="D83" i="59"/>
  <c r="H83" i="59" s="1"/>
  <c r="C82" i="59"/>
  <c r="H82" i="59" s="1"/>
  <c r="E82" i="59"/>
  <c r="E80" i="59"/>
  <c r="F80" i="59" s="1"/>
  <c r="E79" i="59"/>
  <c r="C79" i="59"/>
  <c r="H79" i="59" s="1"/>
  <c r="E78" i="59"/>
  <c r="F78" i="59" s="1"/>
  <c r="D76" i="59"/>
  <c r="H76" i="59" s="1"/>
  <c r="E76" i="59"/>
  <c r="D75" i="59"/>
  <c r="H75" i="59" s="1"/>
  <c r="E75" i="59"/>
  <c r="D74" i="59"/>
  <c r="H74" i="59" s="1"/>
  <c r="C73" i="59"/>
  <c r="H73" i="59" s="1"/>
  <c r="E73" i="59"/>
  <c r="E69" i="59"/>
  <c r="F69" i="59" s="1"/>
  <c r="E68" i="59"/>
  <c r="F68" i="59" s="1"/>
  <c r="E65" i="59"/>
  <c r="F65" i="59" s="1"/>
  <c r="E66" i="59"/>
  <c r="F66" i="59" s="1"/>
  <c r="E63" i="59"/>
  <c r="F63" i="59" s="1"/>
  <c r="E62" i="59"/>
  <c r="F62" i="59" s="1"/>
  <c r="E61" i="59"/>
  <c r="F61" i="59" s="1"/>
  <c r="E60" i="59"/>
  <c r="F60" i="59" s="1"/>
  <c r="E59" i="59"/>
  <c r="F59" i="59" s="1"/>
  <c r="E57" i="59"/>
  <c r="F57" i="59" s="1"/>
  <c r="E56" i="59"/>
  <c r="F56" i="59" s="1"/>
  <c r="E55" i="59"/>
  <c r="F55" i="59" s="1"/>
  <c r="E54" i="59"/>
  <c r="F54" i="59" s="1"/>
  <c r="E53" i="59"/>
  <c r="F53" i="59" s="1"/>
  <c r="E52" i="59"/>
  <c r="F52" i="59" s="1"/>
  <c r="E51" i="59"/>
  <c r="F51" i="59" s="1"/>
  <c r="E71" i="59"/>
  <c r="F71" i="59" s="1"/>
  <c r="E70" i="59"/>
  <c r="F70" i="59" s="1"/>
  <c r="E67" i="59"/>
  <c r="F67" i="59" s="1"/>
  <c r="E64" i="59"/>
  <c r="F64" i="59" s="1"/>
  <c r="E58" i="59"/>
  <c r="F58" i="59" s="1"/>
  <c r="E50" i="59"/>
  <c r="F50" i="59" s="1"/>
  <c r="D48" i="59"/>
  <c r="H48" i="59" s="1"/>
  <c r="E48" i="59"/>
  <c r="D47" i="59"/>
  <c r="H47" i="59" s="1"/>
  <c r="E47" i="59"/>
  <c r="D46" i="59"/>
  <c r="H46" i="59" s="1"/>
  <c r="E46" i="59"/>
  <c r="D45" i="59"/>
  <c r="H45" i="59" s="1"/>
  <c r="E45" i="59"/>
  <c r="D44" i="59"/>
  <c r="E44" i="59"/>
  <c r="C41" i="59"/>
  <c r="H41" i="59" s="1"/>
  <c r="E41" i="59"/>
  <c r="E39" i="59"/>
  <c r="F39" i="59" s="1"/>
  <c r="E38" i="59"/>
  <c r="F38" i="59" s="1"/>
  <c r="D36" i="59"/>
  <c r="H36" i="59" s="1"/>
  <c r="E36" i="59"/>
  <c r="C34" i="59"/>
  <c r="H34" i="59" s="1"/>
  <c r="E40" i="59"/>
  <c r="F40" i="59" s="1"/>
  <c r="E37" i="59"/>
  <c r="F37" i="59" s="1"/>
  <c r="E34" i="59"/>
  <c r="E31" i="59"/>
  <c r="F31" i="59" s="1"/>
  <c r="E27" i="59"/>
  <c r="F27" i="59" s="1"/>
  <c r="E26" i="59"/>
  <c r="F26" i="59" s="1"/>
  <c r="E25" i="59"/>
  <c r="F25" i="59" s="1"/>
  <c r="E21" i="59"/>
  <c r="F21" i="59" s="1"/>
  <c r="E20" i="59"/>
  <c r="F20" i="59" s="1"/>
  <c r="E19" i="59"/>
  <c r="F19" i="59" s="1"/>
  <c r="E15" i="59"/>
  <c r="F15" i="59" s="1"/>
  <c r="E14" i="59"/>
  <c r="F14" i="59" s="1"/>
  <c r="E13" i="59"/>
  <c r="F13" i="59" s="1"/>
  <c r="E12" i="59"/>
  <c r="F12" i="59" s="1"/>
  <c r="E11" i="59"/>
  <c r="F11" i="59" s="1"/>
  <c r="E7" i="59"/>
  <c r="F7" i="59" s="1"/>
  <c r="E6" i="59"/>
  <c r="F6" i="59" s="1"/>
  <c r="E4" i="59"/>
  <c r="F4" i="59" s="1"/>
  <c r="E5" i="59"/>
  <c r="F5" i="59" s="1"/>
  <c r="E3" i="59"/>
  <c r="F3" i="59" s="1"/>
  <c r="C86" i="58"/>
  <c r="E86" i="58"/>
  <c r="D85" i="58"/>
  <c r="E85" i="58"/>
  <c r="E84" i="58"/>
  <c r="F84" i="58" s="1"/>
  <c r="C83" i="58"/>
  <c r="D82" i="58"/>
  <c r="E82" i="58"/>
  <c r="E83" i="58"/>
  <c r="E81" i="58"/>
  <c r="F81" i="58" s="1"/>
  <c r="D134" i="58"/>
  <c r="D133" i="58"/>
  <c r="D132" i="58"/>
  <c r="E134" i="58"/>
  <c r="E133" i="58"/>
  <c r="D12" i="58"/>
  <c r="D11" i="58"/>
  <c r="E12" i="58"/>
  <c r="E11" i="58"/>
  <c r="D4" i="58"/>
  <c r="D10" i="58"/>
  <c r="D6" i="58"/>
  <c r="E6" i="58"/>
  <c r="D5" i="58"/>
  <c r="E5" i="58"/>
  <c r="D197" i="58"/>
  <c r="E197" i="58"/>
  <c r="D196" i="58"/>
  <c r="E196" i="58"/>
  <c r="D195" i="58"/>
  <c r="E195" i="58"/>
  <c r="D194" i="58"/>
  <c r="E194" i="58"/>
  <c r="D193" i="58"/>
  <c r="E193" i="58"/>
  <c r="D192" i="58"/>
  <c r="E192" i="58"/>
  <c r="D191" i="58"/>
  <c r="E191" i="58"/>
  <c r="D190" i="58"/>
  <c r="E190" i="58"/>
  <c r="D189" i="58"/>
  <c r="E189" i="58"/>
  <c r="D188" i="58"/>
  <c r="E188" i="58"/>
  <c r="D187" i="58"/>
  <c r="E187" i="58"/>
  <c r="D186" i="58"/>
  <c r="E186" i="58"/>
  <c r="D185" i="58"/>
  <c r="E185" i="58"/>
  <c r="D184" i="58"/>
  <c r="E184" i="58"/>
  <c r="D183" i="58"/>
  <c r="E183" i="58"/>
  <c r="D182" i="58"/>
  <c r="E182" i="58"/>
  <c r="D181" i="58"/>
  <c r="E181" i="58"/>
  <c r="D180" i="58"/>
  <c r="E180" i="58"/>
  <c r="D179" i="58"/>
  <c r="E179" i="58"/>
  <c r="D178" i="58"/>
  <c r="E178" i="58"/>
  <c r="E177" i="58"/>
  <c r="D177" i="58"/>
  <c r="D176" i="58"/>
  <c r="E176" i="58"/>
  <c r="D175" i="58"/>
  <c r="E175" i="58"/>
  <c r="D174" i="58"/>
  <c r="E174" i="58"/>
  <c r="D173" i="58"/>
  <c r="E173" i="58"/>
  <c r="E167" i="58"/>
  <c r="E168" i="58"/>
  <c r="E169" i="58"/>
  <c r="E170" i="58"/>
  <c r="E171" i="58"/>
  <c r="C171" i="58"/>
  <c r="C170" i="58"/>
  <c r="C169" i="58"/>
  <c r="C168" i="58"/>
  <c r="C167" i="58"/>
  <c r="C166" i="58"/>
  <c r="C165" i="58"/>
  <c r="E164" i="58"/>
  <c r="F164" i="58" s="1"/>
  <c r="C161" i="58"/>
  <c r="C160" i="58"/>
  <c r="E160" i="58"/>
  <c r="E161" i="58"/>
  <c r="C159" i="58"/>
  <c r="E159" i="58"/>
  <c r="C158" i="58"/>
  <c r="E158" i="58"/>
  <c r="C157" i="58"/>
  <c r="E157" i="58"/>
  <c r="C156" i="58"/>
  <c r="E156" i="58"/>
  <c r="C155" i="58"/>
  <c r="E155" i="58"/>
  <c r="C154" i="58"/>
  <c r="E154" i="58"/>
  <c r="C153" i="58"/>
  <c r="E153" i="58"/>
  <c r="C152" i="58"/>
  <c r="E152" i="58"/>
  <c r="C151" i="58"/>
  <c r="E151" i="58"/>
  <c r="C150" i="58"/>
  <c r="E150" i="58"/>
  <c r="C149" i="58"/>
  <c r="E149" i="58"/>
  <c r="C148" i="58"/>
  <c r="E148" i="58"/>
  <c r="E147" i="58"/>
  <c r="F147" i="58" s="1"/>
  <c r="E146" i="58"/>
  <c r="F146" i="58" s="1"/>
  <c r="E145" i="58"/>
  <c r="F145" i="58" s="1"/>
  <c r="E144" i="58"/>
  <c r="F144" i="58" s="1"/>
  <c r="E143" i="58"/>
  <c r="F143" i="58" s="1"/>
  <c r="E142" i="58"/>
  <c r="F142" i="58" s="1"/>
  <c r="E141" i="58"/>
  <c r="F141" i="58" s="1"/>
  <c r="E140" i="58"/>
  <c r="F140" i="58" s="1"/>
  <c r="E139" i="58"/>
  <c r="F139" i="58" s="1"/>
  <c r="E138" i="58"/>
  <c r="F138" i="58" s="1"/>
  <c r="E137" i="58"/>
  <c r="F137" i="58" s="1"/>
  <c r="E166" i="58"/>
  <c r="E165" i="58"/>
  <c r="E163" i="58"/>
  <c r="F163" i="58" s="1"/>
  <c r="E162" i="58"/>
  <c r="F162" i="58" s="1"/>
  <c r="E136" i="58"/>
  <c r="F136" i="58" s="1"/>
  <c r="C131" i="58"/>
  <c r="E131" i="58"/>
  <c r="D129" i="58"/>
  <c r="E129" i="58"/>
  <c r="D128" i="58"/>
  <c r="E128" i="58"/>
  <c r="D127" i="58"/>
  <c r="E127" i="58"/>
  <c r="D126" i="58"/>
  <c r="E126" i="58"/>
  <c r="D125" i="58"/>
  <c r="E125" i="58"/>
  <c r="D124" i="58"/>
  <c r="E124" i="58"/>
  <c r="D123" i="58"/>
  <c r="E123" i="58"/>
  <c r="E121" i="58"/>
  <c r="F121" i="58" s="1"/>
  <c r="E120" i="58"/>
  <c r="F120" i="58" s="1"/>
  <c r="C119" i="58"/>
  <c r="E119" i="58"/>
  <c r="E118" i="58"/>
  <c r="F118" i="58" s="1"/>
  <c r="E117" i="58"/>
  <c r="F117" i="58" s="1"/>
  <c r="D115" i="58"/>
  <c r="E115" i="58"/>
  <c r="D114" i="58"/>
  <c r="E114" i="58"/>
  <c r="D113" i="58"/>
  <c r="E113" i="58"/>
  <c r="D112" i="58"/>
  <c r="E112" i="58"/>
  <c r="D111" i="58"/>
  <c r="E111" i="58"/>
  <c r="D110" i="58"/>
  <c r="E110" i="58"/>
  <c r="D109" i="58"/>
  <c r="E109" i="58"/>
  <c r="D108" i="58"/>
  <c r="E108" i="58"/>
  <c r="D107" i="58"/>
  <c r="E107" i="58"/>
  <c r="D106" i="58"/>
  <c r="E106" i="58"/>
  <c r="D105" i="58"/>
  <c r="E105" i="58"/>
  <c r="D104" i="58"/>
  <c r="E104" i="58"/>
  <c r="D103" i="58"/>
  <c r="D102" i="58"/>
  <c r="E102" i="58"/>
  <c r="E103" i="58"/>
  <c r="D101" i="58"/>
  <c r="E101" i="58"/>
  <c r="D100" i="58"/>
  <c r="E100" i="58"/>
  <c r="D99" i="58"/>
  <c r="E99" i="58"/>
  <c r="D98" i="58"/>
  <c r="E98" i="58"/>
  <c r="D97" i="58"/>
  <c r="E97" i="58"/>
  <c r="D96" i="58"/>
  <c r="E96" i="58"/>
  <c r="D95" i="58"/>
  <c r="E95" i="58"/>
  <c r="D94" i="58"/>
  <c r="E94" i="58"/>
  <c r="D93" i="58"/>
  <c r="E93" i="58"/>
  <c r="D92" i="58"/>
  <c r="E92" i="58"/>
  <c r="D91" i="58"/>
  <c r="E91" i="58"/>
  <c r="D90" i="58"/>
  <c r="E90" i="58"/>
  <c r="D89" i="58"/>
  <c r="E89" i="58"/>
  <c r="C87" i="58"/>
  <c r="E87" i="58"/>
  <c r="E80" i="58"/>
  <c r="F80" i="58" s="1"/>
  <c r="E79" i="58"/>
  <c r="F79" i="58" s="1"/>
  <c r="E78" i="58"/>
  <c r="F78" i="58" s="1"/>
  <c r="E77" i="58"/>
  <c r="F77" i="58" s="1"/>
  <c r="E76" i="58"/>
  <c r="F76" i="58" s="1"/>
  <c r="E75" i="58"/>
  <c r="F75" i="58" s="1"/>
  <c r="E74" i="58"/>
  <c r="F74" i="58" s="1"/>
  <c r="E73" i="58"/>
  <c r="F73" i="58" s="1"/>
  <c r="E72" i="58"/>
  <c r="F72" i="58" s="1"/>
  <c r="E71" i="58"/>
  <c r="F71" i="58" s="1"/>
  <c r="E70" i="58"/>
  <c r="F70" i="58" s="1"/>
  <c r="E69" i="58"/>
  <c r="F69" i="58" s="1"/>
  <c r="E68" i="58"/>
  <c r="F68" i="58" s="1"/>
  <c r="D63" i="58"/>
  <c r="E63" i="58"/>
  <c r="D62" i="58"/>
  <c r="E62" i="58"/>
  <c r="D61" i="58"/>
  <c r="E61" i="58"/>
  <c r="D60" i="58"/>
  <c r="E60" i="58"/>
  <c r="D59" i="58"/>
  <c r="E59" i="58"/>
  <c r="E67" i="58"/>
  <c r="F67" i="58" s="1"/>
  <c r="E66" i="58"/>
  <c r="F66" i="58" s="1"/>
  <c r="E65" i="58"/>
  <c r="F65" i="58" s="1"/>
  <c r="C57" i="58"/>
  <c r="E57" i="58"/>
  <c r="E56" i="58"/>
  <c r="F56" i="58" s="1"/>
  <c r="E55" i="58"/>
  <c r="F55" i="58" s="1"/>
  <c r="C54" i="58"/>
  <c r="E54" i="58"/>
  <c r="C53" i="58"/>
  <c r="E53" i="58"/>
  <c r="C52" i="58"/>
  <c r="E52" i="58"/>
  <c r="C51" i="58"/>
  <c r="E51" i="58"/>
  <c r="E50" i="58"/>
  <c r="F50" i="58" s="1"/>
  <c r="E49" i="58"/>
  <c r="F49" i="58" s="1"/>
  <c r="E48" i="58"/>
  <c r="F48" i="58" s="1"/>
  <c r="C3" i="58"/>
  <c r="C9" i="58"/>
  <c r="E9" i="58"/>
  <c r="C8" i="58"/>
  <c r="E8" i="58"/>
  <c r="C7" i="58"/>
  <c r="E44" i="58"/>
  <c r="F44" i="58" s="1"/>
  <c r="E41" i="58"/>
  <c r="F41" i="58" s="1"/>
  <c r="E40" i="58"/>
  <c r="F40" i="58" s="1"/>
  <c r="E39" i="58"/>
  <c r="F39" i="58" s="1"/>
  <c r="E38" i="58"/>
  <c r="F38" i="58" s="1"/>
  <c r="E37" i="58"/>
  <c r="F37" i="58" s="1"/>
  <c r="E35" i="58"/>
  <c r="F35" i="58" s="1"/>
  <c r="E34" i="58"/>
  <c r="F34" i="58" s="1"/>
  <c r="E33" i="58"/>
  <c r="F33" i="58" s="1"/>
  <c r="E32" i="58"/>
  <c r="F32" i="58" s="1"/>
  <c r="E31" i="58"/>
  <c r="F31" i="58" s="1"/>
  <c r="E30" i="58"/>
  <c r="F30" i="58" s="1"/>
  <c r="E29" i="58"/>
  <c r="F29" i="58" s="1"/>
  <c r="E28" i="58"/>
  <c r="F28" i="58" s="1"/>
  <c r="E27" i="58"/>
  <c r="F27" i="58" s="1"/>
  <c r="E26" i="58"/>
  <c r="F26" i="58" s="1"/>
  <c r="E25" i="58"/>
  <c r="F25" i="58" s="1"/>
  <c r="E24" i="58"/>
  <c r="F24" i="58" s="1"/>
  <c r="E22" i="58"/>
  <c r="F22" i="58" s="1"/>
  <c r="E21" i="58"/>
  <c r="F21" i="58" s="1"/>
  <c r="E20" i="58"/>
  <c r="F20" i="58" s="1"/>
  <c r="E19" i="58"/>
  <c r="F19" i="58" s="1"/>
  <c r="E18" i="58"/>
  <c r="F18" i="58" s="1"/>
  <c r="E17" i="58"/>
  <c r="F17" i="58" s="1"/>
  <c r="E16" i="58"/>
  <c r="F16" i="58" s="1"/>
  <c r="E15" i="58"/>
  <c r="F15" i="58" s="1"/>
  <c r="E46" i="58"/>
  <c r="F46" i="58" s="1"/>
  <c r="E45" i="58"/>
  <c r="F45" i="58" s="1"/>
  <c r="E43" i="58"/>
  <c r="F43" i="58" s="1"/>
  <c r="E42" i="58"/>
  <c r="F42" i="58" s="1"/>
  <c r="E36" i="58"/>
  <c r="F36" i="58" s="1"/>
  <c r="E23" i="58"/>
  <c r="F23" i="58" s="1"/>
  <c r="E14" i="58"/>
  <c r="F14" i="58" s="1"/>
  <c r="E7" i="58"/>
  <c r="E3" i="58"/>
  <c r="E25" i="57"/>
  <c r="F25" i="57" s="1"/>
  <c r="C24" i="57"/>
  <c r="E24" i="57"/>
  <c r="C23" i="57"/>
  <c r="E23" i="57"/>
  <c r="C22" i="57"/>
  <c r="E22" i="57"/>
  <c r="C21" i="57"/>
  <c r="E21" i="57"/>
  <c r="E20" i="57"/>
  <c r="F20" i="57" s="1"/>
  <c r="E19" i="57"/>
  <c r="F19" i="57" s="1"/>
  <c r="E18" i="57"/>
  <c r="F18" i="57" s="1"/>
  <c r="C16" i="57"/>
  <c r="E16" i="57"/>
  <c r="E15" i="57"/>
  <c r="F15" i="57" s="1"/>
  <c r="C14" i="57"/>
  <c r="E14" i="57"/>
  <c r="C12" i="57"/>
  <c r="C11" i="57"/>
  <c r="E12" i="57"/>
  <c r="E11" i="57"/>
  <c r="C10" i="57"/>
  <c r="E10" i="57"/>
  <c r="C9" i="57"/>
  <c r="E8" i="57"/>
  <c r="F8" i="57" s="1"/>
  <c r="E7" i="57"/>
  <c r="F7" i="57" s="1"/>
  <c r="E9" i="57"/>
  <c r="E6" i="57"/>
  <c r="F6" i="57" s="1"/>
  <c r="E4" i="57"/>
  <c r="F4" i="57" s="1"/>
  <c r="E3" i="57"/>
  <c r="E29" i="56"/>
  <c r="F29" i="56" s="1"/>
  <c r="E28" i="56"/>
  <c r="F28" i="56" s="1"/>
  <c r="E27" i="56"/>
  <c r="F27" i="56" s="1"/>
  <c r="E26" i="56"/>
  <c r="F26" i="56" s="1"/>
  <c r="C24" i="56"/>
  <c r="E24" i="56"/>
  <c r="E22" i="56"/>
  <c r="F22" i="56" s="1"/>
  <c r="E19" i="56"/>
  <c r="F19" i="56" s="1"/>
  <c r="E21" i="56"/>
  <c r="F21" i="56" s="1"/>
  <c r="E20" i="56"/>
  <c r="F20" i="56" s="1"/>
  <c r="E18" i="56"/>
  <c r="F18" i="56" s="1"/>
  <c r="E17" i="56"/>
  <c r="F17" i="56" s="1"/>
  <c r="E16" i="56"/>
  <c r="F16" i="56" s="1"/>
  <c r="E15" i="56"/>
  <c r="F15" i="56" s="1"/>
  <c r="C14" i="56"/>
  <c r="E14" i="56"/>
  <c r="E12" i="56"/>
  <c r="F12" i="56" s="1"/>
  <c r="E10" i="56"/>
  <c r="F10" i="56" s="1"/>
  <c r="E9" i="56"/>
  <c r="F9" i="56" s="1"/>
  <c r="C8" i="56"/>
  <c r="E11" i="56"/>
  <c r="F11" i="56" s="1"/>
  <c r="E8" i="56"/>
  <c r="D6" i="56"/>
  <c r="E6" i="56"/>
  <c r="C4" i="56"/>
  <c r="E4" i="56"/>
  <c r="C3" i="56"/>
  <c r="E3" i="56"/>
  <c r="C19" i="55"/>
  <c r="E12" i="55"/>
  <c r="F12" i="55" s="1"/>
  <c r="E11" i="55"/>
  <c r="F11" i="55" s="1"/>
  <c r="E10" i="55"/>
  <c r="F10" i="55" s="1"/>
  <c r="C9" i="55"/>
  <c r="E9" i="55"/>
  <c r="C8" i="55"/>
  <c r="D6" i="55"/>
  <c r="E6" i="55"/>
  <c r="E4" i="55"/>
  <c r="C4" i="55"/>
  <c r="C3" i="55"/>
  <c r="E19" i="55"/>
  <c r="E17" i="55"/>
  <c r="F17" i="55" s="1"/>
  <c r="E16" i="55"/>
  <c r="F16" i="55" s="1"/>
  <c r="E15" i="55"/>
  <c r="F15" i="55" s="1"/>
  <c r="E14" i="55"/>
  <c r="F14" i="55" s="1"/>
  <c r="E8" i="55"/>
  <c r="E3" i="55"/>
  <c r="C4" i="54"/>
  <c r="E6" i="54"/>
  <c r="F6" i="54" s="1"/>
  <c r="E5" i="54"/>
  <c r="F5" i="54" s="1"/>
  <c r="E4" i="54"/>
  <c r="E3" i="54"/>
  <c r="F3" i="54" s="1"/>
  <c r="D155" i="59" l="1"/>
  <c r="H155" i="59" s="1"/>
  <c r="H44" i="59"/>
  <c r="F157" i="59"/>
  <c r="H157" i="59"/>
  <c r="F142" i="59"/>
  <c r="F144" i="59"/>
  <c r="D100" i="59"/>
  <c r="H100" i="59" s="1"/>
  <c r="F97" i="59"/>
  <c r="F87" i="59"/>
  <c r="F89" i="59"/>
  <c r="F45" i="59"/>
  <c r="D98" i="59"/>
  <c r="F95" i="59"/>
  <c r="F155" i="59"/>
  <c r="F170" i="59"/>
  <c r="F74" i="59"/>
  <c r="F76" i="59"/>
  <c r="F36" i="59"/>
  <c r="F41" i="59"/>
  <c r="F47" i="59"/>
  <c r="F84" i="59"/>
  <c r="F75" i="59"/>
  <c r="F79" i="59"/>
  <c r="F82" i="59"/>
  <c r="F88" i="59"/>
  <c r="F34" i="59"/>
  <c r="F44" i="59"/>
  <c r="D210" i="59"/>
  <c r="H210" i="59" s="1"/>
  <c r="F46" i="59"/>
  <c r="F48" i="59"/>
  <c r="F73" i="59"/>
  <c r="F83" i="59"/>
  <c r="F85" i="59"/>
  <c r="F96" i="59"/>
  <c r="F86" i="59"/>
  <c r="F156" i="59"/>
  <c r="F60" i="58"/>
  <c r="F160" i="58"/>
  <c r="F173" i="58"/>
  <c r="F181" i="58"/>
  <c r="F187" i="58"/>
  <c r="F193" i="58"/>
  <c r="F57" i="58"/>
  <c r="F92" i="58"/>
  <c r="F98" i="58"/>
  <c r="F106" i="58"/>
  <c r="F112" i="58"/>
  <c r="F124" i="58"/>
  <c r="F128" i="58"/>
  <c r="F149" i="58"/>
  <c r="F155" i="58"/>
  <c r="F159" i="58"/>
  <c r="F161" i="58"/>
  <c r="F10" i="58"/>
  <c r="F8" i="58"/>
  <c r="F51" i="58"/>
  <c r="F53" i="58"/>
  <c r="F89" i="58"/>
  <c r="F91" i="58"/>
  <c r="F93" i="58"/>
  <c r="F95" i="58"/>
  <c r="F97" i="58"/>
  <c r="F99" i="58"/>
  <c r="F101" i="58"/>
  <c r="F103" i="58"/>
  <c r="F105" i="58"/>
  <c r="F107" i="58"/>
  <c r="F109" i="58"/>
  <c r="F111" i="58"/>
  <c r="F113" i="58"/>
  <c r="F115" i="58"/>
  <c r="F119" i="58"/>
  <c r="F123" i="58"/>
  <c r="F125" i="58"/>
  <c r="F127" i="58"/>
  <c r="F129" i="58"/>
  <c r="F148" i="58"/>
  <c r="F150" i="58"/>
  <c r="F152" i="58"/>
  <c r="F154" i="58"/>
  <c r="F156" i="58"/>
  <c r="F158" i="58"/>
  <c r="F165" i="58"/>
  <c r="F169" i="58"/>
  <c r="F177" i="58"/>
  <c r="F134" i="58"/>
  <c r="F82" i="58"/>
  <c r="F85" i="58"/>
  <c r="F62" i="58"/>
  <c r="F166" i="58"/>
  <c r="F175" i="58"/>
  <c r="F183" i="58"/>
  <c r="F189" i="58"/>
  <c r="F197" i="58"/>
  <c r="F83" i="58"/>
  <c r="F7" i="58"/>
  <c r="F52" i="58"/>
  <c r="F87" i="58"/>
  <c r="F96" i="58"/>
  <c r="F108" i="58"/>
  <c r="F153" i="58"/>
  <c r="F171" i="58"/>
  <c r="F86" i="58"/>
  <c r="F170" i="58"/>
  <c r="F179" i="58"/>
  <c r="F185" i="58"/>
  <c r="F191" i="58"/>
  <c r="F195" i="58"/>
  <c r="F6" i="58"/>
  <c r="F9" i="58"/>
  <c r="F54" i="58"/>
  <c r="F90" i="58"/>
  <c r="F94" i="58"/>
  <c r="F100" i="58"/>
  <c r="F104" i="58"/>
  <c r="F110" i="58"/>
  <c r="F114" i="58"/>
  <c r="F126" i="58"/>
  <c r="F131" i="58"/>
  <c r="F151" i="58"/>
  <c r="F157" i="58"/>
  <c r="F167" i="58"/>
  <c r="F11" i="58"/>
  <c r="F132" i="58"/>
  <c r="F3" i="58"/>
  <c r="F59" i="58"/>
  <c r="F61" i="58"/>
  <c r="F63" i="58"/>
  <c r="F102" i="58"/>
  <c r="F168" i="58"/>
  <c r="F174" i="58"/>
  <c r="F176" i="58"/>
  <c r="F178" i="58"/>
  <c r="F180" i="58"/>
  <c r="F182" i="58"/>
  <c r="F184" i="58"/>
  <c r="F186" i="58"/>
  <c r="F188" i="58"/>
  <c r="F190" i="58"/>
  <c r="F192" i="58"/>
  <c r="F194" i="58"/>
  <c r="F196" i="58"/>
  <c r="F5" i="58"/>
  <c r="F4" i="58"/>
  <c r="F12" i="58"/>
  <c r="F133" i="58"/>
  <c r="F10" i="57"/>
  <c r="F12" i="57"/>
  <c r="F22" i="57"/>
  <c r="F16" i="57"/>
  <c r="F11" i="57"/>
  <c r="F3" i="57"/>
  <c r="F24" i="57"/>
  <c r="H26" i="57"/>
  <c r="F9" i="57"/>
  <c r="F14" i="57"/>
  <c r="F21" i="57"/>
  <c r="F23" i="57"/>
  <c r="F8" i="56"/>
  <c r="H30" i="56"/>
  <c r="F3" i="56"/>
  <c r="F6" i="56"/>
  <c r="F14" i="56"/>
  <c r="F30" i="56" s="1"/>
  <c r="F4" i="56"/>
  <c r="F24" i="56"/>
  <c r="F3" i="55"/>
  <c r="F6" i="55"/>
  <c r="F4" i="55"/>
  <c r="F8" i="55"/>
  <c r="F9" i="55"/>
  <c r="F19" i="55"/>
  <c r="H7" i="54"/>
  <c r="F4" i="54"/>
  <c r="F7" i="54"/>
  <c r="D99" i="59"/>
  <c r="H99" i="59" s="1"/>
  <c r="C68" i="53"/>
  <c r="E68" i="53"/>
  <c r="E67" i="53"/>
  <c r="F67" i="53" s="1"/>
  <c r="E66" i="53"/>
  <c r="F66" i="53" s="1"/>
  <c r="C65" i="53"/>
  <c r="E65" i="53"/>
  <c r="E64" i="53"/>
  <c r="F64" i="53" s="1"/>
  <c r="E62" i="53"/>
  <c r="F62" i="53" s="1"/>
  <c r="E61" i="53"/>
  <c r="F61" i="53" s="1"/>
  <c r="C60" i="53"/>
  <c r="E60" i="53"/>
  <c r="D58" i="53"/>
  <c r="E58" i="53"/>
  <c r="E57" i="53"/>
  <c r="F57" i="53" s="1"/>
  <c r="C55" i="53"/>
  <c r="E55" i="53"/>
  <c r="E54" i="53"/>
  <c r="F54" i="53" s="1"/>
  <c r="E53" i="53"/>
  <c r="F53" i="53" s="1"/>
  <c r="C52" i="53"/>
  <c r="E52" i="53"/>
  <c r="E51" i="53"/>
  <c r="F51" i="53" s="1"/>
  <c r="E49" i="53"/>
  <c r="F49" i="53" s="1"/>
  <c r="E48" i="53"/>
  <c r="F48" i="53" s="1"/>
  <c r="C47" i="53"/>
  <c r="E47" i="53"/>
  <c r="C46" i="53"/>
  <c r="E46" i="53"/>
  <c r="C45" i="53"/>
  <c r="E45" i="53"/>
  <c r="C44" i="53"/>
  <c r="E44" i="53"/>
  <c r="D42" i="53"/>
  <c r="E42" i="53"/>
  <c r="D41" i="53"/>
  <c r="E41" i="53"/>
  <c r="D40" i="53"/>
  <c r="E40" i="53"/>
  <c r="D39" i="53"/>
  <c r="E39" i="53"/>
  <c r="D38" i="53"/>
  <c r="E38" i="53"/>
  <c r="D37" i="53"/>
  <c r="E37" i="53"/>
  <c r="D36" i="53"/>
  <c r="E36" i="53"/>
  <c r="D35" i="53"/>
  <c r="E35" i="53"/>
  <c r="D34" i="53"/>
  <c r="E34" i="53"/>
  <c r="D33" i="53"/>
  <c r="E33" i="53"/>
  <c r="D32" i="53"/>
  <c r="E32" i="53"/>
  <c r="D31" i="53"/>
  <c r="D30" i="53"/>
  <c r="D29" i="53"/>
  <c r="E29" i="53"/>
  <c r="D28" i="53"/>
  <c r="D27" i="53"/>
  <c r="E27" i="53"/>
  <c r="D26" i="53"/>
  <c r="E26" i="53"/>
  <c r="D25" i="53"/>
  <c r="E25" i="53"/>
  <c r="D24" i="53"/>
  <c r="E24" i="53"/>
  <c r="D23" i="53"/>
  <c r="E23" i="53"/>
  <c r="D22" i="53"/>
  <c r="E22" i="53"/>
  <c r="E20" i="53"/>
  <c r="F20" i="53" s="1"/>
  <c r="E19" i="53"/>
  <c r="F19" i="53" s="1"/>
  <c r="E17" i="53"/>
  <c r="F17" i="53" s="1"/>
  <c r="E16" i="53"/>
  <c r="F16" i="53" s="1"/>
  <c r="E15" i="53"/>
  <c r="F15" i="53" s="1"/>
  <c r="E14" i="53"/>
  <c r="F14" i="53" s="1"/>
  <c r="E13" i="53"/>
  <c r="F13" i="53" s="1"/>
  <c r="E12" i="53"/>
  <c r="F12" i="53" s="1"/>
  <c r="D11" i="53"/>
  <c r="E11" i="53"/>
  <c r="D10" i="53"/>
  <c r="E10" i="53"/>
  <c r="D9" i="53"/>
  <c r="D8" i="53"/>
  <c r="E8" i="53"/>
  <c r="D7" i="53"/>
  <c r="E7" i="53"/>
  <c r="D6" i="53"/>
  <c r="E6" i="53"/>
  <c r="D5" i="53"/>
  <c r="E5" i="53"/>
  <c r="D4" i="53"/>
  <c r="E4" i="53"/>
  <c r="D3" i="53"/>
  <c r="E3" i="53"/>
  <c r="C68" i="52"/>
  <c r="C65" i="52"/>
  <c r="E68" i="52"/>
  <c r="E67" i="52"/>
  <c r="F67" i="52" s="1"/>
  <c r="E66" i="52"/>
  <c r="F66" i="52" s="1"/>
  <c r="E65" i="52"/>
  <c r="E64" i="52"/>
  <c r="F64" i="52" s="1"/>
  <c r="E62" i="52"/>
  <c r="F62" i="52" s="1"/>
  <c r="E61" i="52"/>
  <c r="F61" i="52" s="1"/>
  <c r="C60" i="52"/>
  <c r="E60" i="52"/>
  <c r="D58" i="52"/>
  <c r="E58" i="52"/>
  <c r="E57" i="52"/>
  <c r="F57" i="52" s="1"/>
  <c r="C55" i="52"/>
  <c r="C52" i="52"/>
  <c r="E55" i="52"/>
  <c r="E54" i="52"/>
  <c r="F54" i="52" s="1"/>
  <c r="E53" i="52"/>
  <c r="F53" i="52" s="1"/>
  <c r="E52" i="52"/>
  <c r="E51" i="52"/>
  <c r="F51" i="52" s="1"/>
  <c r="E49" i="52"/>
  <c r="F49" i="52" s="1"/>
  <c r="E48" i="52"/>
  <c r="F48" i="52" s="1"/>
  <c r="C47" i="52"/>
  <c r="C46" i="52"/>
  <c r="E46" i="52"/>
  <c r="E47" i="52"/>
  <c r="C45" i="52"/>
  <c r="E45" i="52"/>
  <c r="C44" i="52"/>
  <c r="E44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168" i="59" l="1"/>
  <c r="H98" i="59"/>
  <c r="F100" i="59"/>
  <c r="F98" i="59"/>
  <c r="D240" i="59"/>
  <c r="F210" i="59"/>
  <c r="F99" i="59"/>
  <c r="H198" i="58"/>
  <c r="F28" i="53"/>
  <c r="F35" i="53"/>
  <c r="F46" i="53"/>
  <c r="F9" i="53"/>
  <c r="F11" i="53"/>
  <c r="F23" i="53"/>
  <c r="F25" i="53"/>
  <c r="F27" i="53"/>
  <c r="F30" i="53"/>
  <c r="F52" i="53"/>
  <c r="F55" i="53"/>
  <c r="F5" i="53"/>
  <c r="F7" i="53"/>
  <c r="F33" i="53"/>
  <c r="F39" i="53"/>
  <c r="F41" i="53"/>
  <c r="F60" i="53"/>
  <c r="F10" i="53"/>
  <c r="F22" i="53"/>
  <c r="F24" i="53"/>
  <c r="F26" i="53"/>
  <c r="F65" i="53"/>
  <c r="F68" i="53"/>
  <c r="F3" i="53"/>
  <c r="F31" i="53"/>
  <c r="F37" i="53"/>
  <c r="F44" i="53"/>
  <c r="F4" i="53"/>
  <c r="F6" i="53"/>
  <c r="F8" i="53"/>
  <c r="F29" i="53"/>
  <c r="F32" i="53"/>
  <c r="F34" i="53"/>
  <c r="F36" i="53"/>
  <c r="F38" i="53"/>
  <c r="F40" i="53"/>
  <c r="F42" i="53"/>
  <c r="F45" i="53"/>
  <c r="F47" i="53"/>
  <c r="F58" i="53"/>
  <c r="F30" i="52"/>
  <c r="F45" i="52"/>
  <c r="F47" i="52"/>
  <c r="F52" i="52"/>
  <c r="F58" i="52"/>
  <c r="F28" i="52"/>
  <c r="F44" i="52"/>
  <c r="F60" i="52"/>
  <c r="F65" i="52"/>
  <c r="F55" i="52"/>
  <c r="F31" i="52"/>
  <c r="F46" i="52"/>
  <c r="F68" i="52"/>
  <c r="K5" i="4"/>
  <c r="O5" i="4" s="1"/>
  <c r="F26" i="57"/>
  <c r="F198" i="58"/>
  <c r="F20" i="55"/>
  <c r="E42" i="52"/>
  <c r="F42" i="52" s="1"/>
  <c r="E41" i="52"/>
  <c r="F41" i="52" s="1"/>
  <c r="E40" i="52"/>
  <c r="F40" i="52" s="1"/>
  <c r="E39" i="52"/>
  <c r="F39" i="52" s="1"/>
  <c r="E38" i="52"/>
  <c r="F38" i="52" s="1"/>
  <c r="E37" i="52"/>
  <c r="F37" i="52" s="1"/>
  <c r="E36" i="52"/>
  <c r="F36" i="52" s="1"/>
  <c r="E35" i="52"/>
  <c r="F35" i="52" s="1"/>
  <c r="E34" i="52"/>
  <c r="F34" i="52" s="1"/>
  <c r="E33" i="52"/>
  <c r="F33" i="52" s="1"/>
  <c r="E32" i="52"/>
  <c r="F32" i="52" s="1"/>
  <c r="E29" i="52"/>
  <c r="F29" i="52" s="1"/>
  <c r="E27" i="52"/>
  <c r="F27" i="52" s="1"/>
  <c r="E26" i="52"/>
  <c r="F26" i="52" s="1"/>
  <c r="E25" i="52"/>
  <c r="F25" i="52" s="1"/>
  <c r="E24" i="52"/>
  <c r="F24" i="52" s="1"/>
  <c r="E23" i="52"/>
  <c r="F23" i="52" s="1"/>
  <c r="E22" i="52"/>
  <c r="F22" i="52" s="1"/>
  <c r="D11" i="52"/>
  <c r="D7" i="52"/>
  <c r="D8" i="52"/>
  <c r="D9" i="52"/>
  <c r="D10" i="52"/>
  <c r="D3" i="52"/>
  <c r="D4" i="52"/>
  <c r="D5" i="52"/>
  <c r="D6" i="52"/>
  <c r="E20" i="52"/>
  <c r="F20" i="52" s="1"/>
  <c r="E17" i="52"/>
  <c r="F17" i="52" s="1"/>
  <c r="E16" i="52"/>
  <c r="F16" i="52" s="1"/>
  <c r="E15" i="52"/>
  <c r="F15" i="52" s="1"/>
  <c r="E12" i="52"/>
  <c r="F12" i="52" s="1"/>
  <c r="E13" i="52"/>
  <c r="F13" i="52" s="1"/>
  <c r="E14" i="52"/>
  <c r="F14" i="52" s="1"/>
  <c r="E19" i="52"/>
  <c r="F19" i="52" s="1"/>
  <c r="E11" i="52"/>
  <c r="E10" i="52"/>
  <c r="E8" i="52"/>
  <c r="E7" i="52"/>
  <c r="E6" i="52"/>
  <c r="E5" i="52"/>
  <c r="E4" i="52"/>
  <c r="E3" i="52"/>
  <c r="C46" i="51"/>
  <c r="E46" i="51"/>
  <c r="E45" i="51"/>
  <c r="F45" i="51" s="1"/>
  <c r="E44" i="51"/>
  <c r="F44" i="51" s="1"/>
  <c r="E43" i="51"/>
  <c r="F43" i="51" s="1"/>
  <c r="E42" i="51"/>
  <c r="F42" i="51" s="1"/>
  <c r="E40" i="51"/>
  <c r="F40" i="51" s="1"/>
  <c r="E39" i="51"/>
  <c r="F39" i="51" s="1"/>
  <c r="C38" i="51"/>
  <c r="E38" i="51"/>
  <c r="D36" i="51"/>
  <c r="E36" i="51"/>
  <c r="E35" i="51"/>
  <c r="F35" i="51" s="1"/>
  <c r="C33" i="51"/>
  <c r="E33" i="51"/>
  <c r="E32" i="51"/>
  <c r="F32" i="51" s="1"/>
  <c r="E31" i="51"/>
  <c r="F31" i="51" s="1"/>
  <c r="E30" i="51"/>
  <c r="F30" i="51" s="1"/>
  <c r="C29" i="51"/>
  <c r="E29" i="51"/>
  <c r="E28" i="51"/>
  <c r="F28" i="51" s="1"/>
  <c r="E26" i="51"/>
  <c r="F26" i="51" s="1"/>
  <c r="E25" i="51"/>
  <c r="F25" i="51" s="1"/>
  <c r="C24" i="51"/>
  <c r="E24" i="51"/>
  <c r="C23" i="51"/>
  <c r="E23" i="51"/>
  <c r="D21" i="51"/>
  <c r="E21" i="51"/>
  <c r="D20" i="51"/>
  <c r="E20" i="51"/>
  <c r="D19" i="51"/>
  <c r="E19" i="51"/>
  <c r="D18" i="51"/>
  <c r="D17" i="51"/>
  <c r="E17" i="51"/>
  <c r="D16" i="51"/>
  <c r="D15" i="51"/>
  <c r="E15" i="51"/>
  <c r="D14" i="51"/>
  <c r="E14" i="51"/>
  <c r="D13" i="51"/>
  <c r="E13" i="51"/>
  <c r="D11" i="51"/>
  <c r="C11" i="51"/>
  <c r="E11" i="51"/>
  <c r="D10" i="51"/>
  <c r="C10" i="51"/>
  <c r="E10" i="51"/>
  <c r="D9" i="51"/>
  <c r="E9" i="51"/>
  <c r="D8" i="51"/>
  <c r="E8" i="51"/>
  <c r="D7" i="51"/>
  <c r="E7" i="51"/>
  <c r="D6" i="51"/>
  <c r="E6" i="51"/>
  <c r="D5" i="51"/>
  <c r="E5" i="51"/>
  <c r="D4" i="51"/>
  <c r="E4" i="51"/>
  <c r="D3" i="51"/>
  <c r="E3" i="51"/>
  <c r="C46" i="50"/>
  <c r="D36" i="50"/>
  <c r="E36" i="50"/>
  <c r="E35" i="50"/>
  <c r="F35" i="50" s="1"/>
  <c r="E46" i="50"/>
  <c r="E45" i="50"/>
  <c r="F45" i="50" s="1"/>
  <c r="E44" i="50"/>
  <c r="F44" i="50" s="1"/>
  <c r="E43" i="50"/>
  <c r="F43" i="50" s="1"/>
  <c r="E42" i="50"/>
  <c r="F42" i="50" s="1"/>
  <c r="E40" i="50"/>
  <c r="F40" i="50" s="1"/>
  <c r="E39" i="50"/>
  <c r="F39" i="50" s="1"/>
  <c r="C38" i="50"/>
  <c r="E38" i="50"/>
  <c r="C33" i="50"/>
  <c r="E32" i="50"/>
  <c r="F32" i="50" s="1"/>
  <c r="C29" i="50"/>
  <c r="E33" i="50"/>
  <c r="E31" i="50"/>
  <c r="F31" i="50" s="1"/>
  <c r="E30" i="50"/>
  <c r="F30" i="50" s="1"/>
  <c r="E29" i="50"/>
  <c r="E28" i="50"/>
  <c r="F28" i="50" s="1"/>
  <c r="E26" i="50"/>
  <c r="F26" i="50" s="1"/>
  <c r="E25" i="50"/>
  <c r="F25" i="50" s="1"/>
  <c r="C24" i="50"/>
  <c r="E24" i="50"/>
  <c r="C23" i="50"/>
  <c r="E23" i="50"/>
  <c r="D21" i="50"/>
  <c r="D19" i="50"/>
  <c r="D20" i="50"/>
  <c r="D13" i="50"/>
  <c r="D14" i="50"/>
  <c r="D15" i="50"/>
  <c r="D16" i="50"/>
  <c r="D17" i="50"/>
  <c r="D18" i="50"/>
  <c r="E21" i="50"/>
  <c r="E20" i="50"/>
  <c r="E19" i="50"/>
  <c r="E17" i="50"/>
  <c r="E15" i="50"/>
  <c r="E13" i="50"/>
  <c r="E14" i="50"/>
  <c r="D11" i="50"/>
  <c r="D10" i="50"/>
  <c r="D9" i="50"/>
  <c r="D3" i="50"/>
  <c r="D4" i="50"/>
  <c r="D5" i="50"/>
  <c r="D6" i="50"/>
  <c r="D7" i="50"/>
  <c r="D8" i="50"/>
  <c r="C11" i="50"/>
  <c r="E11" i="50"/>
  <c r="C10" i="50"/>
  <c r="E10" i="50"/>
  <c r="E9" i="50"/>
  <c r="E8" i="50"/>
  <c r="E7" i="50"/>
  <c r="E6" i="50"/>
  <c r="E5" i="50"/>
  <c r="E4" i="50"/>
  <c r="E3" i="50"/>
  <c r="C36" i="46"/>
  <c r="E36" i="46"/>
  <c r="E35" i="46"/>
  <c r="F35" i="46" s="1"/>
  <c r="E34" i="46"/>
  <c r="F34" i="46" s="1"/>
  <c r="E33" i="46"/>
  <c r="F33" i="46" s="1"/>
  <c r="E32" i="46"/>
  <c r="F32" i="46" s="1"/>
  <c r="E30" i="46"/>
  <c r="F30" i="46" s="1"/>
  <c r="E29" i="46"/>
  <c r="F29" i="46" s="1"/>
  <c r="C27" i="46"/>
  <c r="C26" i="46"/>
  <c r="E26" i="46"/>
  <c r="E27" i="46"/>
  <c r="C25" i="46"/>
  <c r="E28" i="46"/>
  <c r="F28" i="46" s="1"/>
  <c r="E25" i="46"/>
  <c r="D22" i="46"/>
  <c r="D18" i="46"/>
  <c r="D19" i="46"/>
  <c r="D20" i="46"/>
  <c r="D21" i="46"/>
  <c r="D23" i="46"/>
  <c r="E23" i="46"/>
  <c r="E22" i="46"/>
  <c r="E20" i="46"/>
  <c r="E18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C16" i="46"/>
  <c r="E16" i="46"/>
  <c r="C15" i="46"/>
  <c r="E15" i="46"/>
  <c r="E14" i="46"/>
  <c r="E13" i="46"/>
  <c r="E12" i="46"/>
  <c r="E11" i="46"/>
  <c r="E10" i="46"/>
  <c r="C9" i="46"/>
  <c r="C8" i="46"/>
  <c r="E9" i="46"/>
  <c r="E8" i="46"/>
  <c r="E7" i="46"/>
  <c r="E6" i="46"/>
  <c r="E5" i="46"/>
  <c r="E4" i="46"/>
  <c r="E3" i="46"/>
  <c r="F240" i="59" l="1"/>
  <c r="H240" i="59"/>
  <c r="H243" i="59" s="1"/>
  <c r="F168" i="59"/>
  <c r="H168" i="59"/>
  <c r="K3" i="4"/>
  <c r="O3" i="4" s="1"/>
  <c r="F243" i="59"/>
  <c r="H69" i="53"/>
  <c r="F3" i="52"/>
  <c r="F7" i="52"/>
  <c r="F4" i="52"/>
  <c r="F8" i="52"/>
  <c r="F6" i="52"/>
  <c r="F10" i="52"/>
  <c r="F11" i="52"/>
  <c r="F5" i="52"/>
  <c r="F69" i="52" s="1"/>
  <c r="F9" i="52"/>
  <c r="F5" i="51"/>
  <c r="F7" i="51"/>
  <c r="F9" i="51"/>
  <c r="F13" i="51"/>
  <c r="F15" i="51"/>
  <c r="F18" i="51"/>
  <c r="F20" i="51"/>
  <c r="F33" i="51"/>
  <c r="F11" i="51"/>
  <c r="F16" i="51"/>
  <c r="F38" i="51"/>
  <c r="F46" i="51"/>
  <c r="F4" i="51"/>
  <c r="F6" i="51"/>
  <c r="F8" i="51"/>
  <c r="F10" i="51"/>
  <c r="F14" i="51"/>
  <c r="F19" i="51"/>
  <c r="F21" i="51"/>
  <c r="F24" i="51"/>
  <c r="F17" i="51"/>
  <c r="F29" i="51"/>
  <c r="F36" i="51"/>
  <c r="F3" i="51"/>
  <c r="F23" i="51"/>
  <c r="F8" i="50"/>
  <c r="F18" i="50"/>
  <c r="F14" i="50"/>
  <c r="F21" i="50"/>
  <c r="F38" i="50"/>
  <c r="F10" i="50"/>
  <c r="F3" i="50"/>
  <c r="F13" i="50"/>
  <c r="F6" i="50"/>
  <c r="F9" i="50"/>
  <c r="F16" i="50"/>
  <c r="F20" i="50"/>
  <c r="F23" i="50"/>
  <c r="F33" i="50"/>
  <c r="F36" i="50"/>
  <c r="F11" i="50"/>
  <c r="F5" i="50"/>
  <c r="F15" i="50"/>
  <c r="F19" i="50"/>
  <c r="F46" i="50"/>
  <c r="F4" i="50"/>
  <c r="F24" i="50"/>
  <c r="F29" i="50"/>
  <c r="F7" i="50"/>
  <c r="F17" i="50"/>
  <c r="F3" i="46"/>
  <c r="F7" i="46"/>
  <c r="F11" i="46"/>
  <c r="F20" i="46"/>
  <c r="F8" i="46"/>
  <c r="F15" i="46"/>
  <c r="F4" i="46"/>
  <c r="F12" i="46"/>
  <c r="F19" i="46"/>
  <c r="F26" i="46"/>
  <c r="F9" i="46"/>
  <c r="F5" i="46"/>
  <c r="F13" i="46"/>
  <c r="F23" i="46"/>
  <c r="F18" i="46"/>
  <c r="F25" i="46"/>
  <c r="F27" i="46"/>
  <c r="F36" i="46"/>
  <c r="F16" i="46"/>
  <c r="F10" i="46"/>
  <c r="F22" i="46"/>
  <c r="F6" i="46"/>
  <c r="F14" i="46"/>
  <c r="F21" i="46"/>
  <c r="F69" i="53"/>
  <c r="H69" i="52" l="1"/>
  <c r="K7" i="4"/>
  <c r="O7" i="4" s="1"/>
  <c r="F47" i="51"/>
  <c r="G12" i="4"/>
  <c r="F47" i="50"/>
  <c r="G39" i="4"/>
  <c r="G40" i="4"/>
  <c r="G41" i="4"/>
  <c r="G38" i="4"/>
  <c r="G37" i="4"/>
  <c r="G36" i="4"/>
  <c r="G33" i="4"/>
  <c r="G34" i="4"/>
  <c r="G35" i="4"/>
  <c r="G32" i="4"/>
  <c r="G31" i="4"/>
  <c r="G30" i="4"/>
  <c r="G27" i="4"/>
  <c r="G28" i="4"/>
  <c r="G29" i="4"/>
  <c r="G25" i="4"/>
  <c r="G26" i="4"/>
  <c r="G24" i="4"/>
  <c r="G23" i="4"/>
  <c r="G22" i="4"/>
  <c r="G19" i="4"/>
  <c r="G20" i="4"/>
  <c r="G21" i="4"/>
  <c r="G42" i="4"/>
  <c r="G18" i="4"/>
  <c r="G17" i="4"/>
  <c r="G16" i="4"/>
  <c r="G15" i="4"/>
  <c r="G14" i="4"/>
  <c r="G13" i="4"/>
  <c r="G11" i="4"/>
  <c r="G10" i="4"/>
  <c r="G9" i="4"/>
  <c r="K4" i="4" l="1"/>
  <c r="O4" i="4" s="1"/>
  <c r="K6" i="4"/>
  <c r="O6" i="4" s="1"/>
  <c r="C46" i="4"/>
  <c r="F37" i="46"/>
  <c r="K9" i="4" l="1"/>
  <c r="O9" i="4"/>
  <c r="G7" i="4"/>
  <c r="G6" i="4"/>
  <c r="G5" i="4"/>
  <c r="G4" i="4"/>
  <c r="G3" i="4" l="1"/>
  <c r="G8" i="4" l="1"/>
  <c r="G46" i="4" s="1"/>
</calcChain>
</file>

<file path=xl/sharedStrings.xml><?xml version="1.0" encoding="utf-8"?>
<sst xmlns="http://schemas.openxmlformats.org/spreadsheetml/2006/main" count="3226" uniqueCount="792">
  <si>
    <t>备注</t>
  </si>
  <si>
    <t>名称</t>
  </si>
  <si>
    <t>规格尺寸</t>
  </si>
  <si>
    <t>单位面积</t>
  </si>
  <si>
    <t>长度</t>
  </si>
  <si>
    <t>数量</t>
  </si>
  <si>
    <t>面积</t>
  </si>
  <si>
    <t>合计</t>
    <phoneticPr fontId="3" type="noConversion"/>
  </si>
  <si>
    <t>区域</t>
    <phoneticPr fontId="3" type="noConversion"/>
  </si>
  <si>
    <t>类型</t>
    <phoneticPr fontId="3" type="noConversion"/>
  </si>
  <si>
    <t>金额(元)</t>
    <phoneticPr fontId="3" type="noConversion"/>
  </si>
  <si>
    <r>
      <t>工程量(m</t>
    </r>
    <r>
      <rPr>
        <b/>
        <vertAlign val="superscript"/>
        <sz val="12"/>
        <rFont val="微软雅黑"/>
        <family val="2"/>
        <charset val="134"/>
      </rPr>
      <t>2</t>
    </r>
    <r>
      <rPr>
        <b/>
        <sz val="12"/>
        <rFont val="微软雅黑"/>
        <family val="2"/>
        <charset val="134"/>
      </rPr>
      <t>)</t>
    </r>
    <phoneticPr fontId="3" type="noConversion"/>
  </si>
  <si>
    <r>
      <t>单价(元/m</t>
    </r>
    <r>
      <rPr>
        <b/>
        <vertAlign val="superscript"/>
        <sz val="12"/>
        <rFont val="微软雅黑"/>
        <family val="2"/>
        <charset val="134"/>
      </rPr>
      <t>2</t>
    </r>
    <r>
      <rPr>
        <b/>
        <sz val="12"/>
        <rFont val="微软雅黑"/>
        <family val="2"/>
        <charset val="134"/>
      </rPr>
      <t>)</t>
    </r>
    <phoneticPr fontId="3" type="noConversion"/>
  </si>
  <si>
    <t>计量分类</t>
    <phoneticPr fontId="3" type="noConversion"/>
  </si>
  <si>
    <t>屋面檩条</t>
    <phoneticPr fontId="3" type="noConversion"/>
  </si>
  <si>
    <t>钢梁</t>
    <phoneticPr fontId="3" type="noConversion"/>
  </si>
  <si>
    <t>消防水站</t>
    <phoneticPr fontId="3" type="noConversion"/>
  </si>
  <si>
    <t>柱间支撑</t>
  </si>
  <si>
    <t>钢梁</t>
  </si>
  <si>
    <t>钢梁</t>
    <phoneticPr fontId="3" type="noConversion"/>
  </si>
  <si>
    <t>檩条、屋面板</t>
  </si>
  <si>
    <t>檩条、屋面板</t>
    <phoneticPr fontId="3" type="noConversion"/>
  </si>
  <si>
    <t>柱间支撑</t>
    <phoneticPr fontId="3" type="noConversion"/>
  </si>
  <si>
    <t>钢梁、屋盖支撑、系杆</t>
  </si>
  <si>
    <t>钢梁、屋盖支撑、系杆</t>
    <phoneticPr fontId="3" type="noConversion"/>
  </si>
  <si>
    <t>柱间支撑</t>
    <phoneticPr fontId="3" type="noConversion"/>
  </si>
  <si>
    <t>ZCs-21-1a</t>
    <phoneticPr fontId="3" type="noConversion"/>
  </si>
  <si>
    <t>L63×40×5</t>
  </si>
  <si>
    <t>L63×40×5</t>
    <phoneticPr fontId="3" type="noConversion"/>
  </si>
  <si>
    <t>甲类仓库C1</t>
    <phoneticPr fontId="3" type="noConversion"/>
  </si>
  <si>
    <t>甲类仓库C2</t>
    <phoneticPr fontId="3" type="noConversion"/>
  </si>
  <si>
    <t>丙类仓库D1</t>
    <phoneticPr fontId="3" type="noConversion"/>
  </si>
  <si>
    <t>丙类仓库D2</t>
    <phoneticPr fontId="3" type="noConversion"/>
  </si>
  <si>
    <t>危废库</t>
    <phoneticPr fontId="3" type="noConversion"/>
  </si>
  <si>
    <t>檩条、屋面板</t>
    <phoneticPr fontId="3" type="noConversion"/>
  </si>
  <si>
    <t>管廊</t>
    <phoneticPr fontId="3" type="noConversion"/>
  </si>
  <si>
    <t>钢柱、柱间支撑</t>
  </si>
  <si>
    <t>钢柱、柱间支撑</t>
    <phoneticPr fontId="3" type="noConversion"/>
  </si>
  <si>
    <t>钢梁、屋盖支撑、系杆</t>
    <phoneticPr fontId="3" type="noConversion"/>
  </si>
  <si>
    <t>钢柱</t>
  </si>
  <si>
    <t>钢柱</t>
    <phoneticPr fontId="3" type="noConversion"/>
  </si>
  <si>
    <t>酸碱类泵棚</t>
    <phoneticPr fontId="3" type="noConversion"/>
  </si>
  <si>
    <t>甲乙类泵棚</t>
    <phoneticPr fontId="3" type="noConversion"/>
  </si>
  <si>
    <t>钢梁</t>
    <phoneticPr fontId="3" type="noConversion"/>
  </si>
  <si>
    <t>胶粘剂厂房</t>
    <phoneticPr fontId="3" type="noConversion"/>
  </si>
  <si>
    <t>平台板</t>
  </si>
  <si>
    <t>平台板</t>
    <phoneticPr fontId="3" type="noConversion"/>
  </si>
  <si>
    <t>薄型2.5h</t>
  </si>
  <si>
    <t>薄型1.5h</t>
  </si>
  <si>
    <t>薄型1.0h</t>
  </si>
  <si>
    <t>薄型2.0h</t>
  </si>
  <si>
    <t>薄型3.0h</t>
  </si>
  <si>
    <t>军用助剂厂房</t>
    <phoneticPr fontId="3" type="noConversion"/>
  </si>
  <si>
    <t>卸车泵棚</t>
    <phoneticPr fontId="3" type="noConversion"/>
  </si>
  <si>
    <t>卸车台</t>
    <phoneticPr fontId="3" type="noConversion"/>
  </si>
  <si>
    <t>阻燃剂厂房</t>
    <phoneticPr fontId="3" type="noConversion"/>
  </si>
  <si>
    <t>钢柱、柱间支撑</t>
    <phoneticPr fontId="3" type="noConversion"/>
  </si>
  <si>
    <t>平台板</t>
    <phoneticPr fontId="3" type="noConversion"/>
  </si>
  <si>
    <t>L90×6</t>
  </si>
  <si>
    <t>L90×6</t>
    <phoneticPr fontId="3" type="noConversion"/>
  </si>
  <si>
    <t>PL225×270×10</t>
    <phoneticPr fontId="3" type="noConversion"/>
  </si>
  <si>
    <t>PL220×270×10</t>
  </si>
  <si>
    <t>PL220×270×10</t>
    <phoneticPr fontId="3" type="noConversion"/>
  </si>
  <si>
    <t>PL300×720×10</t>
    <phoneticPr fontId="3" type="noConversion"/>
  </si>
  <si>
    <t>PL60×120×10</t>
  </si>
  <si>
    <t>PL60×120×10</t>
    <phoneticPr fontId="3" type="noConversion"/>
  </si>
  <si>
    <t>PL60×90×10</t>
  </si>
  <si>
    <t>PL60×90×10</t>
    <phoneticPr fontId="3" type="noConversion"/>
  </si>
  <si>
    <t>ZCs-21-1b</t>
    <phoneticPr fontId="3" type="noConversion"/>
  </si>
  <si>
    <t>PL225×285×10</t>
    <phoneticPr fontId="3" type="noConversion"/>
  </si>
  <si>
    <t>PL305×670×10</t>
    <phoneticPr fontId="3" type="noConversion"/>
  </si>
  <si>
    <t>WGL-1</t>
    <phoneticPr fontId="3" type="noConversion"/>
  </si>
  <si>
    <t>屋面梁</t>
    <phoneticPr fontId="3" type="noConversion"/>
  </si>
  <si>
    <t>H400×200×8×13</t>
    <phoneticPr fontId="3" type="noConversion"/>
  </si>
  <si>
    <t>PL290×340×20</t>
    <phoneticPr fontId="3" type="noConversion"/>
  </si>
  <si>
    <t>PL200×363×14</t>
    <phoneticPr fontId="3" type="noConversion"/>
  </si>
  <si>
    <t>PL200×515×18</t>
    <phoneticPr fontId="3" type="noConversion"/>
  </si>
  <si>
    <t>PL96×373×14</t>
    <phoneticPr fontId="3" type="noConversion"/>
  </si>
  <si>
    <t>PL90×135×10</t>
    <phoneticPr fontId="3" type="noConversion"/>
  </si>
  <si>
    <t>屋面支撑</t>
    <phoneticPr fontId="3" type="noConversion"/>
  </si>
  <si>
    <t>SC-1</t>
    <phoneticPr fontId="3" type="noConversion"/>
  </si>
  <si>
    <t>L90×6</t>
    <phoneticPr fontId="3" type="noConversion"/>
  </si>
  <si>
    <t>XG</t>
    <phoneticPr fontId="3" type="noConversion"/>
  </si>
  <si>
    <t>D121×4.0</t>
    <phoneticPr fontId="3" type="noConversion"/>
  </si>
  <si>
    <t>屋面檩条</t>
    <phoneticPr fontId="3" type="noConversion"/>
  </si>
  <si>
    <t>WLT</t>
  </si>
  <si>
    <t>WLT</t>
    <phoneticPr fontId="3" type="noConversion"/>
  </si>
  <si>
    <t>LT</t>
  </si>
  <si>
    <t>LT</t>
    <phoneticPr fontId="3" type="noConversion"/>
  </si>
  <si>
    <t>XLT</t>
  </si>
  <si>
    <t>XLT</t>
    <phoneticPr fontId="3" type="noConversion"/>
  </si>
  <si>
    <t>CG</t>
  </si>
  <si>
    <t>CG</t>
    <phoneticPr fontId="3" type="noConversion"/>
  </si>
  <si>
    <t>YC</t>
  </si>
  <si>
    <t>YC</t>
    <phoneticPr fontId="3" type="noConversion"/>
  </si>
  <si>
    <t>C200×70×20×2.0</t>
    <phoneticPr fontId="3" type="noConversion"/>
  </si>
  <si>
    <t>D12</t>
  </si>
  <si>
    <t>D12</t>
    <phoneticPr fontId="3" type="noConversion"/>
  </si>
  <si>
    <t>D32×2.5</t>
  </si>
  <si>
    <t>D32×2.5</t>
    <phoneticPr fontId="3" type="noConversion"/>
  </si>
  <si>
    <t>L50×5</t>
  </si>
  <si>
    <t>L50×5</t>
    <phoneticPr fontId="3" type="noConversion"/>
  </si>
  <si>
    <t>汇总</t>
    <phoneticPr fontId="3" type="noConversion"/>
  </si>
  <si>
    <t>柱间支撑</t>
    <phoneticPr fontId="3" type="noConversion"/>
  </si>
  <si>
    <t>钢梁</t>
    <phoneticPr fontId="3" type="noConversion"/>
  </si>
  <si>
    <t>屋盖支撑</t>
    <phoneticPr fontId="3" type="noConversion"/>
  </si>
  <si>
    <t>系杆</t>
    <phoneticPr fontId="3" type="noConversion"/>
  </si>
  <si>
    <t>檩条</t>
    <phoneticPr fontId="3" type="noConversion"/>
  </si>
  <si>
    <t>L110×8</t>
    <phoneticPr fontId="3" type="noConversion"/>
  </si>
  <si>
    <t>PL60×210×16</t>
    <phoneticPr fontId="3" type="noConversion"/>
  </si>
  <si>
    <t>PL60×140×16</t>
    <phoneticPr fontId="3" type="noConversion"/>
  </si>
  <si>
    <t>屋面梁</t>
    <phoneticPr fontId="3" type="noConversion"/>
  </si>
  <si>
    <t>WGL-1</t>
    <phoneticPr fontId="3" type="noConversion"/>
  </si>
  <si>
    <t>PL200×7350×12</t>
    <phoneticPr fontId="3" type="noConversion"/>
  </si>
  <si>
    <t>PL625×7350×10</t>
    <phoneticPr fontId="3" type="noConversion"/>
  </si>
  <si>
    <t>PL290×340×20</t>
    <phoneticPr fontId="3" type="noConversion"/>
  </si>
  <si>
    <t>PL200×369×12</t>
    <phoneticPr fontId="3" type="noConversion"/>
  </si>
  <si>
    <t>屋面支撑</t>
    <phoneticPr fontId="3" type="noConversion"/>
  </si>
  <si>
    <t>SC-1</t>
    <phoneticPr fontId="3" type="noConversion"/>
  </si>
  <si>
    <t>XG</t>
    <phoneticPr fontId="3" type="noConversion"/>
  </si>
  <si>
    <t>D133×4.5</t>
    <phoneticPr fontId="3" type="noConversion"/>
  </si>
  <si>
    <t>WLT</t>
    <phoneticPr fontId="3" type="noConversion"/>
  </si>
  <si>
    <t>LT</t>
    <phoneticPr fontId="3" type="noConversion"/>
  </si>
  <si>
    <t>XLT</t>
    <phoneticPr fontId="3" type="noConversion"/>
  </si>
  <si>
    <t>CG</t>
    <phoneticPr fontId="3" type="noConversion"/>
  </si>
  <si>
    <t>C250×75×20×2.5</t>
  </si>
  <si>
    <t>C250×75×20×2.5</t>
    <phoneticPr fontId="3" type="noConversion"/>
  </si>
  <si>
    <t>D12</t>
    <phoneticPr fontId="3" type="noConversion"/>
  </si>
  <si>
    <t>D32×2.5</t>
    <phoneticPr fontId="3" type="noConversion"/>
  </si>
  <si>
    <t>SC-2</t>
    <phoneticPr fontId="3" type="noConversion"/>
  </si>
  <si>
    <t>L110×7</t>
    <phoneticPr fontId="3" type="noConversion"/>
  </si>
  <si>
    <t>雨篷檩条</t>
    <phoneticPr fontId="3" type="noConversion"/>
  </si>
  <si>
    <t>汇总</t>
    <phoneticPr fontId="3" type="noConversion"/>
  </si>
  <si>
    <t>屋盖支撑</t>
    <phoneticPr fontId="3" type="noConversion"/>
  </si>
  <si>
    <t>系杆</t>
    <phoneticPr fontId="3" type="noConversion"/>
  </si>
  <si>
    <t>檩条</t>
    <phoneticPr fontId="3" type="noConversion"/>
  </si>
  <si>
    <t>PL234×234×5</t>
    <phoneticPr fontId="3" type="noConversion"/>
  </si>
  <si>
    <t>PL192×192×5</t>
    <phoneticPr fontId="3" type="noConversion"/>
  </si>
  <si>
    <t>D180×5</t>
    <phoneticPr fontId="3" type="noConversion"/>
  </si>
  <si>
    <t>D180×5</t>
    <phoneticPr fontId="3" type="noConversion"/>
  </si>
  <si>
    <t>D203×6</t>
    <phoneticPr fontId="3" type="noConversion"/>
  </si>
  <si>
    <t>PL690×505×14</t>
    <phoneticPr fontId="3" type="noConversion"/>
  </si>
  <si>
    <t>PL625×490×14</t>
    <phoneticPr fontId="3" type="noConversion"/>
  </si>
  <si>
    <t>ZCo-84-31</t>
    <phoneticPr fontId="3" type="noConversion"/>
  </si>
  <si>
    <t>WGL-1</t>
    <phoneticPr fontId="3" type="noConversion"/>
  </si>
  <si>
    <t>PL530×8875×8</t>
  </si>
  <si>
    <t>PL180×5650×12</t>
  </si>
  <si>
    <t>PL626×5999×10</t>
  </si>
  <si>
    <t>PL180×368×10</t>
  </si>
  <si>
    <t>PL180×730×18</t>
  </si>
  <si>
    <t>PL290×600×20</t>
  </si>
  <si>
    <t>PL85×529×6</t>
  </si>
  <si>
    <t>PL86×501×6</t>
  </si>
  <si>
    <t>PL86×473×6</t>
  </si>
  <si>
    <t>PL86×444×6</t>
  </si>
  <si>
    <t>PL86×416×6</t>
  </si>
  <si>
    <t>PL86×388×6</t>
  </si>
  <si>
    <t>屋面支撑</t>
    <phoneticPr fontId="3" type="noConversion"/>
  </si>
  <si>
    <t>SC-1</t>
    <phoneticPr fontId="3" type="noConversion"/>
  </si>
  <si>
    <t>L110×8</t>
    <phoneticPr fontId="3" type="noConversion"/>
  </si>
  <si>
    <t>XG</t>
    <phoneticPr fontId="3" type="noConversion"/>
  </si>
  <si>
    <t>D133×4.5</t>
    <phoneticPr fontId="3" type="noConversion"/>
  </si>
  <si>
    <t>屋面檩条</t>
    <phoneticPr fontId="3" type="noConversion"/>
  </si>
  <si>
    <t>LT</t>
    <phoneticPr fontId="3" type="noConversion"/>
  </si>
  <si>
    <t>XLT</t>
    <phoneticPr fontId="3" type="noConversion"/>
  </si>
  <si>
    <t>CG</t>
    <phoneticPr fontId="3" type="noConversion"/>
  </si>
  <si>
    <t>YC</t>
    <phoneticPr fontId="3" type="noConversion"/>
  </si>
  <si>
    <t>C250×75×20×2.5</t>
    <phoneticPr fontId="3" type="noConversion"/>
  </si>
  <si>
    <t>D12</t>
    <phoneticPr fontId="3" type="noConversion"/>
  </si>
  <si>
    <t>D32×2.5</t>
    <phoneticPr fontId="3" type="noConversion"/>
  </si>
  <si>
    <t>L50×5</t>
    <phoneticPr fontId="3" type="noConversion"/>
  </si>
  <si>
    <t>雨棚梁</t>
    <phoneticPr fontId="3" type="noConversion"/>
  </si>
  <si>
    <t>GXTL</t>
    <phoneticPr fontId="3" type="noConversion"/>
  </si>
  <si>
    <t>H500～400×200×10×12</t>
    <phoneticPr fontId="3" type="noConversion"/>
  </si>
  <si>
    <t>加劲板</t>
    <phoneticPr fontId="3" type="noConversion"/>
  </si>
  <si>
    <t>PL95×376×10</t>
    <phoneticPr fontId="3" type="noConversion"/>
  </si>
  <si>
    <t>雨棚屋面支撑</t>
    <phoneticPr fontId="3" type="noConversion"/>
  </si>
  <si>
    <t>SC-2</t>
    <phoneticPr fontId="3" type="noConversion"/>
  </si>
  <si>
    <t>L90×6</t>
    <phoneticPr fontId="3" type="noConversion"/>
  </si>
  <si>
    <t>XG</t>
    <phoneticPr fontId="3" type="noConversion"/>
  </si>
  <si>
    <t>D133×4.5</t>
    <phoneticPr fontId="3" type="noConversion"/>
  </si>
  <si>
    <t>雨棚檩条</t>
    <phoneticPr fontId="3" type="noConversion"/>
  </si>
  <si>
    <t>汇总</t>
    <phoneticPr fontId="3" type="noConversion"/>
  </si>
  <si>
    <t>柱间支撑</t>
    <phoneticPr fontId="3" type="noConversion"/>
  </si>
  <si>
    <t>屋盖支撑</t>
    <phoneticPr fontId="3" type="noConversion"/>
  </si>
  <si>
    <t>系杆</t>
    <phoneticPr fontId="3" type="noConversion"/>
  </si>
  <si>
    <t>檩条</t>
    <phoneticPr fontId="3" type="noConversion"/>
  </si>
  <si>
    <t>LT</t>
    <phoneticPr fontId="3" type="noConversion"/>
  </si>
  <si>
    <t>GZ-1</t>
    <phoneticPr fontId="3" type="noConversion"/>
  </si>
  <si>
    <t>GL-1</t>
  </si>
  <si>
    <t>GL-1</t>
    <phoneticPr fontId="3" type="noConversion"/>
  </si>
  <si>
    <t>WLT1</t>
    <phoneticPr fontId="3" type="noConversion"/>
  </si>
  <si>
    <t>H250×250×9×14</t>
    <phoneticPr fontId="3" type="noConversion"/>
  </si>
  <si>
    <t>H194×150×6×9</t>
  </si>
  <si>
    <t>H194×150×6×9</t>
    <phoneticPr fontId="3" type="noConversion"/>
  </si>
  <si>
    <t>柱脚</t>
  </si>
  <si>
    <t>柱脚</t>
    <phoneticPr fontId="3" type="noConversion"/>
  </si>
  <si>
    <t>4.000m钢梁</t>
    <phoneticPr fontId="3" type="noConversion"/>
  </si>
  <si>
    <t>GL-1</t>
    <phoneticPr fontId="3" type="noConversion"/>
  </si>
  <si>
    <t>GL-2</t>
  </si>
  <si>
    <t>GL-2</t>
    <phoneticPr fontId="3" type="noConversion"/>
  </si>
  <si>
    <t>H244×175×7×11</t>
    <phoneticPr fontId="3" type="noConversion"/>
  </si>
  <si>
    <t>屋面梁</t>
    <phoneticPr fontId="3" type="noConversion"/>
  </si>
  <si>
    <t>WLT1</t>
    <phoneticPr fontId="3" type="noConversion"/>
  </si>
  <si>
    <t>CG</t>
    <phoneticPr fontId="3" type="noConversion"/>
  </si>
  <si>
    <t>汇总</t>
    <phoneticPr fontId="3" type="noConversion"/>
  </si>
  <si>
    <t>罐区管架</t>
    <phoneticPr fontId="3" type="noConversion"/>
  </si>
  <si>
    <t>H300×300×10×15</t>
    <phoneticPr fontId="3" type="noConversion"/>
  </si>
  <si>
    <t>4.000m钢梁</t>
    <phoneticPr fontId="3" type="noConversion"/>
  </si>
  <si>
    <t>4.700m钢梁</t>
    <phoneticPr fontId="3" type="noConversion"/>
  </si>
  <si>
    <t>钢梁</t>
    <phoneticPr fontId="3" type="noConversion"/>
  </si>
  <si>
    <t>汇总</t>
    <phoneticPr fontId="3" type="noConversion"/>
  </si>
  <si>
    <t>5.000m钢梁</t>
    <phoneticPr fontId="3" type="noConversion"/>
  </si>
  <si>
    <t>GL-3</t>
  </si>
  <si>
    <t>GL-4</t>
  </si>
  <si>
    <t>GL-5</t>
  </si>
  <si>
    <t>GL-6</t>
  </si>
  <si>
    <t>GL-7</t>
  </si>
  <si>
    <t>GZ-2</t>
    <phoneticPr fontId="3" type="noConversion"/>
  </si>
  <si>
    <t>H200×200×8×12</t>
    <phoneticPr fontId="3" type="noConversion"/>
  </si>
  <si>
    <t>H148×100×6×9</t>
    <phoneticPr fontId="3" type="noConversion"/>
  </si>
  <si>
    <t>H200×100×5.5×8</t>
    <phoneticPr fontId="3" type="noConversion"/>
  </si>
  <si>
    <t>H294×200×8×12</t>
    <phoneticPr fontId="3" type="noConversion"/>
  </si>
  <si>
    <t>H340×250×9×14</t>
    <phoneticPr fontId="3" type="noConversion"/>
  </si>
  <si>
    <t>H390×300×10×16</t>
    <phoneticPr fontId="3" type="noConversion"/>
  </si>
  <si>
    <t>L80×6</t>
    <phoneticPr fontId="3" type="noConversion"/>
  </si>
  <si>
    <t>7.000m钢平台</t>
    <phoneticPr fontId="3" type="noConversion"/>
  </si>
  <si>
    <t>PL3450×2610×6</t>
    <phoneticPr fontId="3" type="noConversion"/>
  </si>
  <si>
    <t>7.400m钢平台</t>
    <phoneticPr fontId="3" type="noConversion"/>
  </si>
  <si>
    <t>加劲肋</t>
    <phoneticPr fontId="3" type="noConversion"/>
  </si>
  <si>
    <t>XC-1</t>
    <phoneticPr fontId="3" type="noConversion"/>
  </si>
  <si>
    <t>XC-2</t>
    <phoneticPr fontId="3" type="noConversion"/>
  </si>
  <si>
    <t>PL24200×3600×6</t>
    <phoneticPr fontId="3" type="noConversion"/>
  </si>
  <si>
    <t>7.500m钢梁</t>
    <phoneticPr fontId="3" type="noConversion"/>
  </si>
  <si>
    <t>PL6000×2000×6</t>
    <phoneticPr fontId="3" type="noConversion"/>
  </si>
  <si>
    <t>加劲肋</t>
    <phoneticPr fontId="3" type="noConversion"/>
  </si>
  <si>
    <t>17.000m钢柱</t>
    <phoneticPr fontId="3" type="noConversion"/>
  </si>
  <si>
    <t>GL-2</t>
    <phoneticPr fontId="3" type="noConversion"/>
  </si>
  <si>
    <t>GL-5</t>
    <phoneticPr fontId="3" type="noConversion"/>
  </si>
  <si>
    <t>GL-3</t>
    <phoneticPr fontId="3" type="noConversion"/>
  </si>
  <si>
    <t>GL-8</t>
    <phoneticPr fontId="3" type="noConversion"/>
  </si>
  <si>
    <t>GL-9</t>
    <phoneticPr fontId="3" type="noConversion"/>
  </si>
  <si>
    <t>20.300m钢梁</t>
    <phoneticPr fontId="3" type="noConversion"/>
  </si>
  <si>
    <t>H600×200×11×17</t>
    <phoneticPr fontId="3" type="noConversion"/>
  </si>
  <si>
    <t>H400×200×8×13</t>
    <phoneticPr fontId="3" type="noConversion"/>
  </si>
  <si>
    <t>平台板</t>
    <phoneticPr fontId="3" type="noConversion"/>
  </si>
  <si>
    <t>PL29000×3250×6</t>
    <phoneticPr fontId="3" type="noConversion"/>
  </si>
  <si>
    <t>加劲肋</t>
    <phoneticPr fontId="3" type="noConversion"/>
  </si>
  <si>
    <t>L50×5</t>
    <phoneticPr fontId="3" type="noConversion"/>
  </si>
  <si>
    <t>PL300×500×20</t>
  </si>
  <si>
    <t>PL300×500×20</t>
    <phoneticPr fontId="3" type="noConversion"/>
  </si>
  <si>
    <t>PL250×105×12</t>
  </si>
  <si>
    <t>PL250×120×12</t>
  </si>
  <si>
    <t>H194×150×6×9</t>
    <phoneticPr fontId="3" type="noConversion"/>
  </si>
  <si>
    <t>[12.6</t>
    <phoneticPr fontId="3" type="noConversion"/>
  </si>
  <si>
    <t>PL72×160×8</t>
    <phoneticPr fontId="3" type="noConversion"/>
  </si>
  <si>
    <t>钢梁</t>
    <phoneticPr fontId="3" type="noConversion"/>
  </si>
  <si>
    <t>钢柱</t>
    <phoneticPr fontId="3" type="noConversion"/>
  </si>
  <si>
    <t>M-2</t>
    <phoneticPr fontId="3" type="noConversion"/>
  </si>
  <si>
    <t>M-1</t>
    <phoneticPr fontId="3" type="noConversion"/>
  </si>
  <si>
    <t>M-a</t>
    <phoneticPr fontId="3" type="noConversion"/>
  </si>
  <si>
    <t>PL300×300×16</t>
    <phoneticPr fontId="3" type="noConversion"/>
  </si>
  <si>
    <t>M-b</t>
    <phoneticPr fontId="3" type="noConversion"/>
  </si>
  <si>
    <t>PL350×400×18</t>
    <phoneticPr fontId="3" type="noConversion"/>
  </si>
  <si>
    <t>21.5、22.5m柱间管架</t>
    <phoneticPr fontId="3" type="noConversion"/>
  </si>
  <si>
    <t>GL-2</t>
    <phoneticPr fontId="3" type="noConversion"/>
  </si>
  <si>
    <t>H148×100×6×9</t>
    <phoneticPr fontId="3" type="noConversion"/>
  </si>
  <si>
    <t>平台板</t>
    <phoneticPr fontId="3" type="noConversion"/>
  </si>
  <si>
    <t>PL600×1500×6</t>
    <phoneticPr fontId="3" type="noConversion"/>
  </si>
  <si>
    <t>PL1200×2800×6</t>
    <phoneticPr fontId="3" type="noConversion"/>
  </si>
  <si>
    <t>加劲肋</t>
    <phoneticPr fontId="3" type="noConversion"/>
  </si>
  <si>
    <t>L63×5</t>
    <phoneticPr fontId="3" type="noConversion"/>
  </si>
  <si>
    <t>H148×100×6×9</t>
    <phoneticPr fontId="3" type="noConversion"/>
  </si>
  <si>
    <t>H244×175×7×11</t>
    <phoneticPr fontId="3" type="noConversion"/>
  </si>
  <si>
    <t>4.000m钢柱</t>
    <phoneticPr fontId="3" type="noConversion"/>
  </si>
  <si>
    <t>LSZ-1</t>
    <phoneticPr fontId="3" type="noConversion"/>
  </si>
  <si>
    <t>H150×150×7×10</t>
    <phoneticPr fontId="3" type="noConversion"/>
  </si>
  <si>
    <t>PL400×400×18</t>
    <phoneticPr fontId="3" type="noConversion"/>
  </si>
  <si>
    <t>PL200×170×14</t>
    <phoneticPr fontId="3" type="noConversion"/>
  </si>
  <si>
    <t>PL200×105×14</t>
    <phoneticPr fontId="3" type="noConversion"/>
  </si>
  <si>
    <t>5.300m平台</t>
    <phoneticPr fontId="3" type="noConversion"/>
  </si>
  <si>
    <t>6.500m钢柱</t>
    <phoneticPr fontId="3" type="noConversion"/>
  </si>
  <si>
    <t>PL300×400×16</t>
    <phoneticPr fontId="3" type="noConversion"/>
  </si>
  <si>
    <t>PL200×120×14</t>
    <phoneticPr fontId="3" type="noConversion"/>
  </si>
  <si>
    <t>PL4650×2550×6</t>
    <phoneticPr fontId="3" type="noConversion"/>
  </si>
  <si>
    <t>PL5650×2550×6</t>
    <phoneticPr fontId="3" type="noConversion"/>
  </si>
  <si>
    <t>H148×100×6×9</t>
    <phoneticPr fontId="3" type="noConversion"/>
  </si>
  <si>
    <t>梁抬钢柱</t>
    <phoneticPr fontId="3" type="noConversion"/>
  </si>
  <si>
    <t>H250×250×9×14</t>
    <phoneticPr fontId="3" type="noConversion"/>
  </si>
  <si>
    <t>柱脚</t>
    <phoneticPr fontId="3" type="noConversion"/>
  </si>
  <si>
    <t>PL500×500×20</t>
    <phoneticPr fontId="3" type="noConversion"/>
  </si>
  <si>
    <t>PL300×450×12</t>
    <phoneticPr fontId="3" type="noConversion"/>
  </si>
  <si>
    <t>PL300×100×12</t>
    <phoneticPr fontId="3" type="noConversion"/>
  </si>
  <si>
    <t>8.500m平台</t>
    <phoneticPr fontId="3" type="noConversion"/>
  </si>
  <si>
    <t>8.000m钢柱</t>
    <phoneticPr fontId="3" type="noConversion"/>
  </si>
  <si>
    <t>LSZ-2</t>
    <phoneticPr fontId="3" type="noConversion"/>
  </si>
  <si>
    <t>H250×250×9×14</t>
  </si>
  <si>
    <t>H250×250×9×14</t>
    <phoneticPr fontId="3" type="noConversion"/>
  </si>
  <si>
    <t>柱脚</t>
    <phoneticPr fontId="3" type="noConversion"/>
  </si>
  <si>
    <t>PL500×500×20</t>
  </si>
  <si>
    <t>PL500×500×20</t>
    <phoneticPr fontId="3" type="noConversion"/>
  </si>
  <si>
    <t>PL250×220×14</t>
    <phoneticPr fontId="3" type="noConversion"/>
  </si>
  <si>
    <t>PL250×105×14</t>
    <phoneticPr fontId="3" type="noConversion"/>
  </si>
  <si>
    <t>梁抬钢柱</t>
  </si>
  <si>
    <t>PL300×450×12</t>
  </si>
  <si>
    <t>PL300×100×12</t>
  </si>
  <si>
    <t>8.000m钢梁</t>
    <phoneticPr fontId="3" type="noConversion"/>
  </si>
  <si>
    <t>H148×100×6×9</t>
  </si>
  <si>
    <t>H244×175×7×11</t>
  </si>
  <si>
    <t>H294×200×8×12</t>
  </si>
  <si>
    <t>H340×250×9×14</t>
  </si>
  <si>
    <t>10.000m平台</t>
    <phoneticPr fontId="3" type="noConversion"/>
  </si>
  <si>
    <t>L63×5</t>
    <phoneticPr fontId="3" type="noConversion"/>
  </si>
  <si>
    <t>平台板</t>
    <phoneticPr fontId="3" type="noConversion"/>
  </si>
  <si>
    <t>PL2550×1840×6</t>
    <phoneticPr fontId="3" type="noConversion"/>
  </si>
  <si>
    <t>[12.6</t>
    <phoneticPr fontId="3" type="noConversion"/>
  </si>
  <si>
    <t>8.800m平台</t>
    <phoneticPr fontId="3" type="noConversion"/>
  </si>
  <si>
    <t>平台板</t>
    <phoneticPr fontId="3" type="noConversion"/>
  </si>
  <si>
    <t>[12.6</t>
    <phoneticPr fontId="3" type="noConversion"/>
  </si>
  <si>
    <t>PL22400×2650×6</t>
    <phoneticPr fontId="3" type="noConversion"/>
  </si>
  <si>
    <t>13.000m平台</t>
    <phoneticPr fontId="3" type="noConversion"/>
  </si>
  <si>
    <t>PL5900×2600×6</t>
    <phoneticPr fontId="3" type="noConversion"/>
  </si>
  <si>
    <t>PL4650×2600×6</t>
    <phoneticPr fontId="3" type="noConversion"/>
  </si>
  <si>
    <t>PL5650×2600×6</t>
    <phoneticPr fontId="3" type="noConversion"/>
  </si>
  <si>
    <t>L63×5</t>
    <phoneticPr fontId="3" type="noConversion"/>
  </si>
  <si>
    <t>13.000m钢柱</t>
    <phoneticPr fontId="3" type="noConversion"/>
  </si>
  <si>
    <t>M-4</t>
    <phoneticPr fontId="3" type="noConversion"/>
  </si>
  <si>
    <t>PL400×18</t>
    <phoneticPr fontId="3" type="noConversion"/>
  </si>
  <si>
    <t>M-4</t>
    <phoneticPr fontId="3" type="noConversion"/>
  </si>
  <si>
    <t>6.500m平台</t>
    <phoneticPr fontId="3" type="noConversion"/>
  </si>
  <si>
    <t>15.300m平台</t>
    <phoneticPr fontId="3" type="noConversion"/>
  </si>
  <si>
    <t>PL22400×2650×6</t>
    <phoneticPr fontId="3" type="noConversion"/>
  </si>
  <si>
    <t>15.500m平台</t>
    <phoneticPr fontId="3" type="noConversion"/>
  </si>
  <si>
    <t>PL13000×2650×6</t>
    <phoneticPr fontId="3" type="noConversion"/>
  </si>
  <si>
    <t>PL17400×2650×6</t>
    <phoneticPr fontId="3" type="noConversion"/>
  </si>
  <si>
    <t>18.500m钢柱</t>
    <phoneticPr fontId="3" type="noConversion"/>
  </si>
  <si>
    <t>20.800m平台</t>
    <phoneticPr fontId="3" type="noConversion"/>
  </si>
  <si>
    <t>PL6175×2650×6</t>
    <phoneticPr fontId="3" type="noConversion"/>
  </si>
  <si>
    <t>PL6000×2650×6</t>
    <phoneticPr fontId="3" type="noConversion"/>
  </si>
  <si>
    <t>PL5400×2650×6</t>
    <phoneticPr fontId="3" type="noConversion"/>
  </si>
  <si>
    <t>汇总</t>
    <phoneticPr fontId="3" type="noConversion"/>
  </si>
  <si>
    <t>钢梁</t>
    <phoneticPr fontId="3" type="noConversion"/>
  </si>
  <si>
    <t>钢柱</t>
    <phoneticPr fontId="3" type="noConversion"/>
  </si>
  <si>
    <t>3.200m钢梁</t>
    <phoneticPr fontId="3" type="noConversion"/>
  </si>
  <si>
    <t>GL1</t>
  </si>
  <si>
    <t>GL1</t>
    <phoneticPr fontId="3" type="noConversion"/>
  </si>
  <si>
    <t>GL2</t>
  </si>
  <si>
    <t>GL2</t>
    <phoneticPr fontId="3" type="noConversion"/>
  </si>
  <si>
    <t>GL-1</t>
    <phoneticPr fontId="3" type="noConversion"/>
  </si>
  <si>
    <t>5.200m钢梁</t>
    <phoneticPr fontId="3" type="noConversion"/>
  </si>
  <si>
    <t>屋面结构</t>
    <phoneticPr fontId="3" type="noConversion"/>
  </si>
  <si>
    <t>SC-1</t>
    <phoneticPr fontId="3" type="noConversion"/>
  </si>
  <si>
    <t>LT</t>
    <phoneticPr fontId="3" type="noConversion"/>
  </si>
  <si>
    <t>汇总</t>
    <phoneticPr fontId="3" type="noConversion"/>
  </si>
  <si>
    <t>钢梁</t>
    <phoneticPr fontId="3" type="noConversion"/>
  </si>
  <si>
    <t>H350×350×12×19</t>
    <phoneticPr fontId="3" type="noConversion"/>
  </si>
  <si>
    <t>4.200m钢梁(5.200m)</t>
    <phoneticPr fontId="3" type="noConversion"/>
  </si>
  <si>
    <t>XC-1</t>
    <phoneticPr fontId="3" type="noConversion"/>
  </si>
  <si>
    <t>I14</t>
  </si>
  <si>
    <t>I14</t>
    <phoneticPr fontId="3" type="noConversion"/>
  </si>
  <si>
    <t>MJ-1</t>
  </si>
  <si>
    <t>MJ-2</t>
  </si>
  <si>
    <t>MJ-3</t>
  </si>
  <si>
    <t>MJ-4</t>
  </si>
  <si>
    <t>MJ-5</t>
  </si>
  <si>
    <t>H390×300×10×16</t>
    <phoneticPr fontId="3" type="noConversion"/>
  </si>
  <si>
    <t>PL300×350×16</t>
  </si>
  <si>
    <t>PL350×450×16</t>
  </si>
  <si>
    <t>PL400×500×16</t>
  </si>
  <si>
    <t>MJ-a</t>
  </si>
  <si>
    <t>MJ-a</t>
    <phoneticPr fontId="3" type="noConversion"/>
  </si>
  <si>
    <t>MJ-b</t>
  </si>
  <si>
    <t>MJ-b</t>
    <phoneticPr fontId="3" type="noConversion"/>
  </si>
  <si>
    <t>MJ-c</t>
  </si>
  <si>
    <t>PL200×250×16</t>
  </si>
  <si>
    <t>PL200×200×16</t>
  </si>
  <si>
    <t>PL200×300×16</t>
    <phoneticPr fontId="3" type="noConversion"/>
  </si>
  <si>
    <t>6.450～12.450m埋件</t>
    <phoneticPr fontId="3" type="noConversion"/>
  </si>
  <si>
    <t>12.450～18.950m埋件</t>
    <phoneticPr fontId="3" type="noConversion"/>
  </si>
  <si>
    <t>4.300m结构</t>
    <phoneticPr fontId="3" type="noConversion"/>
  </si>
  <si>
    <t>2.200m结构</t>
    <phoneticPr fontId="3" type="noConversion"/>
  </si>
  <si>
    <t>PL6000×7000×6</t>
    <phoneticPr fontId="3" type="noConversion"/>
  </si>
  <si>
    <t>PL3000×4000×6-PL1000×2800×6</t>
    <phoneticPr fontId="3" type="noConversion"/>
  </si>
  <si>
    <t>6.450m钢柱</t>
    <phoneticPr fontId="3" type="noConversion"/>
  </si>
  <si>
    <t>9.000m结构</t>
    <phoneticPr fontId="3" type="noConversion"/>
  </si>
  <si>
    <t>XC-2</t>
    <phoneticPr fontId="3" type="noConversion"/>
  </si>
  <si>
    <t>PL84×222×8</t>
    <phoneticPr fontId="3" type="noConversion"/>
  </si>
  <si>
    <t>PL12000×1400×6</t>
    <phoneticPr fontId="3" type="noConversion"/>
  </si>
  <si>
    <t>9.500m结构</t>
    <phoneticPr fontId="3" type="noConversion"/>
  </si>
  <si>
    <t>PL18000×5000×6</t>
    <phoneticPr fontId="3" type="noConversion"/>
  </si>
  <si>
    <t>10.000m结构</t>
    <phoneticPr fontId="3" type="noConversion"/>
  </si>
  <si>
    <t>PL10000×4000×6</t>
    <phoneticPr fontId="3" type="noConversion"/>
  </si>
  <si>
    <t>10.500m结构</t>
    <phoneticPr fontId="3" type="noConversion"/>
  </si>
  <si>
    <t>15.800m结构</t>
    <phoneticPr fontId="3" type="noConversion"/>
  </si>
  <si>
    <t>XC-5</t>
    <phoneticPr fontId="3" type="noConversion"/>
  </si>
  <si>
    <t>GZ4</t>
    <phoneticPr fontId="3" type="noConversion"/>
  </si>
  <si>
    <t>GZ5</t>
    <phoneticPr fontId="3" type="noConversion"/>
  </si>
  <si>
    <t>H400×400×13×21</t>
    <phoneticPr fontId="3" type="noConversion"/>
  </si>
  <si>
    <t>64.600m钢梁</t>
    <phoneticPr fontId="3" type="noConversion"/>
  </si>
  <si>
    <t>GL3</t>
  </si>
  <si>
    <t>GL3</t>
    <phoneticPr fontId="3" type="noConversion"/>
  </si>
  <si>
    <t>未注明梁</t>
  </si>
  <si>
    <t>未注明梁</t>
    <phoneticPr fontId="3" type="noConversion"/>
  </si>
  <si>
    <t>[14a</t>
  </si>
  <si>
    <t>[14a</t>
    <phoneticPr fontId="3" type="noConversion"/>
  </si>
  <si>
    <t>柱火</t>
    <phoneticPr fontId="3" type="noConversion"/>
  </si>
  <si>
    <t>柱腐</t>
    <phoneticPr fontId="3" type="noConversion"/>
  </si>
  <si>
    <t>梁火</t>
  </si>
  <si>
    <t>梁火</t>
    <phoneticPr fontId="3" type="noConversion"/>
  </si>
  <si>
    <t>66.100m钢梁</t>
    <phoneticPr fontId="3" type="noConversion"/>
  </si>
  <si>
    <t>梁腐</t>
  </si>
  <si>
    <t>梁腐</t>
    <phoneticPr fontId="3" type="noConversion"/>
  </si>
  <si>
    <t>67.100m钢梁</t>
    <phoneticPr fontId="3" type="noConversion"/>
  </si>
  <si>
    <t>GL4</t>
  </si>
  <si>
    <t>GL4</t>
    <phoneticPr fontId="3" type="noConversion"/>
  </si>
  <si>
    <t>GL6</t>
  </si>
  <si>
    <t>GL6</t>
    <phoneticPr fontId="3" type="noConversion"/>
  </si>
  <si>
    <t>H600×200×11×17</t>
  </si>
  <si>
    <t>H600×200×11×17</t>
    <phoneticPr fontId="3" type="noConversion"/>
  </si>
  <si>
    <t>68.600m钢梁</t>
    <phoneticPr fontId="3" type="noConversion"/>
  </si>
  <si>
    <t>70.100m钢梁</t>
    <phoneticPr fontId="3" type="noConversion"/>
  </si>
  <si>
    <t>67.600m钢梁</t>
    <phoneticPr fontId="3" type="noConversion"/>
  </si>
  <si>
    <t>71.600m钢梁</t>
  </si>
  <si>
    <t>71.600m钢梁</t>
    <phoneticPr fontId="3" type="noConversion"/>
  </si>
  <si>
    <t>73.100m钢梁</t>
    <phoneticPr fontId="3" type="noConversion"/>
  </si>
  <si>
    <t>GJ-24109A～J-24114</t>
    <phoneticPr fontId="3" type="noConversion"/>
  </si>
  <si>
    <t>63.540m钢梁</t>
    <phoneticPr fontId="3" type="noConversion"/>
  </si>
  <si>
    <t>65.040m钢梁</t>
    <phoneticPr fontId="3" type="noConversion"/>
  </si>
  <si>
    <t>水平支撑</t>
  </si>
  <si>
    <t>水平支撑</t>
    <phoneticPr fontId="3" type="noConversion"/>
  </si>
  <si>
    <t>ZC</t>
    <phoneticPr fontId="3" type="noConversion"/>
  </si>
  <si>
    <t>2L90×6</t>
    <phoneticPr fontId="3" type="noConversion"/>
  </si>
  <si>
    <t>66.100m钢梁</t>
    <phoneticPr fontId="3" type="noConversion"/>
  </si>
  <si>
    <t>梁腐</t>
    <phoneticPr fontId="3" type="noConversion"/>
  </si>
  <si>
    <t>梁腐</t>
    <phoneticPr fontId="3" type="noConversion"/>
  </si>
  <si>
    <t>梁腐</t>
    <phoneticPr fontId="3" type="noConversion"/>
  </si>
  <si>
    <t>梁腐</t>
    <phoneticPr fontId="3" type="noConversion"/>
  </si>
  <si>
    <t>梁腐</t>
    <phoneticPr fontId="3" type="noConversion"/>
  </si>
  <si>
    <t>角撑</t>
  </si>
  <si>
    <t>角撑</t>
    <phoneticPr fontId="3" type="noConversion"/>
  </si>
  <si>
    <t>角撑</t>
    <phoneticPr fontId="3" type="noConversion"/>
  </si>
  <si>
    <t>70.100m钢梁</t>
    <phoneticPr fontId="3" type="noConversion"/>
  </si>
  <si>
    <t>69.100m钢梁</t>
    <phoneticPr fontId="3" type="noConversion"/>
  </si>
  <si>
    <t>70.600m钢梁</t>
    <phoneticPr fontId="3" type="noConversion"/>
  </si>
  <si>
    <t>GJ-24115A～J-24116</t>
    <phoneticPr fontId="3" type="noConversion"/>
  </si>
  <si>
    <t>GZ3</t>
    <phoneticPr fontId="3" type="noConversion"/>
  </si>
  <si>
    <t>梁腐</t>
    <phoneticPr fontId="3" type="noConversion"/>
  </si>
  <si>
    <t>65.040m钢梁</t>
    <phoneticPr fontId="3" type="noConversion"/>
  </si>
  <si>
    <t>66.540m钢梁</t>
    <phoneticPr fontId="3" type="noConversion"/>
  </si>
  <si>
    <t>68.040m钢梁</t>
    <phoneticPr fontId="3" type="noConversion"/>
  </si>
  <si>
    <t>69.540m钢梁</t>
    <phoneticPr fontId="3" type="noConversion"/>
  </si>
  <si>
    <t>J-24117～J-24125</t>
    <phoneticPr fontId="3" type="noConversion"/>
  </si>
  <si>
    <t>钢柱</t>
    <phoneticPr fontId="3" type="noConversion"/>
  </si>
  <si>
    <t>63.500m钢梁</t>
    <phoneticPr fontId="3" type="noConversion"/>
  </si>
  <si>
    <t>65.000m钢梁</t>
    <phoneticPr fontId="3" type="noConversion"/>
  </si>
  <si>
    <t>67.000m钢梁</t>
    <phoneticPr fontId="3" type="noConversion"/>
  </si>
  <si>
    <t>角撑</t>
    <phoneticPr fontId="3" type="noConversion"/>
  </si>
  <si>
    <t>66.500m钢梁</t>
    <phoneticPr fontId="3" type="noConversion"/>
  </si>
  <si>
    <t>68.500m钢梁</t>
    <phoneticPr fontId="3" type="noConversion"/>
  </si>
  <si>
    <t>70.000m钢梁</t>
    <phoneticPr fontId="3" type="noConversion"/>
  </si>
  <si>
    <t>71.500m钢梁</t>
    <phoneticPr fontId="3" type="noConversion"/>
  </si>
  <si>
    <t>J-24127～HJ-24131</t>
    <phoneticPr fontId="3" type="noConversion"/>
  </si>
  <si>
    <t>柱火</t>
    <phoneticPr fontId="3" type="noConversion"/>
  </si>
  <si>
    <t>66.000m钢梁</t>
    <phoneticPr fontId="3" type="noConversion"/>
  </si>
  <si>
    <t>GL5</t>
  </si>
  <si>
    <t>GL5</t>
    <phoneticPr fontId="3" type="noConversion"/>
  </si>
  <si>
    <t>H450×200×9×14</t>
  </si>
  <si>
    <t>H450×200×9×14</t>
    <phoneticPr fontId="3" type="noConversion"/>
  </si>
  <si>
    <t>67.500m钢梁</t>
    <phoneticPr fontId="3" type="noConversion"/>
  </si>
  <si>
    <t>69.000m钢梁</t>
    <phoneticPr fontId="3" type="noConversion"/>
  </si>
  <si>
    <t>钢柱、柱间支撑(防火)</t>
    <phoneticPr fontId="3" type="noConversion"/>
  </si>
  <si>
    <t>钢柱、柱间支撑(防腐)</t>
    <phoneticPr fontId="3" type="noConversion"/>
  </si>
  <si>
    <t>钢梁(防火)</t>
    <phoneticPr fontId="3" type="noConversion"/>
  </si>
  <si>
    <t>钢梁(防腐)</t>
    <phoneticPr fontId="3" type="noConversion"/>
  </si>
  <si>
    <t>薄型2.0h</t>
    <phoneticPr fontId="3" type="noConversion"/>
  </si>
  <si>
    <t>柱撑火</t>
    <phoneticPr fontId="3" type="noConversion"/>
  </si>
  <si>
    <t>柱撑腐</t>
    <phoneticPr fontId="3" type="noConversion"/>
  </si>
  <si>
    <t>HJ-24219～J-24205</t>
    <phoneticPr fontId="3" type="noConversion"/>
  </si>
  <si>
    <t>钢柱</t>
    <phoneticPr fontId="3" type="noConversion"/>
  </si>
  <si>
    <t>GZ2</t>
    <phoneticPr fontId="3" type="noConversion"/>
  </si>
  <si>
    <t>H250×250×9×14</t>
    <phoneticPr fontId="3" type="noConversion"/>
  </si>
  <si>
    <t>GZ3</t>
    <phoneticPr fontId="3" type="noConversion"/>
  </si>
  <si>
    <t>H300×300×10×15</t>
    <phoneticPr fontId="3" type="noConversion"/>
  </si>
  <si>
    <t>柱火</t>
  </si>
  <si>
    <t>柱火</t>
    <phoneticPr fontId="3" type="noConversion"/>
  </si>
  <si>
    <t>柱腐</t>
    <phoneticPr fontId="3" type="noConversion"/>
  </si>
  <si>
    <t>66.150m钢梁</t>
    <phoneticPr fontId="3" type="noConversion"/>
  </si>
  <si>
    <t>GL1</t>
    <phoneticPr fontId="3" type="noConversion"/>
  </si>
  <si>
    <t>GL2</t>
    <phoneticPr fontId="3" type="noConversion"/>
  </si>
  <si>
    <t>梁火</t>
    <phoneticPr fontId="3" type="noConversion"/>
  </si>
  <si>
    <t>67.650m钢梁</t>
    <phoneticPr fontId="3" type="noConversion"/>
  </si>
  <si>
    <t>梁腐</t>
    <phoneticPr fontId="3" type="noConversion"/>
  </si>
  <si>
    <t>69.150m钢梁</t>
    <phoneticPr fontId="3" type="noConversion"/>
  </si>
  <si>
    <t>HJ-24220～J-24210</t>
    <phoneticPr fontId="3" type="noConversion"/>
  </si>
  <si>
    <t>柱火</t>
    <phoneticPr fontId="3" type="noConversion"/>
  </si>
  <si>
    <t>63.650m钢梁</t>
    <phoneticPr fontId="3" type="noConversion"/>
  </si>
  <si>
    <t>梁火</t>
    <phoneticPr fontId="3" type="noConversion"/>
  </si>
  <si>
    <t>64.650m钢梁</t>
    <phoneticPr fontId="3" type="noConversion"/>
  </si>
  <si>
    <t>梁火</t>
    <phoneticPr fontId="3" type="noConversion"/>
  </si>
  <si>
    <t>65.150m钢梁</t>
    <phoneticPr fontId="3" type="noConversion"/>
  </si>
  <si>
    <t>66.650m钢梁</t>
    <phoneticPr fontId="3" type="noConversion"/>
  </si>
  <si>
    <t>梁腐</t>
    <phoneticPr fontId="3" type="noConversion"/>
  </si>
  <si>
    <t>68.150m钢梁</t>
    <phoneticPr fontId="3" type="noConversion"/>
  </si>
  <si>
    <t>GL2</t>
    <phoneticPr fontId="3" type="noConversion"/>
  </si>
  <si>
    <t>SJ-1</t>
  </si>
  <si>
    <t>SJ-1</t>
    <phoneticPr fontId="3" type="noConversion"/>
  </si>
  <si>
    <t>H194×150×6×9</t>
    <phoneticPr fontId="3" type="noConversion"/>
  </si>
  <si>
    <t>PL70×176×8</t>
  </si>
  <si>
    <t>PL70×176×8</t>
    <phoneticPr fontId="3" type="noConversion"/>
  </si>
  <si>
    <t>[12.6</t>
  </si>
  <si>
    <t>[12.6</t>
    <phoneticPr fontId="3" type="noConversion"/>
  </si>
  <si>
    <t>69.650m钢梁</t>
    <phoneticPr fontId="3" type="noConversion"/>
  </si>
  <si>
    <t>梁腐</t>
    <phoneticPr fontId="3" type="noConversion"/>
  </si>
  <si>
    <t>梁腐</t>
    <phoneticPr fontId="3" type="noConversion"/>
  </si>
  <si>
    <t>J-24213～J-24214</t>
    <phoneticPr fontId="3" type="noConversion"/>
  </si>
  <si>
    <t>63.650m钢梁</t>
    <phoneticPr fontId="3" type="noConversion"/>
  </si>
  <si>
    <t>梁火</t>
    <phoneticPr fontId="3" type="noConversion"/>
  </si>
  <si>
    <t>66.650m钢梁</t>
    <phoneticPr fontId="3" type="noConversion"/>
  </si>
  <si>
    <t>梁腐</t>
    <phoneticPr fontId="3" type="noConversion"/>
  </si>
  <si>
    <t>J-24215～GJ-24216B</t>
    <phoneticPr fontId="3" type="noConversion"/>
  </si>
  <si>
    <t>ZC</t>
  </si>
  <si>
    <t>2L90×6</t>
  </si>
  <si>
    <t>柱撑火</t>
  </si>
  <si>
    <t>柱撑腐</t>
    <phoneticPr fontId="3" type="noConversion"/>
  </si>
  <si>
    <t>J-24321～J-24323</t>
    <phoneticPr fontId="3" type="noConversion"/>
  </si>
  <si>
    <t>GZ1</t>
    <phoneticPr fontId="3" type="noConversion"/>
  </si>
  <si>
    <t>H200×200×8×12</t>
    <phoneticPr fontId="3" type="noConversion"/>
  </si>
  <si>
    <t>64.000m钢梁</t>
    <phoneticPr fontId="3" type="noConversion"/>
  </si>
  <si>
    <t>67.000m钢梁</t>
    <phoneticPr fontId="3" type="noConversion"/>
  </si>
  <si>
    <t>J-24303～J-24306</t>
    <phoneticPr fontId="3" type="noConversion"/>
  </si>
  <si>
    <t>柱火</t>
    <phoneticPr fontId="3" type="noConversion"/>
  </si>
  <si>
    <t>柱腐</t>
    <phoneticPr fontId="3" type="noConversion"/>
  </si>
  <si>
    <t>GZ5</t>
    <phoneticPr fontId="3" type="noConversion"/>
  </si>
  <si>
    <t>H400×400×13×21</t>
    <phoneticPr fontId="3" type="noConversion"/>
  </si>
  <si>
    <t>63.700m钢梁</t>
    <phoneticPr fontId="3" type="noConversion"/>
  </si>
  <si>
    <t>66.100m钢梁</t>
    <phoneticPr fontId="3" type="noConversion"/>
  </si>
  <si>
    <t>GL3</t>
    <phoneticPr fontId="3" type="noConversion"/>
  </si>
  <si>
    <t>H244×175×7×11</t>
    <phoneticPr fontId="3" type="noConversion"/>
  </si>
  <si>
    <t>GL6</t>
    <phoneticPr fontId="3" type="noConversion"/>
  </si>
  <si>
    <t>支撑-1</t>
    <phoneticPr fontId="3" type="noConversion"/>
  </si>
  <si>
    <t>H194×150×6×9</t>
    <phoneticPr fontId="3" type="noConversion"/>
  </si>
  <si>
    <t>J-24309～GJ-24312B</t>
    <phoneticPr fontId="3" type="noConversion"/>
  </si>
  <si>
    <t>柱撑火</t>
    <phoneticPr fontId="3" type="noConversion"/>
  </si>
  <si>
    <t>63.500m钢梁</t>
    <phoneticPr fontId="3" type="noConversion"/>
  </si>
  <si>
    <t>梁火</t>
    <phoneticPr fontId="3" type="noConversion"/>
  </si>
  <si>
    <t>梁火</t>
    <phoneticPr fontId="3" type="noConversion"/>
  </si>
  <si>
    <t>66.100m钢梁</t>
    <phoneticPr fontId="3" type="noConversion"/>
  </si>
  <si>
    <t>GL8</t>
    <phoneticPr fontId="3" type="noConversion"/>
  </si>
  <si>
    <t>H400×200×8×13</t>
    <phoneticPr fontId="3" type="noConversion"/>
  </si>
  <si>
    <t>J-24313～J-24316</t>
    <phoneticPr fontId="3" type="noConversion"/>
  </si>
  <si>
    <t>63.500m钢梁</t>
    <phoneticPr fontId="3" type="noConversion"/>
  </si>
  <si>
    <t>66.100m钢梁</t>
    <phoneticPr fontId="3" type="noConversion"/>
  </si>
  <si>
    <t>梁腐</t>
    <phoneticPr fontId="3" type="noConversion"/>
  </si>
  <si>
    <t>H244×175×7×11</t>
    <phoneticPr fontId="3" type="noConversion"/>
  </si>
  <si>
    <t>J-24406～J-24411</t>
    <phoneticPr fontId="3" type="noConversion"/>
  </si>
  <si>
    <t>GZ4</t>
    <phoneticPr fontId="3" type="noConversion"/>
  </si>
  <si>
    <t>H350×350×12×19</t>
    <phoneticPr fontId="3" type="noConversion"/>
  </si>
  <si>
    <t>63.500m钢梁(63.530m)</t>
    <phoneticPr fontId="3" type="noConversion"/>
  </si>
  <si>
    <t>65.000m钢梁(65.030m)</t>
    <phoneticPr fontId="3" type="noConversion"/>
  </si>
  <si>
    <t>64.000m钢梁</t>
    <phoneticPr fontId="3" type="noConversion"/>
  </si>
  <si>
    <t>GL1</t>
    <phoneticPr fontId="3" type="noConversion"/>
  </si>
  <si>
    <t>67.000m钢梁</t>
    <phoneticPr fontId="3" type="noConversion"/>
  </si>
  <si>
    <t>68.500m钢梁</t>
    <phoneticPr fontId="3" type="noConversion"/>
  </si>
  <si>
    <t>GL4</t>
    <phoneticPr fontId="3" type="noConversion"/>
  </si>
  <si>
    <t>H294×200×8×12</t>
    <phoneticPr fontId="3" type="noConversion"/>
  </si>
  <si>
    <t>J-24509</t>
    <phoneticPr fontId="3" type="noConversion"/>
  </si>
  <si>
    <t>钢柱</t>
    <phoneticPr fontId="3" type="noConversion"/>
  </si>
  <si>
    <t>H250×250×9×14</t>
    <phoneticPr fontId="3" type="noConversion"/>
  </si>
  <si>
    <t>柱火</t>
    <phoneticPr fontId="3" type="noConversion"/>
  </si>
  <si>
    <t>柱顶板</t>
  </si>
  <si>
    <t>柱顶板</t>
    <phoneticPr fontId="3" type="noConversion"/>
  </si>
  <si>
    <t>PL450×300×12</t>
  </si>
  <si>
    <t>PL450×300×12</t>
    <phoneticPr fontId="3" type="noConversion"/>
  </si>
  <si>
    <t>钢梁</t>
    <phoneticPr fontId="3" type="noConversion"/>
  </si>
  <si>
    <t>H148×100×6×9</t>
    <phoneticPr fontId="3" type="noConversion"/>
  </si>
  <si>
    <t>加劲肋</t>
  </si>
  <si>
    <t>加劲肋</t>
    <phoneticPr fontId="3" type="noConversion"/>
  </si>
  <si>
    <t>PL47×130×6</t>
  </si>
  <si>
    <t>PL47×130×6</t>
    <phoneticPr fontId="3" type="noConversion"/>
  </si>
  <si>
    <t>J-24510</t>
    <phoneticPr fontId="3" type="noConversion"/>
  </si>
  <si>
    <t>J-24706</t>
    <phoneticPr fontId="3" type="noConversion"/>
  </si>
  <si>
    <t>J-24707</t>
    <phoneticPr fontId="3" type="noConversion"/>
  </si>
  <si>
    <t>汇总</t>
    <phoneticPr fontId="3" type="noConversion"/>
  </si>
  <si>
    <t>薄型3.0h</t>
    <phoneticPr fontId="3" type="noConversion"/>
  </si>
  <si>
    <t>薄型2.5h</t>
    <phoneticPr fontId="3" type="noConversion"/>
  </si>
  <si>
    <t>薄型2.0h</t>
    <phoneticPr fontId="3" type="noConversion"/>
  </si>
  <si>
    <t>薄型1.5h</t>
    <phoneticPr fontId="3" type="noConversion"/>
  </si>
  <si>
    <t>薄型1.0h</t>
    <phoneticPr fontId="3" type="noConversion"/>
  </si>
  <si>
    <t>防腐</t>
    <phoneticPr fontId="3" type="noConversion"/>
  </si>
  <si>
    <t>防腐</t>
    <phoneticPr fontId="3" type="noConversion"/>
  </si>
  <si>
    <t>合计</t>
    <phoneticPr fontId="3" type="noConversion"/>
  </si>
  <si>
    <t>两道环氧富锌底漆+一道环氧云铁中间漆+两道氯化橡胶面漆</t>
    <phoneticPr fontId="3" type="noConversion"/>
  </si>
  <si>
    <t>单位重量</t>
    <phoneticPr fontId="3" type="noConversion"/>
  </si>
  <si>
    <t>重量</t>
    <phoneticPr fontId="3" type="noConversion"/>
  </si>
  <si>
    <t>单位重量</t>
    <phoneticPr fontId="3" type="noConversion"/>
  </si>
  <si>
    <t>重量</t>
    <phoneticPr fontId="3" type="noConversion"/>
  </si>
  <si>
    <t>计量分类</t>
    <phoneticPr fontId="3" type="noConversion"/>
  </si>
  <si>
    <t>柱间支撑</t>
    <phoneticPr fontId="3" type="noConversion"/>
  </si>
  <si>
    <t>ZCj-60-31</t>
    <phoneticPr fontId="3" type="noConversion"/>
  </si>
  <si>
    <t>L110×8</t>
    <phoneticPr fontId="3" type="noConversion"/>
  </si>
  <si>
    <t>柱间支撑</t>
    <phoneticPr fontId="3" type="noConversion"/>
  </si>
  <si>
    <t>L110×8</t>
    <phoneticPr fontId="3" type="noConversion"/>
  </si>
  <si>
    <t>柱间支撑</t>
    <phoneticPr fontId="3" type="noConversion"/>
  </si>
  <si>
    <t>L180×12</t>
    <phoneticPr fontId="3" type="noConversion"/>
  </si>
  <si>
    <t>PL605×585×16</t>
    <phoneticPr fontId="3" type="noConversion"/>
  </si>
  <si>
    <t>PL400×385×16</t>
    <phoneticPr fontId="3" type="noConversion"/>
  </si>
  <si>
    <t>PL375×845×16</t>
    <phoneticPr fontId="3" type="noConversion"/>
  </si>
  <si>
    <t>钢梁</t>
    <phoneticPr fontId="3" type="noConversion"/>
  </si>
  <si>
    <t>PL200×7019×12</t>
    <phoneticPr fontId="3" type="noConversion"/>
  </si>
  <si>
    <t>PL200×760×18</t>
    <phoneticPr fontId="3" type="noConversion"/>
  </si>
  <si>
    <t>PL95×380×12</t>
    <phoneticPr fontId="3" type="noConversion"/>
  </si>
  <si>
    <t>PL90×140×10</t>
    <phoneticPr fontId="3" type="noConversion"/>
  </si>
  <si>
    <t>PL95×100×10</t>
    <phoneticPr fontId="3" type="noConversion"/>
  </si>
  <si>
    <t>屋盖支撑</t>
    <phoneticPr fontId="3" type="noConversion"/>
  </si>
  <si>
    <t>XG</t>
    <phoneticPr fontId="3" type="noConversion"/>
  </si>
  <si>
    <t>D133×4.5</t>
    <phoneticPr fontId="3" type="noConversion"/>
  </si>
  <si>
    <t>系杆</t>
    <phoneticPr fontId="3" type="noConversion"/>
  </si>
  <si>
    <t>WLT</t>
    <phoneticPr fontId="3" type="noConversion"/>
  </si>
  <si>
    <t>C250×75×20×2.5</t>
    <phoneticPr fontId="3" type="noConversion"/>
  </si>
  <si>
    <t>檩条</t>
    <phoneticPr fontId="3" type="noConversion"/>
  </si>
  <si>
    <t>檩条</t>
    <phoneticPr fontId="3" type="noConversion"/>
  </si>
  <si>
    <t>檩条</t>
    <phoneticPr fontId="3" type="noConversion"/>
  </si>
  <si>
    <t>CG</t>
    <phoneticPr fontId="3" type="noConversion"/>
  </si>
  <si>
    <t>YC</t>
    <phoneticPr fontId="3" type="noConversion"/>
  </si>
  <si>
    <t>L50×5</t>
    <phoneticPr fontId="3" type="noConversion"/>
  </si>
  <si>
    <t>雨篷梁</t>
    <phoneticPr fontId="3" type="noConversion"/>
  </si>
  <si>
    <t>GXTL</t>
    <phoneticPr fontId="3" type="noConversion"/>
  </si>
  <si>
    <t>H400～300×150×10×12</t>
    <phoneticPr fontId="3" type="noConversion"/>
  </si>
  <si>
    <t>钢梁</t>
    <phoneticPr fontId="3" type="noConversion"/>
  </si>
  <si>
    <t>加劲板</t>
    <phoneticPr fontId="3" type="noConversion"/>
  </si>
  <si>
    <t>PL70×376×10</t>
    <phoneticPr fontId="3" type="noConversion"/>
  </si>
  <si>
    <t>雨篷屋面支撑</t>
    <phoneticPr fontId="3" type="noConversion"/>
  </si>
  <si>
    <t>ZCo-78-21</t>
    <phoneticPr fontId="3" type="noConversion"/>
  </si>
  <si>
    <t>D152×3.5</t>
    <phoneticPr fontId="3" type="noConversion"/>
  </si>
  <si>
    <t>D194×5</t>
    <phoneticPr fontId="3" type="noConversion"/>
  </si>
  <si>
    <t>PL630×475×12</t>
    <phoneticPr fontId="3" type="noConversion"/>
  </si>
  <si>
    <t>PL540×435×12</t>
    <phoneticPr fontId="3" type="noConversion"/>
  </si>
  <si>
    <t>PL240×305×7</t>
    <phoneticPr fontId="3" type="noConversion"/>
  </si>
  <si>
    <t>D180×5</t>
    <phoneticPr fontId="3" type="noConversion"/>
  </si>
  <si>
    <t>D180×5</t>
    <phoneticPr fontId="3" type="noConversion"/>
  </si>
  <si>
    <t>PL295×360×10</t>
    <phoneticPr fontId="3" type="noConversion"/>
  </si>
  <si>
    <t>PL243×243×5</t>
    <phoneticPr fontId="3" type="noConversion"/>
  </si>
  <si>
    <t>PL220×220×5</t>
    <phoneticPr fontId="3" type="noConversion"/>
  </si>
  <si>
    <t>PL180×8855×10</t>
    <phoneticPr fontId="3" type="noConversion"/>
  </si>
  <si>
    <t>PL180×8573×10</t>
    <phoneticPr fontId="3" type="noConversion"/>
  </si>
  <si>
    <t>PL180×6001×12</t>
    <phoneticPr fontId="3" type="noConversion"/>
  </si>
  <si>
    <t>PL290×340×20</t>
    <phoneticPr fontId="3" type="noConversion"/>
  </si>
  <si>
    <t>PL86×382×10</t>
    <phoneticPr fontId="3" type="noConversion"/>
  </si>
  <si>
    <t>PL90×135×10</t>
    <phoneticPr fontId="3" type="noConversion"/>
  </si>
  <si>
    <t>PL85×625×12</t>
    <phoneticPr fontId="3" type="noConversion"/>
  </si>
  <si>
    <t>PL85×593×6</t>
    <phoneticPr fontId="3" type="noConversion"/>
  </si>
  <si>
    <t>PL85×561×6</t>
    <phoneticPr fontId="3" type="noConversion"/>
  </si>
  <si>
    <t>屋面檩条</t>
    <phoneticPr fontId="3" type="noConversion"/>
  </si>
  <si>
    <t>WLT-1</t>
    <phoneticPr fontId="3" type="noConversion"/>
  </si>
  <si>
    <t>C220×75×20×2.2</t>
    <phoneticPr fontId="3" type="noConversion"/>
  </si>
  <si>
    <t>檩条</t>
    <phoneticPr fontId="3" type="noConversion"/>
  </si>
  <si>
    <t>D12</t>
    <phoneticPr fontId="3" type="noConversion"/>
  </si>
  <si>
    <t>D32×2.5</t>
    <phoneticPr fontId="3" type="noConversion"/>
  </si>
  <si>
    <t>钢柱</t>
    <phoneticPr fontId="3" type="noConversion"/>
  </si>
  <si>
    <t>GZ-1</t>
    <phoneticPr fontId="3" type="noConversion"/>
  </si>
  <si>
    <t>H250×250×9×14</t>
    <phoneticPr fontId="3" type="noConversion"/>
  </si>
  <si>
    <t>钢柱</t>
    <phoneticPr fontId="3" type="noConversion"/>
  </si>
  <si>
    <t>PL590×590×30</t>
    <phoneticPr fontId="3" type="noConversion"/>
  </si>
  <si>
    <t>PL150×300×14</t>
    <phoneticPr fontId="3" type="noConversion"/>
  </si>
  <si>
    <t>H194×150×6×9</t>
    <phoneticPr fontId="3" type="noConversion"/>
  </si>
  <si>
    <t>钢梁</t>
    <phoneticPr fontId="3" type="noConversion"/>
  </si>
  <si>
    <t>钢梁</t>
    <phoneticPr fontId="3" type="noConversion"/>
  </si>
  <si>
    <t>钢梁</t>
    <phoneticPr fontId="3" type="noConversion"/>
  </si>
  <si>
    <t>钢梁</t>
    <phoneticPr fontId="3" type="noConversion"/>
  </si>
  <si>
    <t>C250×75×20×2.5</t>
    <phoneticPr fontId="3" type="noConversion"/>
  </si>
  <si>
    <t>檩条</t>
    <phoneticPr fontId="3" type="noConversion"/>
  </si>
  <si>
    <t>檩条</t>
    <phoneticPr fontId="3" type="noConversion"/>
  </si>
  <si>
    <t>檩条</t>
    <phoneticPr fontId="3" type="noConversion"/>
  </si>
  <si>
    <t>屋面支撑</t>
    <phoneticPr fontId="3" type="noConversion"/>
  </si>
  <si>
    <t>L110×8</t>
    <phoneticPr fontId="3" type="noConversion"/>
  </si>
  <si>
    <t>屋盖支撑</t>
    <phoneticPr fontId="3" type="noConversion"/>
  </si>
  <si>
    <t>钢梁</t>
    <phoneticPr fontId="3" type="noConversion"/>
  </si>
  <si>
    <t>H244×175×7×11</t>
    <phoneticPr fontId="3" type="noConversion"/>
  </si>
  <si>
    <t>SC-1</t>
    <phoneticPr fontId="3" type="noConversion"/>
  </si>
  <si>
    <t>屋面檩条</t>
    <phoneticPr fontId="3" type="noConversion"/>
  </si>
  <si>
    <t>檩条</t>
    <phoneticPr fontId="3" type="noConversion"/>
  </si>
  <si>
    <t>XLT</t>
    <phoneticPr fontId="3" type="noConversion"/>
  </si>
  <si>
    <t>D12</t>
    <phoneticPr fontId="3" type="noConversion"/>
  </si>
  <si>
    <t>H300×300×10×15</t>
    <phoneticPr fontId="3" type="noConversion"/>
  </si>
  <si>
    <t>H400×200×8×13</t>
    <phoneticPr fontId="3" type="noConversion"/>
  </si>
  <si>
    <t>5.500m钢梁</t>
    <phoneticPr fontId="3" type="noConversion"/>
  </si>
  <si>
    <t>GL-1</t>
    <phoneticPr fontId="3" type="noConversion"/>
  </si>
  <si>
    <t>H194×150×6×9</t>
    <phoneticPr fontId="3" type="noConversion"/>
  </si>
  <si>
    <t>5.000m钢柱</t>
    <phoneticPr fontId="3" type="noConversion"/>
  </si>
  <si>
    <t>H200×200×8×12</t>
    <phoneticPr fontId="3" type="noConversion"/>
  </si>
  <si>
    <t>PL300×500×20</t>
    <phoneticPr fontId="3" type="noConversion"/>
  </si>
  <si>
    <t>PL250×105×12</t>
    <phoneticPr fontId="3" type="noConversion"/>
  </si>
  <si>
    <t>PL250×120×12</t>
    <phoneticPr fontId="3" type="noConversion"/>
  </si>
  <si>
    <t>柱脚</t>
    <phoneticPr fontId="3" type="noConversion"/>
  </si>
  <si>
    <t>PL250×120×12</t>
    <phoneticPr fontId="3" type="noConversion"/>
  </si>
  <si>
    <t>H148×100×6×9</t>
    <phoneticPr fontId="3" type="noConversion"/>
  </si>
  <si>
    <t>钢梁</t>
    <phoneticPr fontId="3" type="noConversion"/>
  </si>
  <si>
    <t>H194×150×6×9</t>
    <phoneticPr fontId="3" type="noConversion"/>
  </si>
  <si>
    <t>钢梁</t>
    <phoneticPr fontId="3" type="noConversion"/>
  </si>
  <si>
    <t>GL-3</t>
    <phoneticPr fontId="3" type="noConversion"/>
  </si>
  <si>
    <t>H244×175×7×11</t>
    <phoneticPr fontId="3" type="noConversion"/>
  </si>
  <si>
    <t>地坑</t>
    <phoneticPr fontId="3" type="noConversion"/>
  </si>
  <si>
    <t>GL-1</t>
    <phoneticPr fontId="3" type="noConversion"/>
  </si>
  <si>
    <t>H148×100×6×9</t>
    <phoneticPr fontId="3" type="noConversion"/>
  </si>
  <si>
    <t>钢梁</t>
    <phoneticPr fontId="3" type="noConversion"/>
  </si>
  <si>
    <t>PL250×14</t>
    <phoneticPr fontId="3" type="noConversion"/>
  </si>
  <si>
    <t>PL300×300×16</t>
    <phoneticPr fontId="3" type="noConversion"/>
  </si>
  <si>
    <t>3.0、4.5、5.5、7.0m柱间管架</t>
    <phoneticPr fontId="3" type="noConversion"/>
  </si>
  <si>
    <t>H244×175×7×11</t>
    <phoneticPr fontId="3" type="noConversion"/>
  </si>
  <si>
    <t>钢梁</t>
    <phoneticPr fontId="3" type="noConversion"/>
  </si>
  <si>
    <t>M-b</t>
    <phoneticPr fontId="3" type="noConversion"/>
  </si>
  <si>
    <t>11.0、12.0m柱间管架</t>
    <phoneticPr fontId="3" type="noConversion"/>
  </si>
  <si>
    <t>H194×150×6×9</t>
    <phoneticPr fontId="3" type="noConversion"/>
  </si>
  <si>
    <t>钢梁</t>
    <phoneticPr fontId="3" type="noConversion"/>
  </si>
  <si>
    <t>H244×175×7×11</t>
    <phoneticPr fontId="3" type="noConversion"/>
  </si>
  <si>
    <t>PL350×400×18</t>
    <phoneticPr fontId="3" type="noConversion"/>
  </si>
  <si>
    <t>16.5、17.5m柱间管架</t>
    <phoneticPr fontId="3" type="noConversion"/>
  </si>
  <si>
    <t>M-a</t>
    <phoneticPr fontId="3" type="noConversion"/>
  </si>
  <si>
    <t>1.200m平台</t>
    <phoneticPr fontId="3" type="noConversion"/>
  </si>
  <si>
    <t>GZ-1</t>
    <phoneticPr fontId="3" type="noConversion"/>
  </si>
  <si>
    <t>H150×150×7×10</t>
    <phoneticPr fontId="3" type="noConversion"/>
  </si>
  <si>
    <t>PL300×300×12</t>
    <phoneticPr fontId="3" type="noConversion"/>
  </si>
  <si>
    <t>PL150×50×10</t>
    <phoneticPr fontId="3" type="noConversion"/>
  </si>
  <si>
    <t>GL-1</t>
    <phoneticPr fontId="3" type="noConversion"/>
  </si>
  <si>
    <t>钢柱</t>
    <phoneticPr fontId="3" type="noConversion"/>
  </si>
  <si>
    <t>H194×150×6×9</t>
    <phoneticPr fontId="3" type="noConversion"/>
  </si>
  <si>
    <t>H244×175×7×11</t>
    <phoneticPr fontId="3" type="noConversion"/>
  </si>
  <si>
    <t>L110×8</t>
    <phoneticPr fontId="3" type="noConversion"/>
  </si>
  <si>
    <t>屋盖支撑</t>
    <phoneticPr fontId="3" type="noConversion"/>
  </si>
  <si>
    <t>LT</t>
    <phoneticPr fontId="3" type="noConversion"/>
  </si>
  <si>
    <t>XLT</t>
    <phoneticPr fontId="3" type="noConversion"/>
  </si>
  <si>
    <t>H350×350×12×19</t>
    <phoneticPr fontId="3" type="noConversion"/>
  </si>
  <si>
    <t>钢柱</t>
    <phoneticPr fontId="3" type="noConversion"/>
  </si>
  <si>
    <t>H148×100×6×9</t>
    <phoneticPr fontId="3" type="noConversion"/>
  </si>
  <si>
    <t>钢梁</t>
    <phoneticPr fontId="3" type="noConversion"/>
  </si>
  <si>
    <t>H194×150×6×9</t>
    <phoneticPr fontId="3" type="noConversion"/>
  </si>
  <si>
    <t>GL-3</t>
    <phoneticPr fontId="3" type="noConversion"/>
  </si>
  <si>
    <t>屋面檩条</t>
    <phoneticPr fontId="3" type="noConversion"/>
  </si>
  <si>
    <t>WLT1</t>
    <phoneticPr fontId="3" type="noConversion"/>
  </si>
  <si>
    <t>汇总</t>
    <phoneticPr fontId="3" type="noConversion"/>
  </si>
  <si>
    <t>基础顶～6.450m埋件</t>
    <phoneticPr fontId="3" type="noConversion"/>
  </si>
  <si>
    <t>MJ-1</t>
    <phoneticPr fontId="3" type="noConversion"/>
  </si>
  <si>
    <t>PL250×300×16</t>
    <phoneticPr fontId="3" type="noConversion"/>
  </si>
  <si>
    <t>PL300×350×16</t>
    <phoneticPr fontId="3" type="noConversion"/>
  </si>
  <si>
    <t>PL300×400×16</t>
    <phoneticPr fontId="3" type="noConversion"/>
  </si>
  <si>
    <t>PL350×450×16</t>
    <phoneticPr fontId="3" type="noConversion"/>
  </si>
  <si>
    <t>PL400×500×16</t>
    <phoneticPr fontId="3" type="noConversion"/>
  </si>
  <si>
    <t>PL200×250×16</t>
    <phoneticPr fontId="3" type="noConversion"/>
  </si>
  <si>
    <t>PL200×200×16</t>
    <phoneticPr fontId="3" type="noConversion"/>
  </si>
  <si>
    <t>MJ-c</t>
    <phoneticPr fontId="3" type="noConversion"/>
  </si>
  <si>
    <t>MJ-a</t>
    <phoneticPr fontId="3" type="noConversion"/>
  </si>
  <si>
    <t>MJ-b</t>
    <phoneticPr fontId="3" type="noConversion"/>
  </si>
  <si>
    <t>PL200×300×16</t>
    <phoneticPr fontId="3" type="noConversion"/>
  </si>
  <si>
    <t>MJ-4</t>
    <phoneticPr fontId="3" type="noConversion"/>
  </si>
  <si>
    <t>MJ-5</t>
    <phoneticPr fontId="3" type="noConversion"/>
  </si>
  <si>
    <t>GL-2</t>
    <phoneticPr fontId="3" type="noConversion"/>
  </si>
  <si>
    <t>H244×175×7×11</t>
    <phoneticPr fontId="3" type="noConversion"/>
  </si>
  <si>
    <t>GL-4</t>
    <phoneticPr fontId="3" type="noConversion"/>
  </si>
  <si>
    <t>H294×200×8×12</t>
    <phoneticPr fontId="3" type="noConversion"/>
  </si>
  <si>
    <t>GL-5</t>
    <phoneticPr fontId="3" type="noConversion"/>
  </si>
  <si>
    <t>HJ-24101～J-24108</t>
    <phoneticPr fontId="3" type="noConversion"/>
  </si>
  <si>
    <t>柱火</t>
    <phoneticPr fontId="3" type="noConversion"/>
  </si>
  <si>
    <t>柱火</t>
    <phoneticPr fontId="3" type="noConversion"/>
  </si>
  <si>
    <t>柱腐</t>
    <phoneticPr fontId="3" type="noConversion"/>
  </si>
  <si>
    <t>柱腐</t>
    <phoneticPr fontId="3" type="noConversion"/>
  </si>
  <si>
    <t>H400×400×13×21</t>
    <phoneticPr fontId="3" type="noConversion"/>
  </si>
  <si>
    <t>柱火</t>
    <phoneticPr fontId="3" type="noConversion"/>
  </si>
  <si>
    <t>柱腐</t>
    <phoneticPr fontId="3" type="noConversion"/>
  </si>
  <si>
    <t>梁火</t>
    <phoneticPr fontId="3" type="noConversion"/>
  </si>
  <si>
    <t>[14a</t>
    <phoneticPr fontId="3" type="noConversion"/>
  </si>
  <si>
    <t>梁火</t>
    <phoneticPr fontId="3" type="noConversion"/>
  </si>
  <si>
    <t>GL3</t>
    <phoneticPr fontId="3" type="noConversion"/>
  </si>
  <si>
    <t>未注明梁</t>
    <phoneticPr fontId="3" type="noConversion"/>
  </si>
  <si>
    <t>[14a</t>
    <phoneticPr fontId="3" type="noConversion"/>
  </si>
  <si>
    <t>梁腐</t>
    <phoneticPr fontId="3" type="noConversion"/>
  </si>
  <si>
    <t>梁腐</t>
    <phoneticPr fontId="3" type="noConversion"/>
  </si>
  <si>
    <t>梁火</t>
    <phoneticPr fontId="3" type="noConversion"/>
  </si>
  <si>
    <t>梁火</t>
    <phoneticPr fontId="3" type="noConversion"/>
  </si>
  <si>
    <t>梁火</t>
    <phoneticPr fontId="3" type="noConversion"/>
  </si>
  <si>
    <t>梁火</t>
    <phoneticPr fontId="3" type="noConversion"/>
  </si>
  <si>
    <t>梁火</t>
    <phoneticPr fontId="3" type="noConversion"/>
  </si>
  <si>
    <t>GL4</t>
    <phoneticPr fontId="3" type="noConversion"/>
  </si>
  <si>
    <t>H294×200×8×12</t>
    <phoneticPr fontId="3" type="noConversion"/>
  </si>
  <si>
    <t>GL6</t>
    <phoneticPr fontId="3" type="noConversion"/>
  </si>
  <si>
    <t>H600×200×11×17</t>
    <phoneticPr fontId="3" type="noConversion"/>
  </si>
  <si>
    <t>角撑</t>
    <phoneticPr fontId="3" type="noConversion"/>
  </si>
  <si>
    <t>PL27500×2000×6</t>
    <phoneticPr fontId="3" type="noConversion"/>
  </si>
  <si>
    <t>工程量(t)</t>
  </si>
  <si>
    <t>工程量(t)</t>
    <phoneticPr fontId="3" type="noConversion"/>
  </si>
  <si>
    <r>
      <t>展开面积(m</t>
    </r>
    <r>
      <rPr>
        <b/>
        <vertAlign val="superscript"/>
        <sz val="12"/>
        <rFont val="微软雅黑"/>
        <family val="2"/>
        <charset val="134"/>
      </rPr>
      <t>2</t>
    </r>
    <r>
      <rPr>
        <b/>
        <sz val="12"/>
        <rFont val="微软雅黑"/>
        <family val="2"/>
        <charset val="134"/>
      </rPr>
      <t>/t)</t>
    </r>
    <phoneticPr fontId="3" type="noConversion"/>
  </si>
  <si>
    <r>
      <t>展开面积(m</t>
    </r>
    <r>
      <rPr>
        <b/>
        <vertAlign val="superscript"/>
        <sz val="12"/>
        <rFont val="微软雅黑"/>
        <family val="2"/>
        <charset val="134"/>
      </rPr>
      <t>2</t>
    </r>
    <r>
      <rPr>
        <b/>
        <sz val="12"/>
        <rFont val="微软雅黑"/>
        <family val="2"/>
        <charset val="134"/>
      </rPr>
      <t>/t)</t>
    </r>
    <phoneticPr fontId="3" type="noConversion"/>
  </si>
  <si>
    <t>工程量汇总表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</si>
</sst>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0.00;\-0.00;"/>
  </numFmts>
  <fonts count="13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4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vertAlign val="superscript"/>
      <sz val="12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新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8">
    <xf numFmtId="0" fontId="0" fillId="0" borderId="0" xfId="0">
      <alignment vertical="center"/>
    </xf>
    <xf numFmtId="0" fontId="4" fillId="0" borderId="0" xfId="1" applyFont="1" applyAlignment="1">
      <alignment horizontal="center" vertical="center" wrapText="1"/>
    </xf>
    <xf numFmtId="176" fontId="4" fillId="0" borderId="1" xfId="1" applyNumberFormat="1" applyFont="1" applyBorder="1" applyAlignment="1">
      <alignment horizontal="right" vertical="center" wrapText="1"/>
    </xf>
    <xf numFmtId="176" fontId="5" fillId="0" borderId="1" xfId="1" applyNumberFormat="1" applyFont="1" applyBorder="1" applyAlignment="1">
      <alignment horizontal="right" vertical="center" wrapText="1"/>
    </xf>
    <xf numFmtId="0" fontId="9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right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6" fontId="5" fillId="0" borderId="1" xfId="1" applyNumberFormat="1" applyFont="1" applyBorder="1" applyAlignment="1">
      <alignment horizontal="center" vertical="center" wrapText="1"/>
    </xf>
    <xf numFmtId="176" fontId="4" fillId="0" borderId="0" xfId="1" applyNumberFormat="1" applyFont="1" applyAlignment="1">
      <alignment horizontal="right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1">
    <cellStyle name="常规" xfId="0" builtinId="0"/>
    <cellStyle name="常规 2" xfId="1"/>
    <cellStyle name="常规 2 2" xfId="5"/>
    <cellStyle name="常规 3" xfId="2"/>
    <cellStyle name="常规 4" xfId="3"/>
    <cellStyle name="常规 5" xfId="6"/>
    <cellStyle name="常规 6" xfId="7"/>
    <cellStyle name="常规 7" xfId="8"/>
    <cellStyle name="常规 8" xfId="9"/>
    <cellStyle name="常规 9" xfId="10"/>
    <cellStyle name="千位分隔 2" xfId="4"/>
  </cellStyles>
  <dxfs count="82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 patternType="solid">
          <bgColor theme="8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8"/>
          <bgColor theme="8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计算书" defaultPivotStyle="PivotStyleLight16">
    <tableStyle name="计算书" pivot="0" count="7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pane ySplit="2" topLeftCell="A3" activePane="bottomLeft" state="frozen"/>
      <selection activeCell="A14" sqref="A14"/>
      <selection pane="bottomLeft" sqref="A1:H1"/>
    </sheetView>
  </sheetViews>
  <sheetFormatPr defaultRowHeight="17.25" x14ac:dyDescent="0.15"/>
  <cols>
    <col min="1" max="1" width="11.875" style="1" bestFit="1" customWidth="1"/>
    <col min="2" max="2" width="21.5" style="1" customWidth="1"/>
    <col min="3" max="3" width="11.875" style="1" bestFit="1" customWidth="1"/>
    <col min="4" max="5" width="11.875" style="19" customWidth="1"/>
    <col min="6" max="6" width="13.375" style="1" bestFit="1" customWidth="1"/>
    <col min="7" max="7" width="12.625" style="1" customWidth="1"/>
    <col min="8" max="8" width="16.75" style="1" bestFit="1" customWidth="1"/>
    <col min="9" max="9" width="9" style="1"/>
    <col min="10" max="10" width="12.625" style="1" customWidth="1"/>
    <col min="11" max="11" width="11.875" style="19" bestFit="1" customWidth="1"/>
    <col min="12" max="13" width="11.875" style="19" customWidth="1"/>
    <col min="14" max="14" width="13.375" style="19" bestFit="1" customWidth="1"/>
    <col min="15" max="15" width="12.625" style="19" customWidth="1"/>
    <col min="16" max="16" width="23.625" style="1" bestFit="1" customWidth="1"/>
    <col min="17" max="16384" width="9" style="1"/>
  </cols>
  <sheetData>
    <row r="1" spans="1:16" ht="21" x14ac:dyDescent="0.15">
      <c r="A1" s="25" t="s">
        <v>791</v>
      </c>
      <c r="B1" s="25"/>
      <c r="C1" s="25"/>
      <c r="D1" s="25"/>
      <c r="E1" s="25"/>
      <c r="F1" s="25"/>
      <c r="G1" s="25"/>
      <c r="H1" s="25"/>
      <c r="J1" s="25" t="s">
        <v>791</v>
      </c>
      <c r="K1" s="25"/>
      <c r="L1" s="25"/>
      <c r="M1" s="25"/>
      <c r="N1" s="25"/>
      <c r="O1" s="25"/>
      <c r="P1" s="25"/>
    </row>
    <row r="2" spans="1:16" ht="38.25" x14ac:dyDescent="0.15">
      <c r="A2" s="14" t="s">
        <v>8</v>
      </c>
      <c r="B2" s="14" t="s">
        <v>9</v>
      </c>
      <c r="C2" s="17" t="s">
        <v>11</v>
      </c>
      <c r="D2" s="18" t="s">
        <v>788</v>
      </c>
      <c r="E2" s="18" t="s">
        <v>789</v>
      </c>
      <c r="F2" s="17" t="s">
        <v>12</v>
      </c>
      <c r="G2" s="17" t="s">
        <v>10</v>
      </c>
      <c r="H2" s="17" t="s">
        <v>0</v>
      </c>
      <c r="J2" s="17" t="s">
        <v>9</v>
      </c>
      <c r="K2" s="18" t="s">
        <v>11</v>
      </c>
      <c r="L2" s="18" t="s">
        <v>787</v>
      </c>
      <c r="M2" s="18" t="s">
        <v>790</v>
      </c>
      <c r="N2" s="18" t="s">
        <v>12</v>
      </c>
      <c r="O2" s="18" t="s">
        <v>10</v>
      </c>
      <c r="P2" s="17" t="s">
        <v>0</v>
      </c>
    </row>
    <row r="3" spans="1:16" x14ac:dyDescent="0.15">
      <c r="A3" s="22" t="s">
        <v>16</v>
      </c>
      <c r="B3" s="15" t="s">
        <v>22</v>
      </c>
      <c r="C3" s="2">
        <f>SUM(SUMIF(消防水站!$I:$I,{"柱间支撑"},消防水站!$F:$F))</f>
        <v>36.209999999999987</v>
      </c>
      <c r="D3" s="2">
        <f>SUM(SUMIF(消防水站!$I:$I,{"柱间支撑"},消防水站!$H:$H))</f>
        <v>1.0300000000000002</v>
      </c>
      <c r="E3" s="2">
        <f>C3/D3</f>
        <v>35.155339805825221</v>
      </c>
      <c r="F3" s="2"/>
      <c r="G3" s="2">
        <f t="shared" ref="G3:G21" si="0">C3*F3</f>
        <v>0</v>
      </c>
      <c r="H3" s="6" t="s">
        <v>47</v>
      </c>
      <c r="J3" s="15" t="s">
        <v>583</v>
      </c>
      <c r="K3" s="2">
        <f>SUMIF($H:$H,$J3,$C:$C)</f>
        <v>285.55</v>
      </c>
      <c r="L3" s="2">
        <f t="shared" ref="L3:L8" si="1">SUMIF($H:$H,$J3,$D:$D)</f>
        <v>14.569999999999999</v>
      </c>
      <c r="M3" s="2">
        <f>K3/L3</f>
        <v>19.598490048043928</v>
      </c>
      <c r="N3" s="2"/>
      <c r="O3" s="2">
        <f>K3*N3</f>
        <v>0</v>
      </c>
      <c r="P3" s="6"/>
    </row>
    <row r="4" spans="1:16" x14ac:dyDescent="0.15">
      <c r="A4" s="23"/>
      <c r="B4" s="15" t="s">
        <v>24</v>
      </c>
      <c r="C4" s="2">
        <f>SUM(SUMIF(消防水站!$I:$I,{"钢梁","屋盖支撑","系杆"},消防水站!$F:$F))</f>
        <v>141.47999999999999</v>
      </c>
      <c r="D4" s="2">
        <f>SUM(SUMIF(消防水站!$I:$I,{"钢梁","屋盖支撑","系杆"},消防水站!$H:$H))</f>
        <v>5.17</v>
      </c>
      <c r="E4" s="2">
        <f t="shared" ref="E4:E45" si="2">C4/D4</f>
        <v>27.36557059961315</v>
      </c>
      <c r="F4" s="2"/>
      <c r="G4" s="2">
        <f t="shared" si="0"/>
        <v>0</v>
      </c>
      <c r="H4" s="6" t="s">
        <v>48</v>
      </c>
      <c r="J4" s="15" t="s">
        <v>584</v>
      </c>
      <c r="K4" s="2">
        <f t="shared" ref="K4:K8" si="3">SUMIF($H:$H,$J4,$C:$C)</f>
        <v>2335.5799999999995</v>
      </c>
      <c r="L4" s="2">
        <f t="shared" si="1"/>
        <v>134.46000000000004</v>
      </c>
      <c r="M4" s="2">
        <f t="shared" ref="M4:M8" si="4">K4/L4</f>
        <v>17.370072884129101</v>
      </c>
      <c r="N4" s="2"/>
      <c r="O4" s="2">
        <f t="shared" ref="O4:O8" si="5">K4*N4</f>
        <v>0</v>
      </c>
      <c r="P4" s="6"/>
    </row>
    <row r="5" spans="1:16" x14ac:dyDescent="0.15">
      <c r="A5" s="24"/>
      <c r="B5" s="15" t="s">
        <v>21</v>
      </c>
      <c r="C5" s="2">
        <f>SUM(SUMIF(消防水站!$I:$I,{"檩条","屋面板"},消防水站!$F:$F))</f>
        <v>153.52999999999997</v>
      </c>
      <c r="D5" s="2">
        <f>SUM(SUMIF(消防水站!$I:$I,{"檩条","屋面板"},消防水站!$H:$H))</f>
        <v>1.3100000000000003</v>
      </c>
      <c r="E5" s="2">
        <f t="shared" si="2"/>
        <v>117.19847328244271</v>
      </c>
      <c r="F5" s="2"/>
      <c r="G5" s="2">
        <f t="shared" si="0"/>
        <v>0</v>
      </c>
      <c r="H5" s="6" t="s">
        <v>49</v>
      </c>
      <c r="J5" s="15" t="s">
        <v>585</v>
      </c>
      <c r="K5" s="2">
        <f t="shared" si="3"/>
        <v>6434.6900000000023</v>
      </c>
      <c r="L5" s="2">
        <f t="shared" si="1"/>
        <v>236.30000000000004</v>
      </c>
      <c r="M5" s="2">
        <f t="shared" si="4"/>
        <v>27.231019889970383</v>
      </c>
      <c r="N5" s="2"/>
      <c r="O5" s="2">
        <f t="shared" si="5"/>
        <v>0</v>
      </c>
      <c r="P5" s="6"/>
    </row>
    <row r="6" spans="1:16" x14ac:dyDescent="0.15">
      <c r="A6" s="22" t="s">
        <v>29</v>
      </c>
      <c r="B6" s="15" t="s">
        <v>22</v>
      </c>
      <c r="C6" s="2">
        <f>SUM(SUMIF(甲类仓库C1!$I:$I,{"柱间支撑"},甲类仓库C1!$F:$F))</f>
        <v>45.27</v>
      </c>
      <c r="D6" s="2">
        <f>SUM(SUMIF(甲类仓库C1!$I:$I,{"柱间支撑"},甲类仓库C1!$H:$H))</f>
        <v>2.31</v>
      </c>
      <c r="E6" s="2">
        <f t="shared" si="2"/>
        <v>19.597402597402599</v>
      </c>
      <c r="F6" s="2"/>
      <c r="G6" s="2">
        <f t="shared" si="0"/>
        <v>0</v>
      </c>
      <c r="H6" s="6" t="s">
        <v>47</v>
      </c>
      <c r="J6" s="15" t="s">
        <v>586</v>
      </c>
      <c r="K6" s="2">
        <f t="shared" si="3"/>
        <v>3864.1400000000008</v>
      </c>
      <c r="L6" s="2">
        <f t="shared" si="1"/>
        <v>152.79999999999998</v>
      </c>
      <c r="M6" s="2">
        <f t="shared" si="4"/>
        <v>25.288874345549747</v>
      </c>
      <c r="N6" s="2"/>
      <c r="O6" s="2">
        <f t="shared" si="5"/>
        <v>0</v>
      </c>
      <c r="P6" s="6"/>
    </row>
    <row r="7" spans="1:16" x14ac:dyDescent="0.15">
      <c r="A7" s="23"/>
      <c r="B7" s="15" t="s">
        <v>24</v>
      </c>
      <c r="C7" s="2">
        <f>SUM(SUMIF(甲类仓库C1!$I:$I,{"钢梁","屋盖支撑","系杆"},甲类仓库C1!$F:$F))</f>
        <v>410.24</v>
      </c>
      <c r="D7" s="2">
        <f>SUM(SUMIF(甲类仓库C1!$I:$I,{"钢梁","屋盖支撑","系杆"},甲类仓库C1!$H:$H))</f>
        <v>16.079999999999998</v>
      </c>
      <c r="E7" s="2">
        <f t="shared" si="2"/>
        <v>25.512437810945276</v>
      </c>
      <c r="F7" s="2"/>
      <c r="G7" s="2">
        <f t="shared" si="0"/>
        <v>0</v>
      </c>
      <c r="H7" s="6" t="s">
        <v>48</v>
      </c>
      <c r="J7" s="15" t="s">
        <v>587</v>
      </c>
      <c r="K7" s="2">
        <f t="shared" si="3"/>
        <v>4809.25</v>
      </c>
      <c r="L7" s="2">
        <f t="shared" si="1"/>
        <v>47.61</v>
      </c>
      <c r="M7" s="2">
        <f t="shared" si="4"/>
        <v>101.01344255408527</v>
      </c>
      <c r="N7" s="2"/>
      <c r="O7" s="2">
        <f t="shared" si="5"/>
        <v>0</v>
      </c>
      <c r="P7" s="6"/>
    </row>
    <row r="8" spans="1:16" ht="33" x14ac:dyDescent="0.15">
      <c r="A8" s="24"/>
      <c r="B8" s="15" t="s">
        <v>21</v>
      </c>
      <c r="C8" s="2">
        <f>SUM(SUMIF(甲类仓库C1!$I:$I,{"檩条","屋面板"},甲类仓库C1!$F:$F))</f>
        <v>644.8900000000001</v>
      </c>
      <c r="D8" s="2">
        <f>SUM(SUMIF(甲类仓库C1!$I:$I,{"檩条","屋面板"},甲类仓库C1!$H:$H))</f>
        <v>6.46</v>
      </c>
      <c r="E8" s="2">
        <f t="shared" si="2"/>
        <v>99.828173374613016</v>
      </c>
      <c r="F8" s="2"/>
      <c r="G8" s="2">
        <f t="shared" si="0"/>
        <v>0</v>
      </c>
      <c r="H8" s="6" t="s">
        <v>49</v>
      </c>
      <c r="J8" s="15" t="s">
        <v>588</v>
      </c>
      <c r="K8" s="2">
        <f t="shared" si="3"/>
        <v>4423.7700000000004</v>
      </c>
      <c r="L8" s="2">
        <f t="shared" si="1"/>
        <v>194.39999999999986</v>
      </c>
      <c r="M8" s="2">
        <f t="shared" si="4"/>
        <v>22.756018518518538</v>
      </c>
      <c r="N8" s="2"/>
      <c r="O8" s="2">
        <f t="shared" si="5"/>
        <v>0</v>
      </c>
      <c r="P8" s="6" t="s">
        <v>591</v>
      </c>
    </row>
    <row r="9" spans="1:16" ht="18" x14ac:dyDescent="0.15">
      <c r="A9" s="22" t="s">
        <v>30</v>
      </c>
      <c r="B9" s="15" t="s">
        <v>17</v>
      </c>
      <c r="C9" s="2">
        <f>SUM(SUMIF(甲类仓库C2!$I:$I,{"柱间支撑"},甲类仓库C2!$F:$F))</f>
        <v>45.27</v>
      </c>
      <c r="D9" s="2">
        <f>SUM(SUMIF(甲类仓库C2!$I:$I,{"柱间支撑"},甲类仓库C2!$H:$H))</f>
        <v>2.31</v>
      </c>
      <c r="E9" s="2">
        <f t="shared" si="2"/>
        <v>19.597402597402599</v>
      </c>
      <c r="F9" s="2"/>
      <c r="G9" s="2">
        <f t="shared" si="0"/>
        <v>0</v>
      </c>
      <c r="H9" s="6" t="s">
        <v>47</v>
      </c>
      <c r="J9" s="16" t="s">
        <v>590</v>
      </c>
      <c r="K9" s="3">
        <f>SUM(K3:K8)</f>
        <v>22152.980000000003</v>
      </c>
      <c r="L9" s="3">
        <f>SUM(L3:L8)</f>
        <v>780.13999999999987</v>
      </c>
      <c r="M9" s="3"/>
      <c r="N9" s="3"/>
      <c r="O9" s="3">
        <f>SUM(O3:O8)</f>
        <v>0</v>
      </c>
      <c r="P9" s="16"/>
    </row>
    <row r="10" spans="1:16" x14ac:dyDescent="0.15">
      <c r="A10" s="23"/>
      <c r="B10" s="15" t="s">
        <v>23</v>
      </c>
      <c r="C10" s="2">
        <f>SUM(SUMIF(甲类仓库C2!$I:$I,{"钢梁","屋盖支撑","系杆"},甲类仓库C2!$F:$F))</f>
        <v>410.24</v>
      </c>
      <c r="D10" s="2">
        <f>SUM(SUMIF(甲类仓库C2!$I:$I,{"钢梁","屋盖支撑","系杆"},甲类仓库C2!$H:$H))</f>
        <v>16.079999999999998</v>
      </c>
      <c r="E10" s="2">
        <f t="shared" si="2"/>
        <v>25.512437810945276</v>
      </c>
      <c r="F10" s="2"/>
      <c r="G10" s="2">
        <f t="shared" si="0"/>
        <v>0</v>
      </c>
      <c r="H10" s="6" t="s">
        <v>48</v>
      </c>
    </row>
    <row r="11" spans="1:16" x14ac:dyDescent="0.15">
      <c r="A11" s="24"/>
      <c r="B11" s="15" t="s">
        <v>20</v>
      </c>
      <c r="C11" s="2">
        <f>SUM(SUMIF(甲类仓库C2!$I:$I,{"檩条","屋面板"},甲类仓库C2!$F:$F))</f>
        <v>644.8900000000001</v>
      </c>
      <c r="D11" s="2">
        <f>SUM(SUMIF(甲类仓库C2!$I:$I,{"檩条","屋面板"},甲类仓库C2!$H:$H))</f>
        <v>6.46</v>
      </c>
      <c r="E11" s="2">
        <f t="shared" si="2"/>
        <v>99.828173374613016</v>
      </c>
      <c r="F11" s="2"/>
      <c r="G11" s="2">
        <f t="shared" si="0"/>
        <v>0</v>
      </c>
      <c r="H11" s="6" t="s">
        <v>49</v>
      </c>
    </row>
    <row r="12" spans="1:16" x14ac:dyDescent="0.15">
      <c r="A12" s="22" t="s">
        <v>31</v>
      </c>
      <c r="B12" s="15" t="s">
        <v>17</v>
      </c>
      <c r="C12" s="2">
        <f>SUM(SUMIF(丙类仓库D1!$I:$I,{"柱间支撑"},丙类仓库D1!$F:$F))</f>
        <v>52.480000000000018</v>
      </c>
      <c r="D12" s="2">
        <f>SUM(SUMIF(丙类仓库D1!$I:$I,{"柱间支撑"},丙类仓库D1!$H:$H))</f>
        <v>1.9000000000000004</v>
      </c>
      <c r="E12" s="2">
        <f t="shared" si="2"/>
        <v>27.621052631578952</v>
      </c>
      <c r="F12" s="2"/>
      <c r="G12" s="2">
        <f t="shared" si="0"/>
        <v>0</v>
      </c>
      <c r="H12" s="6" t="s">
        <v>47</v>
      </c>
    </row>
    <row r="13" spans="1:16" x14ac:dyDescent="0.15">
      <c r="A13" s="23"/>
      <c r="B13" s="15" t="s">
        <v>23</v>
      </c>
      <c r="C13" s="2">
        <f>SUM(SUMIF(丙类仓库D1!$I:$I,{"钢梁","屋盖支撑","系杆"},丙类仓库D1!$F:$F))</f>
        <v>733.34000000000015</v>
      </c>
      <c r="D13" s="2">
        <f>SUM(SUMIF(丙类仓库D1!$I:$I,{"钢梁","屋盖支撑","系杆"},丙类仓库D1!$H:$H))</f>
        <v>26.94</v>
      </c>
      <c r="E13" s="2">
        <f t="shared" si="2"/>
        <v>27.221232368225692</v>
      </c>
      <c r="F13" s="2"/>
      <c r="G13" s="2">
        <f t="shared" si="0"/>
        <v>0</v>
      </c>
      <c r="H13" s="6" t="s">
        <v>48</v>
      </c>
    </row>
    <row r="14" spans="1:16" x14ac:dyDescent="0.15">
      <c r="A14" s="24"/>
      <c r="B14" s="15" t="s">
        <v>20</v>
      </c>
      <c r="C14" s="2">
        <f>SUM(SUMIF(丙类仓库D1!$I:$I,{"檩条","屋面板"},丙类仓库D1!$F:$F))</f>
        <v>1243.52</v>
      </c>
      <c r="D14" s="2">
        <f>SUM(SUMIF(丙类仓库D1!$I:$I,{"檩条","屋面板"},丙类仓库D1!$H:$H))</f>
        <v>12.440000000000001</v>
      </c>
      <c r="E14" s="2">
        <f t="shared" si="2"/>
        <v>99.96141479099677</v>
      </c>
      <c r="F14" s="2"/>
      <c r="G14" s="2">
        <f t="shared" si="0"/>
        <v>0</v>
      </c>
      <c r="H14" s="6" t="s">
        <v>49</v>
      </c>
    </row>
    <row r="15" spans="1:16" x14ac:dyDescent="0.15">
      <c r="A15" s="22" t="s">
        <v>32</v>
      </c>
      <c r="B15" s="15" t="s">
        <v>17</v>
      </c>
      <c r="C15" s="2">
        <f>SUM(SUMIF(丙类仓库D2!$I:$I,{"柱间支撑"},丙类仓库D2!$F:$F))</f>
        <v>52.480000000000018</v>
      </c>
      <c r="D15" s="2">
        <f>SUM(SUMIF(丙类仓库D2!$I:$I,{"柱间支撑"},丙类仓库D2!$H:$H))</f>
        <v>1.9000000000000004</v>
      </c>
      <c r="E15" s="2">
        <f t="shared" si="2"/>
        <v>27.621052631578952</v>
      </c>
      <c r="F15" s="2"/>
      <c r="G15" s="2">
        <f t="shared" si="0"/>
        <v>0</v>
      </c>
      <c r="H15" s="6" t="s">
        <v>47</v>
      </c>
    </row>
    <row r="16" spans="1:16" x14ac:dyDescent="0.15">
      <c r="A16" s="23"/>
      <c r="B16" s="15" t="s">
        <v>23</v>
      </c>
      <c r="C16" s="2">
        <f>SUM(SUMIF(丙类仓库D2!$I:$I,{"钢梁","屋盖支撑","系杆"},丙类仓库D2!$F:$F))</f>
        <v>733.34000000000015</v>
      </c>
      <c r="D16" s="2">
        <f>SUM(SUMIF(丙类仓库D2!$I:$I,{"钢梁","屋盖支撑","系杆"},丙类仓库D2!$H:$H))</f>
        <v>26.94</v>
      </c>
      <c r="E16" s="2">
        <f t="shared" si="2"/>
        <v>27.221232368225692</v>
      </c>
      <c r="F16" s="2"/>
      <c r="G16" s="2">
        <f t="shared" si="0"/>
        <v>0</v>
      </c>
      <c r="H16" s="6" t="s">
        <v>48</v>
      </c>
    </row>
    <row r="17" spans="1:8" x14ac:dyDescent="0.15">
      <c r="A17" s="24"/>
      <c r="B17" s="15" t="s">
        <v>20</v>
      </c>
      <c r="C17" s="2">
        <f>SUM(SUMIF(丙类仓库D2!$I:$I,{"檩条","屋面板"},丙类仓库D2!$F:$F))</f>
        <v>1243.52</v>
      </c>
      <c r="D17" s="2">
        <f>SUM(SUMIF(丙类仓库D2!$I:$I,{"檩条","屋面板"},丙类仓库D2!$H:$H))</f>
        <v>12.440000000000001</v>
      </c>
      <c r="E17" s="2">
        <f t="shared" si="2"/>
        <v>99.96141479099677</v>
      </c>
      <c r="F17" s="2"/>
      <c r="G17" s="2">
        <f t="shared" si="0"/>
        <v>0</v>
      </c>
      <c r="H17" s="6" t="s">
        <v>49</v>
      </c>
    </row>
    <row r="18" spans="1:8" x14ac:dyDescent="0.15">
      <c r="A18" s="5" t="s">
        <v>33</v>
      </c>
      <c r="B18" s="15" t="s">
        <v>34</v>
      </c>
      <c r="C18" s="2">
        <f>SUM(SUMIF(危废库!$I:$I,{"檩条","屋面板"},危废库!$F:$F))</f>
        <v>134.74999999999997</v>
      </c>
      <c r="D18" s="2">
        <f>SUM(SUMIF(危废库!$I:$I,{"檩条","屋面板"},危废库!$H:$H))</f>
        <v>1.1900000000000002</v>
      </c>
      <c r="E18" s="2">
        <f t="shared" si="2"/>
        <v>113.23529411764702</v>
      </c>
      <c r="F18" s="2"/>
      <c r="G18" s="2">
        <f t="shared" si="0"/>
        <v>0</v>
      </c>
      <c r="H18" s="6" t="s">
        <v>49</v>
      </c>
    </row>
    <row r="19" spans="1:8" x14ac:dyDescent="0.15">
      <c r="A19" s="22" t="s">
        <v>41</v>
      </c>
      <c r="B19" s="15" t="s">
        <v>40</v>
      </c>
      <c r="C19" s="2">
        <f>SUM(SUMIF(酸碱类泵棚!$I:$I,{"钢柱"},酸碱类泵棚!$F:$F))</f>
        <v>31.27</v>
      </c>
      <c r="D19" s="2">
        <f>SUM(SUMIF(酸碱类泵棚!$I:$I,{"钢柱"},酸碱类泵棚!$H:$H))</f>
        <v>1.76</v>
      </c>
      <c r="E19" s="2">
        <f t="shared" si="2"/>
        <v>17.767045454545453</v>
      </c>
      <c r="F19" s="2"/>
      <c r="G19" s="2">
        <f t="shared" si="0"/>
        <v>0</v>
      </c>
      <c r="H19" s="6" t="s">
        <v>47</v>
      </c>
    </row>
    <row r="20" spans="1:8" x14ac:dyDescent="0.15">
      <c r="A20" s="23"/>
      <c r="B20" s="15" t="s">
        <v>38</v>
      </c>
      <c r="C20" s="2">
        <f>SUM(SUMIF(酸碱类泵棚!$I:$I,{"钢梁","屋盖支撑","系杆"},酸碱类泵棚!$F:$F))</f>
        <v>68.14</v>
      </c>
      <c r="D20" s="2">
        <f>SUM(SUMIF(酸碱类泵棚!$I:$I,{"钢梁","屋盖支撑","系杆"},酸碱类泵棚!$H:$H))</f>
        <v>2.04</v>
      </c>
      <c r="E20" s="2">
        <f t="shared" si="2"/>
        <v>33.401960784313722</v>
      </c>
      <c r="F20" s="2"/>
      <c r="G20" s="2">
        <f t="shared" si="0"/>
        <v>0</v>
      </c>
      <c r="H20" s="6" t="s">
        <v>50</v>
      </c>
    </row>
    <row r="21" spans="1:8" x14ac:dyDescent="0.15">
      <c r="A21" s="24"/>
      <c r="B21" s="15" t="s">
        <v>34</v>
      </c>
      <c r="C21" s="2">
        <f>SUM(SUMIF(酸碱类泵棚!$I:$I,{"檩条"},酸碱类泵棚!$F:$F))</f>
        <v>62.64</v>
      </c>
      <c r="D21" s="2">
        <f>SUM(SUMIF(酸碱类泵棚!$I:$I,{"檩条"},酸碱类泵棚!$H:$H))</f>
        <v>0.61</v>
      </c>
      <c r="E21" s="2">
        <f t="shared" si="2"/>
        <v>102.68852459016394</v>
      </c>
      <c r="F21" s="2"/>
      <c r="G21" s="2">
        <f t="shared" si="0"/>
        <v>0</v>
      </c>
      <c r="H21" s="6" t="s">
        <v>49</v>
      </c>
    </row>
    <row r="22" spans="1:8" x14ac:dyDescent="0.15">
      <c r="A22" s="22" t="s">
        <v>42</v>
      </c>
      <c r="B22" s="15" t="s">
        <v>39</v>
      </c>
      <c r="C22" s="2">
        <f>SUM(SUMIF(甲乙类泵棚!$I:$I,{"钢柱"},甲乙类泵棚!$F:$F))</f>
        <v>93.18</v>
      </c>
      <c r="D22" s="2">
        <f>SUM(SUMIF(甲乙类泵棚!$I:$I,{"钢柱"},甲乙类泵棚!$H:$H))</f>
        <v>5.1000000000000005</v>
      </c>
      <c r="E22" s="2">
        <f t="shared" si="2"/>
        <v>18.270588235294117</v>
      </c>
      <c r="F22" s="2"/>
      <c r="G22" s="2">
        <f t="shared" ref="G22:G29" si="6">C22*F22</f>
        <v>0</v>
      </c>
      <c r="H22" s="6" t="s">
        <v>47</v>
      </c>
    </row>
    <row r="23" spans="1:8" x14ac:dyDescent="0.15">
      <c r="A23" s="23"/>
      <c r="B23" s="15" t="s">
        <v>23</v>
      </c>
      <c r="C23" s="2">
        <f>SUM(SUMIF(甲乙类泵棚!$I:$I,{"钢梁","屋盖支撑","系杆"},甲乙类泵棚!$F:$F))</f>
        <v>291.84000000000003</v>
      </c>
      <c r="D23" s="2">
        <f>SUM(SUMIF(甲乙类泵棚!$I:$I,{"钢梁","屋盖支撑","系杆"},甲乙类泵棚!$H:$H))</f>
        <v>9.1800000000000015</v>
      </c>
      <c r="E23" s="2">
        <f t="shared" si="2"/>
        <v>31.790849673202612</v>
      </c>
      <c r="F23" s="2"/>
      <c r="G23" s="2">
        <f t="shared" si="6"/>
        <v>0</v>
      </c>
      <c r="H23" s="6" t="s">
        <v>50</v>
      </c>
    </row>
    <row r="24" spans="1:8" x14ac:dyDescent="0.15">
      <c r="A24" s="24"/>
      <c r="B24" s="15" t="s">
        <v>20</v>
      </c>
      <c r="C24" s="2">
        <f>SUM(SUMIF(甲乙类泵棚!$I:$I,{"檩条"},甲乙类泵棚!$F:$F))</f>
        <v>224.47</v>
      </c>
      <c r="D24" s="2">
        <f>SUM(SUMIF(甲乙类泵棚!$I:$I,{"檩条"},甲乙类泵棚!$H:$H))</f>
        <v>2.2099999999999995</v>
      </c>
      <c r="E24" s="2">
        <f t="shared" si="2"/>
        <v>101.57013574660635</v>
      </c>
      <c r="F24" s="2"/>
      <c r="G24" s="2">
        <f t="shared" si="6"/>
        <v>0</v>
      </c>
      <c r="H24" s="6" t="s">
        <v>49</v>
      </c>
    </row>
    <row r="25" spans="1:8" x14ac:dyDescent="0.15">
      <c r="A25" s="22" t="s">
        <v>206</v>
      </c>
      <c r="B25" s="15" t="s">
        <v>39</v>
      </c>
      <c r="C25" s="2">
        <f>SUM(SUMIF(罐区管架!$I:$I,{"钢柱"},罐区管架!$F:$F))</f>
        <v>129.96</v>
      </c>
      <c r="D25" s="2">
        <f>SUM(SUMIF(罐区管架!$I:$I,{"钢柱"},罐区管架!$H:$H))</f>
        <v>6.63</v>
      </c>
      <c r="E25" s="2">
        <f t="shared" si="2"/>
        <v>19.601809954751133</v>
      </c>
      <c r="F25" s="2"/>
      <c r="G25" s="2">
        <f t="shared" si="6"/>
        <v>0</v>
      </c>
      <c r="H25" s="6" t="s">
        <v>47</v>
      </c>
    </row>
    <row r="26" spans="1:8" x14ac:dyDescent="0.15">
      <c r="A26" s="24"/>
      <c r="B26" s="15" t="s">
        <v>43</v>
      </c>
      <c r="C26" s="2">
        <f>SUM(SUMIF(罐区管架!$I:$I,{"钢梁"},罐区管架!$F:$F))</f>
        <v>375.73</v>
      </c>
      <c r="D26" s="2">
        <f>SUM(SUMIF(罐区管架!$I:$I,{"钢梁"},罐区管架!$H:$H))</f>
        <v>14.03</v>
      </c>
      <c r="E26" s="2">
        <f t="shared" si="2"/>
        <v>26.780470420527443</v>
      </c>
      <c r="F26" s="2"/>
      <c r="G26" s="2">
        <f t="shared" si="6"/>
        <v>0</v>
      </c>
      <c r="H26" s="6" t="s">
        <v>50</v>
      </c>
    </row>
    <row r="27" spans="1:8" x14ac:dyDescent="0.15">
      <c r="A27" s="22" t="s">
        <v>44</v>
      </c>
      <c r="B27" s="15" t="s">
        <v>37</v>
      </c>
      <c r="C27" s="2">
        <f>SUM(SUMIF(胶粘剂厂房!$I:$I,{"钢柱","柱间支撑"},胶粘剂厂房!$F:$F))</f>
        <v>79.590000000000018</v>
      </c>
      <c r="D27" s="2">
        <f>SUM(SUMIF(胶粘剂厂房!$I:$I,{"钢柱","柱间支撑"},胶粘剂厂房!$H:$H))</f>
        <v>3.9499999999999997</v>
      </c>
      <c r="E27" s="2">
        <f t="shared" si="2"/>
        <v>20.149367088607601</v>
      </c>
      <c r="F27" s="2"/>
      <c r="G27" s="2">
        <f t="shared" si="6"/>
        <v>0</v>
      </c>
      <c r="H27" s="6" t="s">
        <v>51</v>
      </c>
    </row>
    <row r="28" spans="1:8" x14ac:dyDescent="0.15">
      <c r="A28" s="23"/>
      <c r="B28" s="15" t="s">
        <v>19</v>
      </c>
      <c r="C28" s="2">
        <f>SUM(SUMIF(胶粘剂厂房!$I:$I,{"钢梁"},胶粘剂厂房!$F:$F))</f>
        <v>985.55999999999972</v>
      </c>
      <c r="D28" s="2">
        <f>SUM(SUMIF(胶粘剂厂房!$I:$I,{"钢梁"},胶粘剂厂房!$H:$H))</f>
        <v>35.610000000000007</v>
      </c>
      <c r="E28" s="2">
        <f t="shared" si="2"/>
        <v>27.676495366470078</v>
      </c>
      <c r="F28" s="2"/>
      <c r="G28" s="2">
        <f t="shared" si="6"/>
        <v>0</v>
      </c>
      <c r="H28" s="6" t="s">
        <v>50</v>
      </c>
    </row>
    <row r="29" spans="1:8" x14ac:dyDescent="0.15">
      <c r="A29" s="24"/>
      <c r="B29" s="15" t="s">
        <v>46</v>
      </c>
      <c r="C29" s="2">
        <f>SUM(SUMIF(胶粘剂厂房!$I:$I,{"平台板"},胶粘剂厂房!$F:$F))</f>
        <v>249.25999999999993</v>
      </c>
      <c r="D29" s="2">
        <f>SUM(SUMIF(胶粘剂厂房!$I:$I,{"平台板"},胶粘剂厂房!$H:$H))</f>
        <v>10.389999999999985</v>
      </c>
      <c r="E29" s="2">
        <f t="shared" si="2"/>
        <v>23.990375360923995</v>
      </c>
      <c r="F29" s="2"/>
      <c r="G29" s="2">
        <f t="shared" si="6"/>
        <v>0</v>
      </c>
      <c r="H29" s="6" t="s">
        <v>48</v>
      </c>
    </row>
    <row r="30" spans="1:8" x14ac:dyDescent="0.15">
      <c r="A30" s="22" t="s">
        <v>52</v>
      </c>
      <c r="B30" s="15" t="s">
        <v>36</v>
      </c>
      <c r="C30" s="2">
        <f>SUM(SUMIF(军用助剂厂房!$I:$I,{"钢柱","柱间支撑"},军用助剂厂房!$F:$F))</f>
        <v>194.08</v>
      </c>
      <c r="D30" s="2">
        <f>SUM(SUMIF(军用助剂厂房!$I:$I,{"钢柱","柱间支撑"},军用助剂厂房!$H:$H))</f>
        <v>10.139999999999999</v>
      </c>
      <c r="E30" s="2">
        <f t="shared" si="2"/>
        <v>19.140039447731759</v>
      </c>
      <c r="F30" s="2"/>
      <c r="G30" s="2">
        <f t="shared" ref="G30:G35" si="7">C30*F30</f>
        <v>0</v>
      </c>
      <c r="H30" s="6" t="s">
        <v>51</v>
      </c>
    </row>
    <row r="31" spans="1:8" x14ac:dyDescent="0.15">
      <c r="A31" s="23"/>
      <c r="B31" s="15" t="s">
        <v>18</v>
      </c>
      <c r="C31" s="2">
        <f>SUM(SUMIF(军用助剂厂房!$I:$I,{"钢梁"},军用助剂厂房!$F:$F))</f>
        <v>1281.7000000000003</v>
      </c>
      <c r="D31" s="2">
        <f>SUM(SUMIF(军用助剂厂房!$I:$I,{"钢梁"},军用助剂厂房!$H:$H))</f>
        <v>47.040000000000028</v>
      </c>
      <c r="E31" s="2">
        <f t="shared" si="2"/>
        <v>27.2470238095238</v>
      </c>
      <c r="F31" s="2"/>
      <c r="G31" s="2">
        <f t="shared" si="7"/>
        <v>0</v>
      </c>
      <c r="H31" s="6" t="s">
        <v>50</v>
      </c>
    </row>
    <row r="32" spans="1:8" x14ac:dyDescent="0.15">
      <c r="A32" s="24"/>
      <c r="B32" s="15" t="s">
        <v>45</v>
      </c>
      <c r="C32" s="2">
        <f>SUM(SUMIF(军用助剂厂房!$I:$I,{"平台板"},军用助剂厂房!$F:$F))</f>
        <v>840.38000000000045</v>
      </c>
      <c r="D32" s="2">
        <f>SUM(SUMIF(军用助剂厂房!$I:$I,{"平台板"},军用助剂厂房!$H:$H))</f>
        <v>37.500000000000007</v>
      </c>
      <c r="E32" s="2">
        <f t="shared" si="2"/>
        <v>22.410133333333341</v>
      </c>
      <c r="F32" s="2"/>
      <c r="G32" s="2">
        <f t="shared" si="7"/>
        <v>0</v>
      </c>
      <c r="H32" s="6" t="s">
        <v>48</v>
      </c>
    </row>
    <row r="33" spans="1:8" x14ac:dyDescent="0.15">
      <c r="A33" s="22" t="s">
        <v>53</v>
      </c>
      <c r="B33" s="15" t="s">
        <v>39</v>
      </c>
      <c r="C33" s="2">
        <f>SUM(SUMIF(卸车泵棚!$I:$I,{"钢柱"},卸车泵棚!$F:$F))</f>
        <v>110.16</v>
      </c>
      <c r="D33" s="2">
        <f>SUM(SUMIF(卸车泵棚!$I:$I,{"钢柱"},卸车泵棚!$H:$H))</f>
        <v>5.62</v>
      </c>
      <c r="E33" s="2">
        <f t="shared" si="2"/>
        <v>19.601423487544483</v>
      </c>
      <c r="F33" s="2"/>
      <c r="G33" s="2">
        <f t="shared" si="7"/>
        <v>0</v>
      </c>
      <c r="H33" s="6" t="s">
        <v>47</v>
      </c>
    </row>
    <row r="34" spans="1:8" x14ac:dyDescent="0.15">
      <c r="A34" s="23"/>
      <c r="B34" s="15" t="s">
        <v>23</v>
      </c>
      <c r="C34" s="2">
        <f>SUM(SUMIF(卸车泵棚!$I:$I,{"钢梁","屋盖支撑","系杆"},卸车泵棚!$F:$F))</f>
        <v>357.94</v>
      </c>
      <c r="D34" s="2">
        <f>SUM(SUMIF(卸车泵棚!$I:$I,{"钢梁","屋盖支撑","系杆"},卸车泵棚!$H:$H))</f>
        <v>11.67</v>
      </c>
      <c r="E34" s="2">
        <f t="shared" si="2"/>
        <v>30.671808054841474</v>
      </c>
      <c r="F34" s="2"/>
      <c r="G34" s="2">
        <f t="shared" si="7"/>
        <v>0</v>
      </c>
      <c r="H34" s="6" t="s">
        <v>50</v>
      </c>
    </row>
    <row r="35" spans="1:8" x14ac:dyDescent="0.15">
      <c r="A35" s="24"/>
      <c r="B35" s="15" t="s">
        <v>20</v>
      </c>
      <c r="C35" s="2">
        <f>SUM(SUMIF(卸车泵棚!$I:$I,{"檩条"},卸车泵棚!$F:$F))</f>
        <v>207.89000000000001</v>
      </c>
      <c r="D35" s="2">
        <f>SUM(SUMIF(卸车泵棚!$I:$I,{"檩条"},卸车泵棚!$H:$H))</f>
        <v>2.0399999999999996</v>
      </c>
      <c r="E35" s="2">
        <f t="shared" si="2"/>
        <v>101.90686274509807</v>
      </c>
      <c r="F35" s="2"/>
      <c r="G35" s="2">
        <f t="shared" si="7"/>
        <v>0</v>
      </c>
      <c r="H35" s="6" t="s">
        <v>49</v>
      </c>
    </row>
    <row r="36" spans="1:8" x14ac:dyDescent="0.15">
      <c r="A36" s="22" t="s">
        <v>54</v>
      </c>
      <c r="B36" s="15" t="s">
        <v>39</v>
      </c>
      <c r="C36" s="2">
        <f>SUM(SUMIF(卸车台!$I:$I,{"钢柱"},卸车台!$F:$F))</f>
        <v>236.18</v>
      </c>
      <c r="D36" s="2">
        <f>SUM(SUMIF(卸车台!$I:$I,{"钢柱"},卸车台!$H:$H))</f>
        <v>15.05</v>
      </c>
      <c r="E36" s="2">
        <f t="shared" si="2"/>
        <v>15.693023255813953</v>
      </c>
      <c r="F36" s="2"/>
      <c r="G36" s="2">
        <f t="shared" ref="G36:G41" si="8">C36*F36</f>
        <v>0</v>
      </c>
      <c r="H36" s="6" t="s">
        <v>47</v>
      </c>
    </row>
    <row r="37" spans="1:8" x14ac:dyDescent="0.15">
      <c r="A37" s="23"/>
      <c r="B37" s="15" t="s">
        <v>23</v>
      </c>
      <c r="C37" s="2">
        <f>SUM(SUMIF(卸车台!$I:$I,{"钢梁","屋盖支撑","系杆"},卸车台!$F:$F))</f>
        <v>390.31000000000012</v>
      </c>
      <c r="D37" s="2">
        <f>SUM(SUMIF(卸车台!$I:$I,{"钢梁","屋盖支撑","系杆"},卸车台!$H:$H))</f>
        <v>12.87</v>
      </c>
      <c r="E37" s="2">
        <f t="shared" si="2"/>
        <v>30.327117327117339</v>
      </c>
      <c r="F37" s="2"/>
      <c r="G37" s="2">
        <f t="shared" si="8"/>
        <v>0</v>
      </c>
      <c r="H37" s="6" t="s">
        <v>50</v>
      </c>
    </row>
    <row r="38" spans="1:8" x14ac:dyDescent="0.15">
      <c r="A38" s="24"/>
      <c r="B38" s="15" t="s">
        <v>20</v>
      </c>
      <c r="C38" s="2">
        <f>SUM(SUMIF(卸车台!$I:$I,{"檩条"},卸车台!$F:$F))</f>
        <v>249.15</v>
      </c>
      <c r="D38" s="2">
        <f>SUM(SUMIF(卸车台!$I:$I,{"檩条"},卸车台!$H:$H))</f>
        <v>2.4499999999999993</v>
      </c>
      <c r="E38" s="2">
        <f t="shared" si="2"/>
        <v>101.69387755102044</v>
      </c>
      <c r="F38" s="2"/>
      <c r="G38" s="2">
        <f t="shared" si="8"/>
        <v>0</v>
      </c>
      <c r="H38" s="6" t="s">
        <v>49</v>
      </c>
    </row>
    <row r="39" spans="1:8" x14ac:dyDescent="0.15">
      <c r="A39" s="22" t="s">
        <v>55</v>
      </c>
      <c r="B39" s="15" t="s">
        <v>56</v>
      </c>
      <c r="C39" s="2">
        <f>SUM(SUMIF(阻燃剂厂房!$I:$I,{"钢柱","柱间支撑"},阻燃剂厂房!$F:$F))</f>
        <v>11.88</v>
      </c>
      <c r="D39" s="2">
        <f>SUM(SUMIF(阻燃剂厂房!$I:$I,{"钢柱","柱间支撑"},阻燃剂厂房!$H:$H))</f>
        <v>0.48</v>
      </c>
      <c r="E39" s="2">
        <f t="shared" si="2"/>
        <v>24.750000000000004</v>
      </c>
      <c r="F39" s="2"/>
      <c r="G39" s="2">
        <f t="shared" si="8"/>
        <v>0</v>
      </c>
      <c r="H39" s="6" t="s">
        <v>51</v>
      </c>
    </row>
    <row r="40" spans="1:8" x14ac:dyDescent="0.15">
      <c r="A40" s="23"/>
      <c r="B40" s="15" t="s">
        <v>15</v>
      </c>
      <c r="C40" s="2">
        <f>SUM(SUMIF(阻燃剂厂房!$I:$I,{"钢梁"},阻燃剂厂房!$F:$F))</f>
        <v>549.17999999999995</v>
      </c>
      <c r="D40" s="2">
        <f>SUM(SUMIF(阻燃剂厂房!$I:$I,{"钢梁"},阻燃剂厂房!$H:$H))</f>
        <v>20.91</v>
      </c>
      <c r="E40" s="2">
        <f t="shared" si="2"/>
        <v>26.263988522238161</v>
      </c>
      <c r="F40" s="2"/>
      <c r="G40" s="2">
        <f t="shared" si="8"/>
        <v>0</v>
      </c>
      <c r="H40" s="6" t="s">
        <v>50</v>
      </c>
    </row>
    <row r="41" spans="1:8" x14ac:dyDescent="0.15">
      <c r="A41" s="24"/>
      <c r="B41" s="15" t="s">
        <v>57</v>
      </c>
      <c r="C41" s="2">
        <f>SUM(SUMIF(阻燃剂厂房!$I:$I,{"平台板"},阻燃剂厂房!$F:$F))</f>
        <v>345.85999999999996</v>
      </c>
      <c r="D41" s="2">
        <f>SUM(SUMIF(阻燃剂厂房!$I:$I,{"平台板"},阻燃剂厂房!$H:$H))</f>
        <v>13.699999999999996</v>
      </c>
      <c r="E41" s="2">
        <f t="shared" si="2"/>
        <v>25.245255474452559</v>
      </c>
      <c r="F41" s="2"/>
      <c r="G41" s="2">
        <f t="shared" si="8"/>
        <v>0</v>
      </c>
      <c r="H41" s="6" t="s">
        <v>48</v>
      </c>
    </row>
    <row r="42" spans="1:8" x14ac:dyDescent="0.15">
      <c r="A42" s="22" t="s">
        <v>35</v>
      </c>
      <c r="B42" s="15" t="s">
        <v>470</v>
      </c>
      <c r="C42" s="2">
        <f>SUM(SUMIF(管廊!$I:$I,{"柱火","柱撑火"},管廊!$F:$F))</f>
        <v>1503.1199999999994</v>
      </c>
      <c r="D42" s="2">
        <f>SUM(SUMIF(管廊!$I:$I,{"柱火","柱撑火"},管廊!$H:$H))</f>
        <v>90.850000000000037</v>
      </c>
      <c r="E42" s="2">
        <f t="shared" si="2"/>
        <v>16.545074298293876</v>
      </c>
      <c r="F42" s="2"/>
      <c r="G42" s="2">
        <f>C42*F42</f>
        <v>0</v>
      </c>
      <c r="H42" s="6" t="s">
        <v>47</v>
      </c>
    </row>
    <row r="43" spans="1:8" x14ac:dyDescent="0.15">
      <c r="A43" s="23"/>
      <c r="B43" s="15" t="s">
        <v>471</v>
      </c>
      <c r="C43" s="2">
        <f>SUM(SUMIF(管廊!$I:$I,{"柱腐","柱撑腐"},管廊!$F:$F))</f>
        <v>899.86999999999966</v>
      </c>
      <c r="D43" s="2">
        <f>SUM(SUMIF(管廊!$I:$I,{"柱腐","柱撑腐"},管廊!$H:$H))</f>
        <v>54.86999999999999</v>
      </c>
      <c r="E43" s="2">
        <f t="shared" si="2"/>
        <v>16.400036449790409</v>
      </c>
      <c r="F43" s="2"/>
      <c r="G43" s="2">
        <f t="shared" ref="G43:G45" si="9">C43*F43</f>
        <v>0</v>
      </c>
      <c r="H43" s="6" t="s">
        <v>589</v>
      </c>
    </row>
    <row r="44" spans="1:8" x14ac:dyDescent="0.15">
      <c r="A44" s="23"/>
      <c r="B44" s="15" t="s">
        <v>472</v>
      </c>
      <c r="C44" s="2">
        <f>SUM(SUMIF(管廊!$I:$I,{"梁火"},管廊!$F:$F))</f>
        <v>2134.2900000000013</v>
      </c>
      <c r="D44" s="2">
        <f>SUM(SUMIF(管廊!$I:$I,{"梁火"},管廊!$H:$H))</f>
        <v>82.950000000000017</v>
      </c>
      <c r="E44" s="2">
        <f t="shared" si="2"/>
        <v>25.729837251356248</v>
      </c>
      <c r="F44" s="2"/>
      <c r="G44" s="2">
        <f t="shared" si="9"/>
        <v>0</v>
      </c>
      <c r="H44" s="6" t="s">
        <v>474</v>
      </c>
    </row>
    <row r="45" spans="1:8" x14ac:dyDescent="0.15">
      <c r="A45" s="24"/>
      <c r="B45" s="15" t="s">
        <v>473</v>
      </c>
      <c r="C45" s="2">
        <f>SUM(SUMIF(管廊!$I:$I,{"梁腐"},管廊!$F:$F))</f>
        <v>3523.9000000000005</v>
      </c>
      <c r="D45" s="2">
        <f>SUM(SUMIF(管廊!$I:$I,{"梁腐"},管廊!$H:$H))</f>
        <v>139.52999999999989</v>
      </c>
      <c r="E45" s="2">
        <f t="shared" si="2"/>
        <v>25.255500609188012</v>
      </c>
      <c r="F45" s="2"/>
      <c r="G45" s="2">
        <f t="shared" si="9"/>
        <v>0</v>
      </c>
      <c r="H45" s="6" t="s">
        <v>589</v>
      </c>
    </row>
    <row r="46" spans="1:8" ht="18" x14ac:dyDescent="0.15">
      <c r="A46" s="26" t="s">
        <v>7</v>
      </c>
      <c r="B46" s="27"/>
      <c r="C46" s="3">
        <f>SUM(C3:C45)</f>
        <v>22152.980000000003</v>
      </c>
      <c r="D46" s="3">
        <f>SUM(D3:D45)</f>
        <v>780.14</v>
      </c>
      <c r="E46" s="3"/>
      <c r="F46" s="3"/>
      <c r="G46" s="3">
        <f>SUM(G3:G45)</f>
        <v>0</v>
      </c>
      <c r="H46" s="4"/>
    </row>
  </sheetData>
  <mergeCells count="17">
    <mergeCell ref="A46:B46"/>
    <mergeCell ref="A42:A45"/>
    <mergeCell ref="A19:A21"/>
    <mergeCell ref="A22:A24"/>
    <mergeCell ref="A25:A26"/>
    <mergeCell ref="A27:A29"/>
    <mergeCell ref="A30:A32"/>
    <mergeCell ref="A33:A35"/>
    <mergeCell ref="A36:A38"/>
    <mergeCell ref="A39:A41"/>
    <mergeCell ref="A9:A11"/>
    <mergeCell ref="A12:A14"/>
    <mergeCell ref="A15:A17"/>
    <mergeCell ref="J1:P1"/>
    <mergeCell ref="A1:H1"/>
    <mergeCell ref="A3:A5"/>
    <mergeCell ref="A6:A8"/>
  </mergeCells>
  <phoneticPr fontId="3" type="noConversion"/>
  <printOptions horizontalCentered="1"/>
  <pageMargins left="0.59055118110236227" right="0.39370078740157483" top="0.59055118110236227" bottom="0.59055118110236227" header="0.39370078740157483" footer="0.39370078740157483"/>
  <pageSetup paperSize="9" orientation="portrait" blackAndWhite="1" errors="dash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pane ySplit="1" topLeftCell="A2" activePane="bottomLeft" state="frozen"/>
      <selection sqref="A1:F1"/>
      <selection pane="bottomLeft" activeCell="H26" sqref="H26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658</v>
      </c>
      <c r="F2" s="13">
        <f t="shared" ref="F2:F25" si="0">ROUND(PRODUCT($C2:$E2),2)</f>
        <v>0</v>
      </c>
      <c r="H2" s="13">
        <f>ROUND(PRODUCT($C2:$D2,$G2)*0.001,2)</f>
        <v>0</v>
      </c>
    </row>
    <row r="3" spans="1:9" x14ac:dyDescent="0.15">
      <c r="A3" s="7" t="s">
        <v>659</v>
      </c>
      <c r="B3" s="7" t="s">
        <v>683</v>
      </c>
      <c r="C3" s="8">
        <v>5.5</v>
      </c>
      <c r="D3" s="9">
        <v>8</v>
      </c>
      <c r="E3" s="8">
        <f>0.3*2+0.3*4</f>
        <v>1.7999999999999998</v>
      </c>
      <c r="F3" s="13">
        <f t="shared" si="0"/>
        <v>79.2</v>
      </c>
      <c r="G3" s="21">
        <v>91.84</v>
      </c>
      <c r="H3" s="13">
        <f t="shared" ref="H3:H25" si="1">ROUND(PRODUCT($C3:$D3,$G3)*0.001,2)</f>
        <v>4.04</v>
      </c>
      <c r="I3" s="11" t="s">
        <v>658</v>
      </c>
    </row>
    <row r="4" spans="1:9" x14ac:dyDescent="0.15">
      <c r="C4" s="8">
        <v>4.7</v>
      </c>
      <c r="D4" s="9">
        <v>6</v>
      </c>
      <c r="E4" s="8">
        <f>0.3*2+0.3*4</f>
        <v>1.7999999999999998</v>
      </c>
      <c r="F4" s="13">
        <f t="shared" si="0"/>
        <v>50.76</v>
      </c>
      <c r="G4" s="21">
        <v>91.84</v>
      </c>
      <c r="H4" s="13">
        <f t="shared" si="1"/>
        <v>2.59</v>
      </c>
      <c r="I4" s="11" t="s">
        <v>661</v>
      </c>
    </row>
    <row r="5" spans="1:9" x14ac:dyDescent="0.15">
      <c r="A5" s="7" t="s">
        <v>208</v>
      </c>
      <c r="F5" s="13">
        <f t="shared" si="0"/>
        <v>0</v>
      </c>
      <c r="H5" s="13">
        <f t="shared" si="1"/>
        <v>0</v>
      </c>
    </row>
    <row r="6" spans="1:9" x14ac:dyDescent="0.15">
      <c r="A6" s="7" t="s">
        <v>190</v>
      </c>
      <c r="B6" s="7" t="s">
        <v>664</v>
      </c>
      <c r="C6" s="8">
        <v>2</v>
      </c>
      <c r="D6" s="9">
        <v>9</v>
      </c>
      <c r="E6" s="8">
        <f>0.194*2+0.15*4</f>
        <v>0.98799999999999999</v>
      </c>
      <c r="F6" s="13">
        <f t="shared" si="0"/>
        <v>17.78</v>
      </c>
      <c r="G6" s="21">
        <v>29.48</v>
      </c>
      <c r="H6" s="13">
        <f t="shared" si="1"/>
        <v>0.53</v>
      </c>
      <c r="I6" s="11" t="s">
        <v>665</v>
      </c>
    </row>
    <row r="7" spans="1:9" x14ac:dyDescent="0.15">
      <c r="C7" s="8">
        <v>3.5</v>
      </c>
      <c r="D7" s="9">
        <v>6</v>
      </c>
      <c r="E7" s="8">
        <f>0.194*2+0.15*4</f>
        <v>0.98799999999999999</v>
      </c>
      <c r="F7" s="13">
        <f t="shared" si="0"/>
        <v>20.75</v>
      </c>
      <c r="G7" s="21">
        <v>29.48</v>
      </c>
      <c r="H7" s="13">
        <f t="shared" si="1"/>
        <v>0.62</v>
      </c>
      <c r="I7" s="11" t="s">
        <v>668</v>
      </c>
    </row>
    <row r="8" spans="1:9" x14ac:dyDescent="0.15">
      <c r="C8" s="8">
        <v>2</v>
      </c>
      <c r="D8" s="9">
        <v>3</v>
      </c>
      <c r="E8" s="8">
        <f>0.194*2+0.15*4</f>
        <v>0.98799999999999999</v>
      </c>
      <c r="F8" s="13">
        <f t="shared" si="0"/>
        <v>5.93</v>
      </c>
      <c r="G8" s="21">
        <v>29.48</v>
      </c>
      <c r="H8" s="13">
        <f t="shared" si="1"/>
        <v>0.18</v>
      </c>
      <c r="I8" s="11" t="s">
        <v>667</v>
      </c>
    </row>
    <row r="9" spans="1:9" x14ac:dyDescent="0.15">
      <c r="A9" s="7" t="s">
        <v>200</v>
      </c>
      <c r="B9" s="7" t="s">
        <v>684</v>
      </c>
      <c r="C9" s="8">
        <f>9-0.15*2</f>
        <v>8.6999999999999993</v>
      </c>
      <c r="D9" s="9">
        <v>4</v>
      </c>
      <c r="E9" s="8">
        <f>0.4*2+0.2*4</f>
        <v>1.6</v>
      </c>
      <c r="F9" s="13">
        <f t="shared" si="0"/>
        <v>55.68</v>
      </c>
      <c r="G9" s="21">
        <v>64.3</v>
      </c>
      <c r="H9" s="13">
        <f t="shared" si="1"/>
        <v>2.2400000000000002</v>
      </c>
      <c r="I9" s="11" t="s">
        <v>667</v>
      </c>
    </row>
    <row r="10" spans="1:9" x14ac:dyDescent="0.15">
      <c r="C10" s="8">
        <f>7-0.15*2</f>
        <v>6.7</v>
      </c>
      <c r="D10" s="9">
        <v>2</v>
      </c>
      <c r="E10" s="8">
        <f>0.4*2+0.2*4</f>
        <v>1.6</v>
      </c>
      <c r="F10" s="13">
        <f t="shared" si="0"/>
        <v>21.44</v>
      </c>
      <c r="G10" s="21">
        <v>64.3</v>
      </c>
      <c r="H10" s="13">
        <f t="shared" si="1"/>
        <v>0.86</v>
      </c>
      <c r="I10" s="11" t="s">
        <v>665</v>
      </c>
    </row>
    <row r="11" spans="1:9" x14ac:dyDescent="0.15">
      <c r="C11" s="8">
        <f>6-0.15*2</f>
        <v>5.7</v>
      </c>
      <c r="D11" s="9">
        <v>2</v>
      </c>
      <c r="E11" s="8">
        <f>0.4*2+0.2*4</f>
        <v>1.6</v>
      </c>
      <c r="F11" s="13">
        <f t="shared" si="0"/>
        <v>18.239999999999998</v>
      </c>
      <c r="G11" s="21">
        <v>64.3</v>
      </c>
      <c r="H11" s="13">
        <f t="shared" si="1"/>
        <v>0.73</v>
      </c>
      <c r="I11" s="11" t="s">
        <v>665</v>
      </c>
    </row>
    <row r="12" spans="1:9" x14ac:dyDescent="0.15">
      <c r="C12" s="8">
        <f>8-0.15*2</f>
        <v>7.7</v>
      </c>
      <c r="D12" s="9">
        <v>2</v>
      </c>
      <c r="E12" s="8">
        <f>0.4*2+0.2*4</f>
        <v>1.6</v>
      </c>
      <c r="F12" s="13">
        <f t="shared" si="0"/>
        <v>24.64</v>
      </c>
      <c r="G12" s="21">
        <v>64.3</v>
      </c>
      <c r="H12" s="13">
        <f t="shared" si="1"/>
        <v>0.99</v>
      </c>
      <c r="I12" s="11" t="s">
        <v>665</v>
      </c>
    </row>
    <row r="13" spans="1:9" x14ac:dyDescent="0.15">
      <c r="A13" s="7" t="s">
        <v>209</v>
      </c>
      <c r="F13" s="13">
        <f t="shared" si="0"/>
        <v>0</v>
      </c>
      <c r="H13" s="13">
        <f t="shared" si="1"/>
        <v>0</v>
      </c>
    </row>
    <row r="14" spans="1:9" x14ac:dyDescent="0.15">
      <c r="A14" s="7" t="s">
        <v>190</v>
      </c>
      <c r="B14" s="7" t="s">
        <v>664</v>
      </c>
      <c r="C14" s="8">
        <f>3-0.15*2</f>
        <v>2.7</v>
      </c>
      <c r="D14" s="9">
        <v>2</v>
      </c>
      <c r="E14" s="8">
        <f>0.194*2+0.15*4</f>
        <v>0.98799999999999999</v>
      </c>
      <c r="F14" s="13">
        <f t="shared" si="0"/>
        <v>5.34</v>
      </c>
      <c r="G14" s="21">
        <v>29.48</v>
      </c>
      <c r="H14" s="13">
        <f t="shared" si="1"/>
        <v>0.16</v>
      </c>
      <c r="I14" s="11" t="s">
        <v>665</v>
      </c>
    </row>
    <row r="15" spans="1:9" x14ac:dyDescent="0.15">
      <c r="C15" s="8">
        <v>2.65</v>
      </c>
      <c r="D15" s="9">
        <v>5</v>
      </c>
      <c r="E15" s="8">
        <f>0.194*2+0.15*4</f>
        <v>0.98799999999999999</v>
      </c>
      <c r="F15" s="13">
        <f t="shared" si="0"/>
        <v>13.09</v>
      </c>
      <c r="G15" s="21">
        <v>29.48</v>
      </c>
      <c r="H15" s="13">
        <f t="shared" si="1"/>
        <v>0.39</v>
      </c>
      <c r="I15" s="11" t="s">
        <v>666</v>
      </c>
    </row>
    <row r="16" spans="1:9" x14ac:dyDescent="0.15">
      <c r="A16" s="7" t="s">
        <v>200</v>
      </c>
      <c r="B16" s="7" t="s">
        <v>73</v>
      </c>
      <c r="C16" s="8">
        <f>8.5-0.15*2</f>
        <v>8.1999999999999993</v>
      </c>
      <c r="D16" s="9">
        <v>2</v>
      </c>
      <c r="E16" s="8">
        <f>0.4*2+0.2*4</f>
        <v>1.6</v>
      </c>
      <c r="F16" s="13">
        <f t="shared" si="0"/>
        <v>26.24</v>
      </c>
      <c r="G16" s="21">
        <v>64.3</v>
      </c>
      <c r="H16" s="13">
        <f t="shared" si="1"/>
        <v>1.05</v>
      </c>
      <c r="I16" s="11" t="s">
        <v>666</v>
      </c>
    </row>
    <row r="17" spans="1:9" x14ac:dyDescent="0.15">
      <c r="A17" s="7" t="s">
        <v>685</v>
      </c>
      <c r="F17" s="13">
        <f t="shared" si="0"/>
        <v>0</v>
      </c>
      <c r="H17" s="13">
        <f t="shared" si="1"/>
        <v>0</v>
      </c>
    </row>
    <row r="18" spans="1:9" x14ac:dyDescent="0.15">
      <c r="A18" s="7" t="s">
        <v>686</v>
      </c>
      <c r="B18" s="7" t="s">
        <v>687</v>
      </c>
      <c r="C18" s="8">
        <v>2</v>
      </c>
      <c r="D18" s="9">
        <v>9</v>
      </c>
      <c r="E18" s="8">
        <f>0.194*2+0.15*4</f>
        <v>0.98799999999999999</v>
      </c>
      <c r="F18" s="13">
        <f t="shared" si="0"/>
        <v>17.78</v>
      </c>
      <c r="G18" s="21">
        <v>29.48</v>
      </c>
      <c r="H18" s="13">
        <f t="shared" si="1"/>
        <v>0.53</v>
      </c>
      <c r="I18" s="11" t="s">
        <v>666</v>
      </c>
    </row>
    <row r="19" spans="1:9" x14ac:dyDescent="0.15">
      <c r="C19" s="8">
        <v>3.5</v>
      </c>
      <c r="D19" s="9">
        <v>5</v>
      </c>
      <c r="E19" s="8">
        <f>0.194*2+0.15*4</f>
        <v>0.98799999999999999</v>
      </c>
      <c r="F19" s="13">
        <f t="shared" si="0"/>
        <v>17.29</v>
      </c>
      <c r="G19" s="21">
        <v>29.48</v>
      </c>
      <c r="H19" s="13">
        <f t="shared" si="1"/>
        <v>0.52</v>
      </c>
      <c r="I19" s="11" t="s">
        <v>668</v>
      </c>
    </row>
    <row r="20" spans="1:9" x14ac:dyDescent="0.15">
      <c r="C20" s="8">
        <v>2</v>
      </c>
      <c r="D20" s="9">
        <v>3</v>
      </c>
      <c r="E20" s="8">
        <f>0.194*2+0.15*4</f>
        <v>0.98799999999999999</v>
      </c>
      <c r="F20" s="13">
        <f t="shared" si="0"/>
        <v>5.93</v>
      </c>
      <c r="G20" s="21">
        <v>29.48</v>
      </c>
      <c r="H20" s="13">
        <f t="shared" si="1"/>
        <v>0.18</v>
      </c>
      <c r="I20" s="11" t="s">
        <v>667</v>
      </c>
    </row>
    <row r="21" spans="1:9" x14ac:dyDescent="0.15">
      <c r="A21" s="7" t="s">
        <v>199</v>
      </c>
      <c r="B21" s="7" t="s">
        <v>684</v>
      </c>
      <c r="C21" s="8">
        <f>9-0.15*2</f>
        <v>8.6999999999999993</v>
      </c>
      <c r="D21" s="9">
        <v>4</v>
      </c>
      <c r="E21" s="8">
        <f>0.4*2+0.2*4</f>
        <v>1.6</v>
      </c>
      <c r="F21" s="13">
        <f t="shared" si="0"/>
        <v>55.68</v>
      </c>
      <c r="G21" s="21">
        <v>64.3</v>
      </c>
      <c r="H21" s="13">
        <f t="shared" si="1"/>
        <v>2.2400000000000002</v>
      </c>
      <c r="I21" s="11" t="s">
        <v>667</v>
      </c>
    </row>
    <row r="22" spans="1:9" x14ac:dyDescent="0.15">
      <c r="C22" s="8">
        <f>7-0.15*2</f>
        <v>6.7</v>
      </c>
      <c r="D22" s="9">
        <v>2</v>
      </c>
      <c r="E22" s="8">
        <f>0.4*2+0.2*4</f>
        <v>1.6</v>
      </c>
      <c r="F22" s="13">
        <f t="shared" si="0"/>
        <v>21.44</v>
      </c>
      <c r="G22" s="21">
        <v>64.3</v>
      </c>
      <c r="H22" s="13">
        <f t="shared" si="1"/>
        <v>0.86</v>
      </c>
      <c r="I22" s="11" t="s">
        <v>665</v>
      </c>
    </row>
    <row r="23" spans="1:9" x14ac:dyDescent="0.15">
      <c r="C23" s="8">
        <f>6-0.15*2</f>
        <v>5.7</v>
      </c>
      <c r="D23" s="9">
        <v>2</v>
      </c>
      <c r="E23" s="8">
        <f>0.4*2+0.2*4</f>
        <v>1.6</v>
      </c>
      <c r="F23" s="13">
        <f t="shared" si="0"/>
        <v>18.239999999999998</v>
      </c>
      <c r="G23" s="21">
        <v>64.3</v>
      </c>
      <c r="H23" s="13">
        <f t="shared" si="1"/>
        <v>0.73</v>
      </c>
      <c r="I23" s="11" t="s">
        <v>665</v>
      </c>
    </row>
    <row r="24" spans="1:9" x14ac:dyDescent="0.15">
      <c r="C24" s="8">
        <f>8-0.15*2</f>
        <v>7.7</v>
      </c>
      <c r="D24" s="9">
        <v>2</v>
      </c>
      <c r="E24" s="8">
        <f>0.4*2+0.2*4</f>
        <v>1.6</v>
      </c>
      <c r="F24" s="13">
        <f t="shared" si="0"/>
        <v>24.64</v>
      </c>
      <c r="G24" s="21">
        <v>64.3</v>
      </c>
      <c r="H24" s="13">
        <f t="shared" si="1"/>
        <v>0.99</v>
      </c>
      <c r="I24" s="11" t="s">
        <v>210</v>
      </c>
    </row>
    <row r="25" spans="1:9" x14ac:dyDescent="0.15">
      <c r="C25" s="8">
        <v>3.5</v>
      </c>
      <c r="D25" s="9">
        <v>1</v>
      </c>
      <c r="E25" s="8">
        <f>0.4*2+0.2*4</f>
        <v>1.6</v>
      </c>
      <c r="F25" s="13">
        <f t="shared" si="0"/>
        <v>5.6</v>
      </c>
      <c r="G25" s="21">
        <v>64.3</v>
      </c>
      <c r="H25" s="13">
        <f t="shared" si="1"/>
        <v>0.23</v>
      </c>
      <c r="I25" s="11" t="s">
        <v>665</v>
      </c>
    </row>
    <row r="26" spans="1:9" x14ac:dyDescent="0.15">
      <c r="A26" s="7" t="s">
        <v>211</v>
      </c>
      <c r="F26" s="13">
        <f>SUBTOTAL(109,F2:F25)</f>
        <v>505.69000000000005</v>
      </c>
      <c r="H26" s="13">
        <f>SUBTOTAL(109,H2:H25)</f>
        <v>20.66</v>
      </c>
    </row>
  </sheetData>
  <phoneticPr fontId="3" type="noConversion"/>
  <conditionalFormatting sqref="A1:I1048576">
    <cfRule type="expression" dxfId="34" priority="1">
      <formula>(ROW()=1)+($A1="汇总")</formula>
    </cfRule>
    <cfRule type="expression" dxfId="33" priority="2">
      <formula>(ROW()&gt;1)*($A1&lt;&gt;"汇总")*(MOD(ROW(),2)=0)*($A1&lt;&gt;"")*($B1&amp;$C1&amp;$D1&amp;$E1&amp;$G1&amp;$I1="")</formula>
    </cfRule>
    <cfRule type="expression" dxfId="32" priority="3">
      <formula>(ROW()&gt;1)*($A1&lt;&gt;"汇总")*(MOD(ROW(),2)=0)*($B1&amp;$C1&amp;$D1&amp;$E1&amp;$G1&amp;$I1&lt;&gt;"")</formula>
    </cfRule>
    <cfRule type="expression" dxfId="31" priority="4">
      <formula>(ROW()&gt;1)*($A1&lt;&gt;"汇总")*(MOD(ROW(),2)=1)*($A1&lt;&gt;"")*($B1&amp;$C1&amp;$D1&amp;$E1&amp;$G1&amp;$I1="")</formula>
    </cfRule>
    <cfRule type="expression" dxfId="3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zoomScaleNormal="100" workbookViewId="0">
      <pane ySplit="1" topLeftCell="A162" activePane="bottomLeft" state="frozen"/>
      <selection sqref="A1:F1"/>
      <selection pane="bottomLeft" activeCell="H200" sqref="H200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688</v>
      </c>
      <c r="F2" s="13">
        <f t="shared" ref="F2:F33" si="0">ROUND(PRODUCT($C2:$E2),2)</f>
        <v>0</v>
      </c>
      <c r="H2" s="13">
        <f>ROUND(PRODUCT($C2:$D2,$G2)*0.001,2)</f>
        <v>0</v>
      </c>
    </row>
    <row r="3" spans="1:9" x14ac:dyDescent="0.15">
      <c r="A3" s="7" t="s">
        <v>659</v>
      </c>
      <c r="B3" s="7" t="s">
        <v>689</v>
      </c>
      <c r="C3" s="8">
        <f>7.5-5</f>
        <v>2.5</v>
      </c>
      <c r="D3" s="9">
        <v>1</v>
      </c>
      <c r="E3" s="8">
        <f>0.2*2+0.2*4</f>
        <v>1.2000000000000002</v>
      </c>
      <c r="F3" s="13">
        <f t="shared" si="0"/>
        <v>3</v>
      </c>
      <c r="G3" s="21">
        <v>20.5</v>
      </c>
      <c r="H3" s="13">
        <f t="shared" ref="H3:H66" si="1">ROUND(PRODUCT($C3:$D3,$G3)*0.001,2)</f>
        <v>0.05</v>
      </c>
      <c r="I3" s="11" t="s">
        <v>658</v>
      </c>
    </row>
    <row r="4" spans="1:9" x14ac:dyDescent="0.15">
      <c r="A4" s="7" t="s">
        <v>196</v>
      </c>
      <c r="B4" s="7" t="s">
        <v>690</v>
      </c>
      <c r="C4" s="8">
        <v>0.5</v>
      </c>
      <c r="D4" s="9">
        <f>1*1</f>
        <v>1</v>
      </c>
      <c r="E4" s="8">
        <v>0.3</v>
      </c>
      <c r="F4" s="13">
        <f t="shared" si="0"/>
        <v>0.15</v>
      </c>
      <c r="G4" s="21">
        <f>0.3*0.02*7850</f>
        <v>47.1</v>
      </c>
      <c r="H4" s="13">
        <f t="shared" si="1"/>
        <v>0.02</v>
      </c>
      <c r="I4" s="11" t="s">
        <v>658</v>
      </c>
    </row>
    <row r="5" spans="1:9" x14ac:dyDescent="0.15">
      <c r="B5" s="7" t="s">
        <v>691</v>
      </c>
      <c r="C5" s="8">
        <v>0.105</v>
      </c>
      <c r="D5" s="9">
        <f>4*1</f>
        <v>4</v>
      </c>
      <c r="E5" s="8">
        <f>0.25*2</f>
        <v>0.5</v>
      </c>
      <c r="F5" s="13">
        <f t="shared" si="0"/>
        <v>0.21</v>
      </c>
      <c r="G5" s="21">
        <f>0.25*0.012*7850</f>
        <v>23.55</v>
      </c>
      <c r="H5" s="13">
        <f t="shared" si="1"/>
        <v>0.01</v>
      </c>
      <c r="I5" s="11" t="s">
        <v>658</v>
      </c>
    </row>
    <row r="6" spans="1:9" x14ac:dyDescent="0.15">
      <c r="B6" s="7" t="s">
        <v>692</v>
      </c>
      <c r="C6" s="8">
        <v>0.12</v>
      </c>
      <c r="D6" s="9">
        <f>2*1</f>
        <v>2</v>
      </c>
      <c r="E6" s="8">
        <f>0.25*2</f>
        <v>0.5</v>
      </c>
      <c r="F6" s="13">
        <f t="shared" si="0"/>
        <v>0.12</v>
      </c>
      <c r="G6" s="21">
        <f>0.25*0.012*7850</f>
        <v>23.55</v>
      </c>
      <c r="H6" s="13">
        <f t="shared" si="1"/>
        <v>0.01</v>
      </c>
      <c r="I6" s="11" t="s">
        <v>658</v>
      </c>
    </row>
    <row r="7" spans="1:9" x14ac:dyDescent="0.15">
      <c r="A7" s="7" t="s">
        <v>218</v>
      </c>
      <c r="B7" s="7" t="s">
        <v>660</v>
      </c>
      <c r="C7" s="8">
        <f>7-5</f>
        <v>2</v>
      </c>
      <c r="D7" s="9">
        <v>3</v>
      </c>
      <c r="E7" s="8">
        <f>0.25*2+0.25*4</f>
        <v>1.5</v>
      </c>
      <c r="F7" s="13">
        <f t="shared" si="0"/>
        <v>9</v>
      </c>
      <c r="G7" s="21">
        <v>70.63</v>
      </c>
      <c r="H7" s="13">
        <f t="shared" si="1"/>
        <v>0.42</v>
      </c>
      <c r="I7" s="11" t="s">
        <v>658</v>
      </c>
    </row>
    <row r="8" spans="1:9" x14ac:dyDescent="0.15">
      <c r="C8" s="8">
        <f>7.4-5</f>
        <v>2.4000000000000004</v>
      </c>
      <c r="D8" s="9">
        <v>5</v>
      </c>
      <c r="E8" s="8">
        <f>0.25*2+0.25*4</f>
        <v>1.5</v>
      </c>
      <c r="F8" s="13">
        <f t="shared" si="0"/>
        <v>18</v>
      </c>
      <c r="G8" s="21">
        <v>70.63</v>
      </c>
      <c r="H8" s="13">
        <f t="shared" si="1"/>
        <v>0.85</v>
      </c>
      <c r="I8" s="11" t="s">
        <v>661</v>
      </c>
    </row>
    <row r="9" spans="1:9" x14ac:dyDescent="0.15">
      <c r="C9" s="8">
        <f>7.5-5</f>
        <v>2.5</v>
      </c>
      <c r="D9" s="9">
        <v>3</v>
      </c>
      <c r="E9" s="8">
        <f>0.25*2+0.25*4</f>
        <v>1.5</v>
      </c>
      <c r="F9" s="13">
        <f t="shared" si="0"/>
        <v>11.25</v>
      </c>
      <c r="G9" s="21">
        <v>70.63</v>
      </c>
      <c r="H9" s="13">
        <f t="shared" si="1"/>
        <v>0.53</v>
      </c>
      <c r="I9" s="11" t="s">
        <v>661</v>
      </c>
    </row>
    <row r="10" spans="1:9" x14ac:dyDescent="0.15">
      <c r="A10" s="7" t="s">
        <v>693</v>
      </c>
      <c r="B10" s="7" t="s">
        <v>250</v>
      </c>
      <c r="C10" s="8">
        <v>0.5</v>
      </c>
      <c r="D10" s="9">
        <f>1*11</f>
        <v>11</v>
      </c>
      <c r="E10" s="8">
        <v>0.3</v>
      </c>
      <c r="F10" s="13">
        <f t="shared" si="0"/>
        <v>1.65</v>
      </c>
      <c r="G10" s="21">
        <f>0.3*0.02*7850</f>
        <v>47.1</v>
      </c>
      <c r="H10" s="13">
        <f t="shared" si="1"/>
        <v>0.26</v>
      </c>
      <c r="I10" s="11" t="s">
        <v>661</v>
      </c>
    </row>
    <row r="11" spans="1:9" x14ac:dyDescent="0.15">
      <c r="B11" s="7" t="s">
        <v>251</v>
      </c>
      <c r="C11" s="8">
        <v>0.105</v>
      </c>
      <c r="D11" s="9">
        <f>4*11</f>
        <v>44</v>
      </c>
      <c r="E11" s="8">
        <f>0.25*2</f>
        <v>0.5</v>
      </c>
      <c r="F11" s="13">
        <f t="shared" si="0"/>
        <v>2.31</v>
      </c>
      <c r="G11" s="21">
        <f>0.25*0.012*7850</f>
        <v>23.55</v>
      </c>
      <c r="H11" s="13">
        <f t="shared" si="1"/>
        <v>0.11</v>
      </c>
      <c r="I11" s="11" t="s">
        <v>661</v>
      </c>
    </row>
    <row r="12" spans="1:9" x14ac:dyDescent="0.15">
      <c r="B12" s="7" t="s">
        <v>694</v>
      </c>
      <c r="C12" s="8">
        <v>0.12</v>
      </c>
      <c r="D12" s="9">
        <f>2*11</f>
        <v>22</v>
      </c>
      <c r="E12" s="8">
        <f>0.25*2</f>
        <v>0.5</v>
      </c>
      <c r="F12" s="13">
        <f t="shared" si="0"/>
        <v>1.32</v>
      </c>
      <c r="G12" s="21">
        <f>0.25*0.012*7850</f>
        <v>23.55</v>
      </c>
      <c r="H12" s="13">
        <f t="shared" si="1"/>
        <v>0.06</v>
      </c>
      <c r="I12" s="11" t="s">
        <v>661</v>
      </c>
    </row>
    <row r="13" spans="1:9" x14ac:dyDescent="0.15">
      <c r="A13" s="7" t="s">
        <v>212</v>
      </c>
      <c r="F13" s="13">
        <f t="shared" si="0"/>
        <v>0</v>
      </c>
      <c r="H13" s="13">
        <f t="shared" si="1"/>
        <v>0</v>
      </c>
    </row>
    <row r="14" spans="1:9" x14ac:dyDescent="0.15">
      <c r="A14" s="7" t="s">
        <v>190</v>
      </c>
      <c r="B14" s="7" t="s">
        <v>695</v>
      </c>
      <c r="C14" s="8">
        <v>1.5</v>
      </c>
      <c r="D14" s="9">
        <v>4</v>
      </c>
      <c r="E14" s="8">
        <f t="shared" ref="E14:E22" si="2">0.148*2+0.1*4</f>
        <v>0.69599999999999995</v>
      </c>
      <c r="F14" s="13">
        <f t="shared" si="0"/>
        <v>4.18</v>
      </c>
      <c r="G14" s="21">
        <v>20.25</v>
      </c>
      <c r="H14" s="13">
        <f t="shared" si="1"/>
        <v>0.12</v>
      </c>
      <c r="I14" s="11" t="s">
        <v>665</v>
      </c>
    </row>
    <row r="15" spans="1:9" x14ac:dyDescent="0.15">
      <c r="C15" s="8">
        <v>1.94</v>
      </c>
      <c r="D15" s="9">
        <v>1</v>
      </c>
      <c r="E15" s="8">
        <f t="shared" si="2"/>
        <v>0.69599999999999995</v>
      </c>
      <c r="F15" s="13">
        <f t="shared" si="0"/>
        <v>1.35</v>
      </c>
      <c r="G15" s="21">
        <v>20.25</v>
      </c>
      <c r="H15" s="13">
        <f t="shared" si="1"/>
        <v>0.04</v>
      </c>
      <c r="I15" s="11" t="s">
        <v>665</v>
      </c>
    </row>
    <row r="16" spans="1:9" x14ac:dyDescent="0.15">
      <c r="C16" s="8">
        <v>2</v>
      </c>
      <c r="D16" s="9">
        <v>14</v>
      </c>
      <c r="E16" s="8">
        <f t="shared" si="2"/>
        <v>0.69599999999999995</v>
      </c>
      <c r="F16" s="13">
        <f t="shared" si="0"/>
        <v>19.489999999999998</v>
      </c>
      <c r="G16" s="21">
        <v>20.25</v>
      </c>
      <c r="H16" s="13">
        <f t="shared" si="1"/>
        <v>0.56999999999999995</v>
      </c>
      <c r="I16" s="11" t="s">
        <v>665</v>
      </c>
    </row>
    <row r="17" spans="1:9" x14ac:dyDescent="0.15">
      <c r="C17" s="8">
        <v>3</v>
      </c>
      <c r="D17" s="9">
        <v>1</v>
      </c>
      <c r="E17" s="8">
        <f t="shared" si="2"/>
        <v>0.69599999999999995</v>
      </c>
      <c r="F17" s="13">
        <f t="shared" si="0"/>
        <v>2.09</v>
      </c>
      <c r="G17" s="21">
        <v>20.25</v>
      </c>
      <c r="H17" s="13">
        <f t="shared" si="1"/>
        <v>0.06</v>
      </c>
      <c r="I17" s="11" t="s">
        <v>256</v>
      </c>
    </row>
    <row r="18" spans="1:9" x14ac:dyDescent="0.15">
      <c r="C18" s="8">
        <v>3.45</v>
      </c>
      <c r="D18" s="9">
        <v>1</v>
      </c>
      <c r="E18" s="8">
        <f t="shared" si="2"/>
        <v>0.69599999999999995</v>
      </c>
      <c r="F18" s="13">
        <f t="shared" si="0"/>
        <v>2.4</v>
      </c>
      <c r="G18" s="21">
        <v>20.25</v>
      </c>
      <c r="H18" s="13">
        <f t="shared" si="1"/>
        <v>7.0000000000000007E-2</v>
      </c>
      <c r="I18" s="11" t="s">
        <v>696</v>
      </c>
    </row>
    <row r="19" spans="1:9" x14ac:dyDescent="0.15">
      <c r="C19" s="8">
        <v>2.5499999999999998</v>
      </c>
      <c r="D19" s="9">
        <v>2</v>
      </c>
      <c r="E19" s="8">
        <f t="shared" si="2"/>
        <v>0.69599999999999995</v>
      </c>
      <c r="F19" s="13">
        <f t="shared" si="0"/>
        <v>3.55</v>
      </c>
      <c r="G19" s="21">
        <v>20.25</v>
      </c>
      <c r="H19" s="13">
        <f t="shared" si="1"/>
        <v>0.1</v>
      </c>
      <c r="I19" s="11" t="s">
        <v>665</v>
      </c>
    </row>
    <row r="20" spans="1:9" x14ac:dyDescent="0.15">
      <c r="C20" s="8">
        <v>3.3849999999999998</v>
      </c>
      <c r="D20" s="9">
        <v>3</v>
      </c>
      <c r="E20" s="8">
        <f t="shared" si="2"/>
        <v>0.69599999999999995</v>
      </c>
      <c r="F20" s="13">
        <f t="shared" si="0"/>
        <v>7.07</v>
      </c>
      <c r="G20" s="21">
        <v>20.25</v>
      </c>
      <c r="H20" s="13">
        <f t="shared" si="1"/>
        <v>0.21</v>
      </c>
      <c r="I20" s="11" t="s">
        <v>628</v>
      </c>
    </row>
    <row r="21" spans="1:9" x14ac:dyDescent="0.15">
      <c r="C21" s="8">
        <v>2.6150000000000002</v>
      </c>
      <c r="D21" s="9">
        <v>1</v>
      </c>
      <c r="E21" s="8">
        <f t="shared" si="2"/>
        <v>0.69599999999999995</v>
      </c>
      <c r="F21" s="13">
        <f t="shared" si="0"/>
        <v>1.82</v>
      </c>
      <c r="G21" s="21">
        <v>20.25</v>
      </c>
      <c r="H21" s="13">
        <f t="shared" si="1"/>
        <v>0.05</v>
      </c>
      <c r="I21" s="11" t="s">
        <v>666</v>
      </c>
    </row>
    <row r="22" spans="1:9" x14ac:dyDescent="0.15">
      <c r="C22" s="8">
        <v>3</v>
      </c>
      <c r="D22" s="9">
        <v>9</v>
      </c>
      <c r="E22" s="8">
        <f t="shared" si="2"/>
        <v>0.69599999999999995</v>
      </c>
      <c r="F22" s="13">
        <f t="shared" si="0"/>
        <v>18.79</v>
      </c>
      <c r="G22" s="21">
        <v>20.25</v>
      </c>
      <c r="H22" s="13">
        <f t="shared" si="1"/>
        <v>0.55000000000000004</v>
      </c>
      <c r="I22" s="11" t="s">
        <v>666</v>
      </c>
    </row>
    <row r="23" spans="1:9" x14ac:dyDescent="0.15">
      <c r="A23" s="7" t="s">
        <v>199</v>
      </c>
      <c r="B23" s="7" t="s">
        <v>697</v>
      </c>
      <c r="C23" s="8">
        <v>1.5</v>
      </c>
      <c r="D23" s="9">
        <v>16</v>
      </c>
      <c r="E23" s="8">
        <f t="shared" ref="E23:E35" si="3">0.194*2+0.15*4</f>
        <v>0.98799999999999999</v>
      </c>
      <c r="F23" s="13">
        <f t="shared" si="0"/>
        <v>23.71</v>
      </c>
      <c r="G23" s="21">
        <v>29.48</v>
      </c>
      <c r="H23" s="13">
        <f t="shared" si="1"/>
        <v>0.71</v>
      </c>
      <c r="I23" s="11" t="s">
        <v>696</v>
      </c>
    </row>
    <row r="24" spans="1:9" x14ac:dyDescent="0.15">
      <c r="C24" s="8">
        <v>1.325</v>
      </c>
      <c r="D24" s="9">
        <v>2</v>
      </c>
      <c r="E24" s="8">
        <f t="shared" si="3"/>
        <v>0.98799999999999999</v>
      </c>
      <c r="F24" s="13">
        <f t="shared" si="0"/>
        <v>2.62</v>
      </c>
      <c r="G24" s="21">
        <v>29.48</v>
      </c>
      <c r="H24" s="13">
        <f t="shared" si="1"/>
        <v>0.08</v>
      </c>
      <c r="I24" s="11" t="s">
        <v>256</v>
      </c>
    </row>
    <row r="25" spans="1:9" x14ac:dyDescent="0.15">
      <c r="C25" s="8">
        <v>2.3250000000000002</v>
      </c>
      <c r="D25" s="9">
        <v>2</v>
      </c>
      <c r="E25" s="8">
        <f t="shared" si="3"/>
        <v>0.98799999999999999</v>
      </c>
      <c r="F25" s="13">
        <f t="shared" si="0"/>
        <v>4.59</v>
      </c>
      <c r="G25" s="21">
        <v>29.48</v>
      </c>
      <c r="H25" s="13">
        <f t="shared" si="1"/>
        <v>0.14000000000000001</v>
      </c>
      <c r="I25" s="11" t="s">
        <v>666</v>
      </c>
    </row>
    <row r="26" spans="1:9" x14ac:dyDescent="0.15">
      <c r="C26" s="8">
        <v>2</v>
      </c>
      <c r="D26" s="9">
        <v>4</v>
      </c>
      <c r="E26" s="8">
        <f t="shared" si="3"/>
        <v>0.98799999999999999</v>
      </c>
      <c r="F26" s="13">
        <f t="shared" si="0"/>
        <v>7.9</v>
      </c>
      <c r="G26" s="21">
        <v>29.48</v>
      </c>
      <c r="H26" s="13">
        <f t="shared" si="1"/>
        <v>0.24</v>
      </c>
      <c r="I26" s="11" t="s">
        <v>666</v>
      </c>
    </row>
    <row r="27" spans="1:9" x14ac:dyDescent="0.15">
      <c r="C27" s="8">
        <v>3</v>
      </c>
      <c r="D27" s="9">
        <v>3</v>
      </c>
      <c r="E27" s="8">
        <f t="shared" si="3"/>
        <v>0.98799999999999999</v>
      </c>
      <c r="F27" s="13">
        <f t="shared" si="0"/>
        <v>8.89</v>
      </c>
      <c r="G27" s="21">
        <v>29.48</v>
      </c>
      <c r="H27" s="13">
        <f t="shared" si="1"/>
        <v>0.27</v>
      </c>
      <c r="I27" s="11" t="s">
        <v>667</v>
      </c>
    </row>
    <row r="28" spans="1:9" x14ac:dyDescent="0.15">
      <c r="C28" s="8">
        <v>3.29</v>
      </c>
      <c r="D28" s="9">
        <v>3</v>
      </c>
      <c r="E28" s="8">
        <f t="shared" si="3"/>
        <v>0.98799999999999999</v>
      </c>
      <c r="F28" s="13">
        <f t="shared" si="0"/>
        <v>9.75</v>
      </c>
      <c r="G28" s="21">
        <v>29.48</v>
      </c>
      <c r="H28" s="13">
        <f t="shared" si="1"/>
        <v>0.28999999999999998</v>
      </c>
      <c r="I28" s="11" t="s">
        <v>667</v>
      </c>
    </row>
    <row r="29" spans="1:9" x14ac:dyDescent="0.15">
      <c r="C29" s="8">
        <v>2.5499999999999998</v>
      </c>
      <c r="D29" s="9">
        <v>9</v>
      </c>
      <c r="E29" s="8">
        <f t="shared" si="3"/>
        <v>0.98799999999999999</v>
      </c>
      <c r="F29" s="13">
        <f t="shared" si="0"/>
        <v>22.67</v>
      </c>
      <c r="G29" s="21">
        <v>29.48</v>
      </c>
      <c r="H29" s="13">
        <f t="shared" si="1"/>
        <v>0.68</v>
      </c>
      <c r="I29" s="11" t="s">
        <v>698</v>
      </c>
    </row>
    <row r="30" spans="1:9" x14ac:dyDescent="0.15">
      <c r="C30" s="8">
        <v>3.45</v>
      </c>
      <c r="D30" s="9">
        <v>2</v>
      </c>
      <c r="E30" s="8">
        <f t="shared" si="3"/>
        <v>0.98799999999999999</v>
      </c>
      <c r="F30" s="13">
        <f t="shared" si="0"/>
        <v>6.82</v>
      </c>
      <c r="G30" s="21">
        <v>29.48</v>
      </c>
      <c r="H30" s="13">
        <f t="shared" si="1"/>
        <v>0.2</v>
      </c>
      <c r="I30" s="11" t="s">
        <v>667</v>
      </c>
    </row>
    <row r="31" spans="1:9" x14ac:dyDescent="0.15">
      <c r="C31" s="8">
        <v>4</v>
      </c>
      <c r="D31" s="9">
        <v>21</v>
      </c>
      <c r="E31" s="8">
        <f t="shared" si="3"/>
        <v>0.98799999999999999</v>
      </c>
      <c r="F31" s="13">
        <f t="shared" si="0"/>
        <v>82.99</v>
      </c>
      <c r="G31" s="21">
        <v>29.48</v>
      </c>
      <c r="H31" s="13">
        <f t="shared" si="1"/>
        <v>2.48</v>
      </c>
      <c r="I31" s="11" t="s">
        <v>256</v>
      </c>
    </row>
    <row r="32" spans="1:9" x14ac:dyDescent="0.15">
      <c r="C32" s="8">
        <v>1.7</v>
      </c>
      <c r="D32" s="9">
        <v>9</v>
      </c>
      <c r="E32" s="8">
        <f t="shared" si="3"/>
        <v>0.98799999999999999</v>
      </c>
      <c r="F32" s="13">
        <f t="shared" si="0"/>
        <v>15.12</v>
      </c>
      <c r="G32" s="21">
        <v>29.48</v>
      </c>
      <c r="H32" s="13">
        <f t="shared" si="1"/>
        <v>0.45</v>
      </c>
      <c r="I32" s="11" t="s">
        <v>676</v>
      </c>
    </row>
    <row r="33" spans="1:9" x14ac:dyDescent="0.15">
      <c r="C33" s="8">
        <v>1.75</v>
      </c>
      <c r="D33" s="9">
        <v>9</v>
      </c>
      <c r="E33" s="8">
        <f t="shared" si="3"/>
        <v>0.98799999999999999</v>
      </c>
      <c r="F33" s="13">
        <f t="shared" si="0"/>
        <v>15.56</v>
      </c>
      <c r="G33" s="21">
        <v>29.48</v>
      </c>
      <c r="H33" s="13">
        <f t="shared" si="1"/>
        <v>0.46</v>
      </c>
      <c r="I33" s="11" t="s">
        <v>668</v>
      </c>
    </row>
    <row r="34" spans="1:9" x14ac:dyDescent="0.15">
      <c r="C34" s="8">
        <v>2.6150000000000002</v>
      </c>
      <c r="D34" s="9">
        <v>3</v>
      </c>
      <c r="E34" s="8">
        <f t="shared" si="3"/>
        <v>0.98799999999999999</v>
      </c>
      <c r="F34" s="13">
        <f t="shared" ref="F34:F65" si="4">ROUND(PRODUCT($C34:$E34),2)</f>
        <v>7.75</v>
      </c>
      <c r="G34" s="21">
        <v>29.48</v>
      </c>
      <c r="H34" s="13">
        <f t="shared" si="1"/>
        <v>0.23</v>
      </c>
      <c r="I34" s="11" t="s">
        <v>667</v>
      </c>
    </row>
    <row r="35" spans="1:9" x14ac:dyDescent="0.15">
      <c r="C35" s="8">
        <v>3</v>
      </c>
      <c r="D35" s="9">
        <v>6</v>
      </c>
      <c r="E35" s="8">
        <f t="shared" si="3"/>
        <v>0.98799999999999999</v>
      </c>
      <c r="F35" s="13">
        <f t="shared" si="4"/>
        <v>17.78</v>
      </c>
      <c r="G35" s="21">
        <v>29.48</v>
      </c>
      <c r="H35" s="13">
        <f t="shared" si="1"/>
        <v>0.53</v>
      </c>
      <c r="I35" s="11" t="s">
        <v>666</v>
      </c>
    </row>
    <row r="36" spans="1:9" x14ac:dyDescent="0.15">
      <c r="A36" s="7" t="s">
        <v>699</v>
      </c>
      <c r="B36" s="7" t="s">
        <v>700</v>
      </c>
      <c r="C36" s="8">
        <v>2.04</v>
      </c>
      <c r="D36" s="9">
        <v>3</v>
      </c>
      <c r="E36" s="8">
        <f t="shared" ref="E36:E41" si="5">0.244*2+0.175*4</f>
        <v>1.1879999999999999</v>
      </c>
      <c r="F36" s="13">
        <f t="shared" si="4"/>
        <v>7.27</v>
      </c>
      <c r="G36" s="21">
        <v>42.42</v>
      </c>
      <c r="H36" s="13">
        <f t="shared" si="1"/>
        <v>0.26</v>
      </c>
      <c r="I36" s="11" t="s">
        <v>667</v>
      </c>
    </row>
    <row r="37" spans="1:9" x14ac:dyDescent="0.15">
      <c r="C37" s="8">
        <v>5</v>
      </c>
      <c r="D37" s="9">
        <v>3</v>
      </c>
      <c r="E37" s="8">
        <f t="shared" si="5"/>
        <v>1.1879999999999999</v>
      </c>
      <c r="F37" s="13">
        <f t="shared" si="4"/>
        <v>17.82</v>
      </c>
      <c r="G37" s="21">
        <v>42.42</v>
      </c>
      <c r="H37" s="13">
        <f t="shared" si="1"/>
        <v>0.64</v>
      </c>
      <c r="I37" s="11" t="s">
        <v>256</v>
      </c>
    </row>
    <row r="38" spans="1:9" x14ac:dyDescent="0.15">
      <c r="C38" s="8">
        <v>3</v>
      </c>
      <c r="D38" s="9">
        <v>2</v>
      </c>
      <c r="E38" s="8">
        <f t="shared" si="5"/>
        <v>1.1879999999999999</v>
      </c>
      <c r="F38" s="13">
        <f t="shared" si="4"/>
        <v>7.13</v>
      </c>
      <c r="G38" s="21">
        <v>42.42</v>
      </c>
      <c r="H38" s="13">
        <f t="shared" si="1"/>
        <v>0.25</v>
      </c>
      <c r="I38" s="11" t="s">
        <v>256</v>
      </c>
    </row>
    <row r="39" spans="1:9" x14ac:dyDescent="0.15">
      <c r="C39" s="8">
        <v>2.71</v>
      </c>
      <c r="D39" s="9">
        <v>1</v>
      </c>
      <c r="E39" s="8">
        <f t="shared" si="5"/>
        <v>1.1879999999999999</v>
      </c>
      <c r="F39" s="13">
        <f t="shared" si="4"/>
        <v>3.22</v>
      </c>
      <c r="G39" s="21">
        <v>42.42</v>
      </c>
      <c r="H39" s="13">
        <f t="shared" si="1"/>
        <v>0.11</v>
      </c>
      <c r="I39" s="11" t="s">
        <v>256</v>
      </c>
    </row>
    <row r="40" spans="1:9" x14ac:dyDescent="0.15">
      <c r="C40" s="8">
        <v>2.5499999999999998</v>
      </c>
      <c r="D40" s="9">
        <v>4</v>
      </c>
      <c r="E40" s="8">
        <f t="shared" si="5"/>
        <v>1.1879999999999999</v>
      </c>
      <c r="F40" s="13">
        <f t="shared" si="4"/>
        <v>12.12</v>
      </c>
      <c r="G40" s="21">
        <v>42.42</v>
      </c>
      <c r="H40" s="13">
        <f t="shared" si="1"/>
        <v>0.43</v>
      </c>
      <c r="I40" s="11" t="s">
        <v>256</v>
      </c>
    </row>
    <row r="41" spans="1:9" x14ac:dyDescent="0.15">
      <c r="C41" s="8">
        <v>2.6150000000000002</v>
      </c>
      <c r="D41" s="9">
        <v>1</v>
      </c>
      <c r="E41" s="8">
        <f t="shared" si="5"/>
        <v>1.1879999999999999</v>
      </c>
      <c r="F41" s="13">
        <f t="shared" si="4"/>
        <v>3.11</v>
      </c>
      <c r="G41" s="21">
        <v>42.42</v>
      </c>
      <c r="H41" s="13">
        <f t="shared" si="1"/>
        <v>0.11</v>
      </c>
      <c r="I41" s="11" t="s">
        <v>256</v>
      </c>
    </row>
    <row r="42" spans="1:9" x14ac:dyDescent="0.15">
      <c r="A42" s="7" t="s">
        <v>214</v>
      </c>
      <c r="B42" s="7" t="s">
        <v>221</v>
      </c>
      <c r="C42" s="8">
        <v>2.5499999999999998</v>
      </c>
      <c r="D42" s="9">
        <v>6</v>
      </c>
      <c r="E42" s="8">
        <f>0.2*2+0.1*4</f>
        <v>0.8</v>
      </c>
      <c r="F42" s="13">
        <f t="shared" si="4"/>
        <v>12.24</v>
      </c>
      <c r="G42" s="21">
        <v>20.5</v>
      </c>
      <c r="H42" s="13">
        <f t="shared" si="1"/>
        <v>0.31</v>
      </c>
      <c r="I42" s="11" t="s">
        <v>256</v>
      </c>
    </row>
    <row r="43" spans="1:9" x14ac:dyDescent="0.15">
      <c r="A43" s="7" t="s">
        <v>215</v>
      </c>
      <c r="B43" s="7" t="s">
        <v>222</v>
      </c>
      <c r="C43" s="8">
        <v>5</v>
      </c>
      <c r="D43" s="9">
        <v>1</v>
      </c>
      <c r="E43" s="8">
        <f>0.294*2+0.2*4</f>
        <v>1.3879999999999999</v>
      </c>
      <c r="F43" s="13">
        <f t="shared" si="4"/>
        <v>6.94</v>
      </c>
      <c r="G43" s="21">
        <v>54.63</v>
      </c>
      <c r="H43" s="13">
        <f t="shared" si="1"/>
        <v>0.27</v>
      </c>
      <c r="I43" s="11" t="s">
        <v>256</v>
      </c>
    </row>
    <row r="44" spans="1:9" x14ac:dyDescent="0.15">
      <c r="C44" s="8">
        <v>3.45</v>
      </c>
      <c r="D44" s="9">
        <v>3</v>
      </c>
      <c r="E44" s="8">
        <f>0.294*2+0.2*4</f>
        <v>1.3879999999999999</v>
      </c>
      <c r="F44" s="13">
        <f t="shared" si="4"/>
        <v>14.37</v>
      </c>
      <c r="G44" s="21">
        <v>54.63</v>
      </c>
      <c r="H44" s="13">
        <f t="shared" si="1"/>
        <v>0.56999999999999995</v>
      </c>
      <c r="I44" s="11" t="s">
        <v>256</v>
      </c>
    </row>
    <row r="45" spans="1:9" x14ac:dyDescent="0.15">
      <c r="A45" s="7" t="s">
        <v>216</v>
      </c>
      <c r="B45" s="7" t="s">
        <v>223</v>
      </c>
      <c r="C45" s="8">
        <v>6</v>
      </c>
      <c r="D45" s="9">
        <v>6</v>
      </c>
      <c r="E45" s="8">
        <f>0.34*2+0.25*4</f>
        <v>1.6800000000000002</v>
      </c>
      <c r="F45" s="13">
        <f t="shared" si="4"/>
        <v>60.48</v>
      </c>
      <c r="G45" s="21">
        <v>76.989999999999995</v>
      </c>
      <c r="H45" s="13">
        <f t="shared" si="1"/>
        <v>2.77</v>
      </c>
      <c r="I45" s="11" t="s">
        <v>256</v>
      </c>
    </row>
    <row r="46" spans="1:9" x14ac:dyDescent="0.15">
      <c r="A46" s="7" t="s">
        <v>217</v>
      </c>
      <c r="B46" s="7" t="s">
        <v>224</v>
      </c>
      <c r="C46" s="8">
        <v>6</v>
      </c>
      <c r="D46" s="9">
        <v>10</v>
      </c>
      <c r="E46" s="8">
        <f>0.39*2+0.3*4</f>
        <v>1.98</v>
      </c>
      <c r="F46" s="13">
        <f t="shared" si="4"/>
        <v>118.8</v>
      </c>
      <c r="G46" s="21">
        <v>103.46</v>
      </c>
      <c r="H46" s="13">
        <f t="shared" si="1"/>
        <v>6.21</v>
      </c>
      <c r="I46" s="11" t="s">
        <v>256</v>
      </c>
    </row>
    <row r="47" spans="1:9" x14ac:dyDescent="0.15">
      <c r="A47" s="7" t="s">
        <v>226</v>
      </c>
      <c r="F47" s="13">
        <f t="shared" si="4"/>
        <v>0</v>
      </c>
      <c r="H47" s="13">
        <f t="shared" si="1"/>
        <v>0</v>
      </c>
    </row>
    <row r="48" spans="1:9" x14ac:dyDescent="0.15">
      <c r="A48" s="7" t="s">
        <v>190</v>
      </c>
      <c r="B48" s="7" t="s">
        <v>220</v>
      </c>
      <c r="C48" s="8">
        <v>1.2</v>
      </c>
      <c r="D48" s="9">
        <v>1</v>
      </c>
      <c r="E48" s="8">
        <f t="shared" ref="E48:E54" si="6">0.148*2+0.1*4</f>
        <v>0.69599999999999995</v>
      </c>
      <c r="F48" s="13">
        <f t="shared" si="4"/>
        <v>0.84</v>
      </c>
      <c r="G48" s="21">
        <v>20.25</v>
      </c>
      <c r="H48" s="13">
        <f t="shared" si="1"/>
        <v>0.02</v>
      </c>
      <c r="I48" s="11" t="s">
        <v>256</v>
      </c>
    </row>
    <row r="49" spans="1:9" x14ac:dyDescent="0.15">
      <c r="C49" s="8">
        <v>1.29</v>
      </c>
      <c r="D49" s="9">
        <v>2</v>
      </c>
      <c r="E49" s="8">
        <f t="shared" si="6"/>
        <v>0.69599999999999995</v>
      </c>
      <c r="F49" s="13">
        <f t="shared" si="4"/>
        <v>1.8</v>
      </c>
      <c r="G49" s="21">
        <v>20.25</v>
      </c>
      <c r="H49" s="13">
        <f t="shared" si="1"/>
        <v>0.05</v>
      </c>
      <c r="I49" s="11" t="s">
        <v>256</v>
      </c>
    </row>
    <row r="50" spans="1:9" x14ac:dyDescent="0.15">
      <c r="C50" s="8">
        <v>1.32</v>
      </c>
      <c r="D50" s="9">
        <v>2</v>
      </c>
      <c r="E50" s="8">
        <f t="shared" si="6"/>
        <v>0.69599999999999995</v>
      </c>
      <c r="F50" s="13">
        <f t="shared" si="4"/>
        <v>1.84</v>
      </c>
      <c r="G50" s="21">
        <v>20.25</v>
      </c>
      <c r="H50" s="13">
        <f t="shared" si="1"/>
        <v>0.05</v>
      </c>
      <c r="I50" s="11" t="s">
        <v>256</v>
      </c>
    </row>
    <row r="51" spans="1:9" x14ac:dyDescent="0.15">
      <c r="C51" s="8">
        <f>(0.455^2+0.79^2)^0.5</f>
        <v>0.9116605728010837</v>
      </c>
      <c r="D51" s="9">
        <v>1</v>
      </c>
      <c r="E51" s="8">
        <f t="shared" si="6"/>
        <v>0.69599999999999995</v>
      </c>
      <c r="F51" s="13">
        <f t="shared" si="4"/>
        <v>0.63</v>
      </c>
      <c r="G51" s="21">
        <v>20.25</v>
      </c>
      <c r="H51" s="13">
        <f t="shared" si="1"/>
        <v>0.02</v>
      </c>
      <c r="I51" s="11" t="s">
        <v>256</v>
      </c>
    </row>
    <row r="52" spans="1:9" x14ac:dyDescent="0.15">
      <c r="C52" s="8">
        <f>(0.405^2+0.707^2)^0.5</f>
        <v>0.81478463412118907</v>
      </c>
      <c r="D52" s="9">
        <v>1</v>
      </c>
      <c r="E52" s="8">
        <f t="shared" si="6"/>
        <v>0.69599999999999995</v>
      </c>
      <c r="F52" s="13">
        <f t="shared" si="4"/>
        <v>0.56999999999999995</v>
      </c>
      <c r="G52" s="21">
        <v>20.25</v>
      </c>
      <c r="H52" s="13">
        <f t="shared" si="1"/>
        <v>0.02</v>
      </c>
      <c r="I52" s="11" t="s">
        <v>256</v>
      </c>
    </row>
    <row r="53" spans="1:9" x14ac:dyDescent="0.15">
      <c r="C53" s="8">
        <f>(0.63^2+1.1^2)^0.5</f>
        <v>1.2676355943251201</v>
      </c>
      <c r="D53" s="9">
        <v>1</v>
      </c>
      <c r="E53" s="8">
        <f t="shared" si="6"/>
        <v>0.69599999999999995</v>
      </c>
      <c r="F53" s="13">
        <f t="shared" si="4"/>
        <v>0.88</v>
      </c>
      <c r="G53" s="21">
        <v>20.25</v>
      </c>
      <c r="H53" s="13">
        <f t="shared" si="1"/>
        <v>0.03</v>
      </c>
      <c r="I53" s="11" t="s">
        <v>256</v>
      </c>
    </row>
    <row r="54" spans="1:9" x14ac:dyDescent="0.15">
      <c r="C54" s="8">
        <f>(0.38^2+0.655^2)^0.5</f>
        <v>0.75724830802055942</v>
      </c>
      <c r="D54" s="9">
        <v>1</v>
      </c>
      <c r="E54" s="8">
        <f t="shared" si="6"/>
        <v>0.69599999999999995</v>
      </c>
      <c r="F54" s="13">
        <f t="shared" si="4"/>
        <v>0.53</v>
      </c>
      <c r="G54" s="21">
        <v>20.25</v>
      </c>
      <c r="H54" s="13">
        <f t="shared" si="1"/>
        <v>0.02</v>
      </c>
      <c r="I54" s="11" t="s">
        <v>256</v>
      </c>
    </row>
    <row r="55" spans="1:9" x14ac:dyDescent="0.15">
      <c r="A55" s="7" t="s">
        <v>199</v>
      </c>
      <c r="B55" s="7" t="s">
        <v>194</v>
      </c>
      <c r="C55" s="8">
        <v>3.45</v>
      </c>
      <c r="D55" s="9">
        <v>3</v>
      </c>
      <c r="E55" s="8">
        <f>0.194*2+0.15*4</f>
        <v>0.98799999999999999</v>
      </c>
      <c r="F55" s="13">
        <f t="shared" si="4"/>
        <v>10.23</v>
      </c>
      <c r="G55" s="21">
        <v>29.48</v>
      </c>
      <c r="H55" s="13">
        <f t="shared" si="1"/>
        <v>0.31</v>
      </c>
      <c r="I55" s="11" t="s">
        <v>256</v>
      </c>
    </row>
    <row r="56" spans="1:9" x14ac:dyDescent="0.15">
      <c r="C56" s="8">
        <v>2.61</v>
      </c>
      <c r="D56" s="9">
        <v>2</v>
      </c>
      <c r="E56" s="8">
        <f>0.194*2+0.15*4</f>
        <v>0.98799999999999999</v>
      </c>
      <c r="F56" s="13">
        <f t="shared" si="4"/>
        <v>5.16</v>
      </c>
      <c r="G56" s="21">
        <v>29.48</v>
      </c>
      <c r="H56" s="13">
        <f t="shared" si="1"/>
        <v>0.15</v>
      </c>
      <c r="I56" s="11" t="s">
        <v>256</v>
      </c>
    </row>
    <row r="57" spans="1:9" x14ac:dyDescent="0.15">
      <c r="A57" s="7" t="s">
        <v>80</v>
      </c>
      <c r="B57" s="7" t="s">
        <v>225</v>
      </c>
      <c r="C57" s="8">
        <f>0.57*2^0.5</f>
        <v>0.80610173055266421</v>
      </c>
      <c r="D57" s="9">
        <v>4</v>
      </c>
      <c r="E57" s="8">
        <f>0.08*4</f>
        <v>0.32</v>
      </c>
      <c r="F57" s="13">
        <f t="shared" si="4"/>
        <v>1.03</v>
      </c>
      <c r="G57" s="21">
        <v>7.38</v>
      </c>
      <c r="H57" s="13">
        <f t="shared" si="1"/>
        <v>0.02</v>
      </c>
      <c r="I57" s="11" t="s">
        <v>256</v>
      </c>
    </row>
    <row r="58" spans="1:9" x14ac:dyDescent="0.15">
      <c r="A58" s="7" t="s">
        <v>57</v>
      </c>
      <c r="B58" s="7" t="s">
        <v>227</v>
      </c>
      <c r="C58" s="8">
        <v>2.61</v>
      </c>
      <c r="D58" s="9">
        <v>1</v>
      </c>
      <c r="E58" s="8">
        <v>3.45</v>
      </c>
      <c r="F58" s="13">
        <f t="shared" si="4"/>
        <v>9</v>
      </c>
      <c r="G58" s="21">
        <f>3.45*0.006*7850</f>
        <v>162.49500000000003</v>
      </c>
      <c r="H58" s="13">
        <f t="shared" si="1"/>
        <v>0.42</v>
      </c>
      <c r="I58" s="11" t="s">
        <v>57</v>
      </c>
    </row>
    <row r="59" spans="1:9" x14ac:dyDescent="0.15">
      <c r="A59" s="7" t="s">
        <v>229</v>
      </c>
      <c r="B59" s="7" t="s">
        <v>101</v>
      </c>
      <c r="C59" s="8">
        <v>1.32</v>
      </c>
      <c r="D59" s="9">
        <f>ROUNDUP(1.4/0.5,0)-1</f>
        <v>2</v>
      </c>
      <c r="E59" s="8">
        <f>0.05*4</f>
        <v>0.2</v>
      </c>
      <c r="F59" s="13">
        <f t="shared" si="4"/>
        <v>0.53</v>
      </c>
      <c r="G59" s="21">
        <v>3.77</v>
      </c>
      <c r="H59" s="13">
        <f t="shared" si="1"/>
        <v>0.01</v>
      </c>
      <c r="I59" s="11" t="s">
        <v>57</v>
      </c>
    </row>
    <row r="60" spans="1:9" x14ac:dyDescent="0.15">
      <c r="C60" s="8">
        <v>0.7</v>
      </c>
      <c r="D60" s="9">
        <f>ROUNDUP(1.32/0.5,0)-1</f>
        <v>2</v>
      </c>
      <c r="E60" s="8">
        <f>0.05*4</f>
        <v>0.2</v>
      </c>
      <c r="F60" s="13">
        <f t="shared" si="4"/>
        <v>0.28000000000000003</v>
      </c>
      <c r="G60" s="21">
        <v>3.77</v>
      </c>
      <c r="H60" s="13">
        <f t="shared" si="1"/>
        <v>0.01</v>
      </c>
      <c r="I60" s="11" t="s">
        <v>57</v>
      </c>
    </row>
    <row r="61" spans="1:9" x14ac:dyDescent="0.15">
      <c r="C61" s="8">
        <v>0.7</v>
      </c>
      <c r="D61" s="9">
        <f>ROUNDUP(1.2/0.5,0)-1</f>
        <v>2</v>
      </c>
      <c r="E61" s="8">
        <f>0.05*4</f>
        <v>0.2</v>
      </c>
      <c r="F61" s="13">
        <f t="shared" si="4"/>
        <v>0.28000000000000003</v>
      </c>
      <c r="G61" s="21">
        <v>3.77</v>
      </c>
      <c r="H61" s="13">
        <f t="shared" si="1"/>
        <v>0.01</v>
      </c>
      <c r="I61" s="11" t="s">
        <v>57</v>
      </c>
    </row>
    <row r="62" spans="1:9" x14ac:dyDescent="0.15">
      <c r="C62" s="8">
        <v>0.59</v>
      </c>
      <c r="D62" s="9">
        <f>ROUNDUP(1.2/0.5,0)-1</f>
        <v>2</v>
      </c>
      <c r="E62" s="8">
        <f>0.05*4</f>
        <v>0.2</v>
      </c>
      <c r="F62" s="13">
        <f t="shared" si="4"/>
        <v>0.24</v>
      </c>
      <c r="G62" s="21">
        <v>3.77</v>
      </c>
      <c r="H62" s="13">
        <f t="shared" si="1"/>
        <v>0</v>
      </c>
      <c r="I62" s="11" t="s">
        <v>57</v>
      </c>
    </row>
    <row r="63" spans="1:9" x14ac:dyDescent="0.15">
      <c r="C63" s="8">
        <v>0.7</v>
      </c>
      <c r="D63" s="9">
        <f>ROUNDUP(1.29/0.5,0)-1</f>
        <v>2</v>
      </c>
      <c r="E63" s="8">
        <f>0.05*4</f>
        <v>0.2</v>
      </c>
      <c r="F63" s="13">
        <f t="shared" si="4"/>
        <v>0.28000000000000003</v>
      </c>
      <c r="G63" s="21">
        <v>3.77</v>
      </c>
      <c r="H63" s="13">
        <f t="shared" si="1"/>
        <v>0.01</v>
      </c>
      <c r="I63" s="11" t="s">
        <v>57</v>
      </c>
    </row>
    <row r="64" spans="1:9" x14ac:dyDescent="0.15">
      <c r="A64" s="7" t="s">
        <v>228</v>
      </c>
      <c r="F64" s="13">
        <f t="shared" si="4"/>
        <v>0</v>
      </c>
      <c r="H64" s="13">
        <f t="shared" si="1"/>
        <v>0</v>
      </c>
    </row>
    <row r="65" spans="1:9" x14ac:dyDescent="0.15">
      <c r="A65" s="7" t="s">
        <v>190</v>
      </c>
      <c r="B65" s="7" t="s">
        <v>220</v>
      </c>
      <c r="C65" s="8">
        <v>1.71</v>
      </c>
      <c r="D65" s="9">
        <v>1</v>
      </c>
      <c r="E65" s="8">
        <f>0.148*2+0.1*4</f>
        <v>0.69599999999999995</v>
      </c>
      <c r="F65" s="13">
        <f t="shared" si="4"/>
        <v>1.19</v>
      </c>
      <c r="G65" s="21">
        <v>20.25</v>
      </c>
      <c r="H65" s="13">
        <f t="shared" si="1"/>
        <v>0.03</v>
      </c>
      <c r="I65" s="11" t="s">
        <v>256</v>
      </c>
    </row>
    <row r="66" spans="1:9" x14ac:dyDescent="0.15">
      <c r="C66" s="8">
        <v>2.0499999999999998</v>
      </c>
      <c r="D66" s="9">
        <v>2</v>
      </c>
      <c r="E66" s="8">
        <f>0.148*2+0.1*4</f>
        <v>0.69599999999999995</v>
      </c>
      <c r="F66" s="13">
        <f t="shared" ref="F66:F97" si="7">ROUND(PRODUCT($C66:$E66),2)</f>
        <v>2.85</v>
      </c>
      <c r="G66" s="21">
        <v>20.25</v>
      </c>
      <c r="H66" s="13">
        <f t="shared" si="1"/>
        <v>0.08</v>
      </c>
      <c r="I66" s="11" t="s">
        <v>256</v>
      </c>
    </row>
    <row r="67" spans="1:9" x14ac:dyDescent="0.15">
      <c r="C67" s="8">
        <v>1.5</v>
      </c>
      <c r="D67" s="9">
        <v>1</v>
      </c>
      <c r="E67" s="8">
        <f>0.148*2+0.1*4</f>
        <v>0.69599999999999995</v>
      </c>
      <c r="F67" s="13">
        <f t="shared" si="7"/>
        <v>1.04</v>
      </c>
      <c r="G67" s="21">
        <v>20.25</v>
      </c>
      <c r="H67" s="13">
        <f t="shared" ref="H67:H130" si="8">ROUND(PRODUCT($C67:$D67,$G67)*0.001,2)</f>
        <v>0.03</v>
      </c>
      <c r="I67" s="11" t="s">
        <v>256</v>
      </c>
    </row>
    <row r="68" spans="1:9" x14ac:dyDescent="0.15">
      <c r="A68" s="7" t="s">
        <v>199</v>
      </c>
      <c r="B68" s="7" t="s">
        <v>194</v>
      </c>
      <c r="C68" s="8">
        <v>3.29</v>
      </c>
      <c r="D68" s="9">
        <v>3</v>
      </c>
      <c r="E68" s="8">
        <f t="shared" ref="E68:E73" si="9">0.194*2+0.15*4</f>
        <v>0.98799999999999999</v>
      </c>
      <c r="F68" s="13">
        <f t="shared" si="7"/>
        <v>9.75</v>
      </c>
      <c r="G68" s="21">
        <v>29.48</v>
      </c>
      <c r="H68" s="13">
        <f t="shared" si="8"/>
        <v>0.28999999999999998</v>
      </c>
      <c r="I68" s="11" t="s">
        <v>256</v>
      </c>
    </row>
    <row r="69" spans="1:9" x14ac:dyDescent="0.15">
      <c r="C69" s="8">
        <v>3.95</v>
      </c>
      <c r="D69" s="9">
        <v>3</v>
      </c>
      <c r="E69" s="8">
        <f t="shared" si="9"/>
        <v>0.98799999999999999</v>
      </c>
      <c r="F69" s="13">
        <f t="shared" si="7"/>
        <v>11.71</v>
      </c>
      <c r="G69" s="21">
        <v>29.48</v>
      </c>
      <c r="H69" s="13">
        <f t="shared" si="8"/>
        <v>0.35</v>
      </c>
      <c r="I69" s="11" t="s">
        <v>256</v>
      </c>
    </row>
    <row r="70" spans="1:9" x14ac:dyDescent="0.15">
      <c r="C70" s="8">
        <v>2.4500000000000002</v>
      </c>
      <c r="D70" s="9">
        <v>3</v>
      </c>
      <c r="E70" s="8">
        <f t="shared" si="9"/>
        <v>0.98799999999999999</v>
      </c>
      <c r="F70" s="13">
        <f t="shared" si="7"/>
        <v>7.26</v>
      </c>
      <c r="G70" s="21">
        <v>29.48</v>
      </c>
      <c r="H70" s="13">
        <f t="shared" si="8"/>
        <v>0.22</v>
      </c>
      <c r="I70" s="11" t="s">
        <v>256</v>
      </c>
    </row>
    <row r="71" spans="1:9" x14ac:dyDescent="0.15">
      <c r="C71" s="8">
        <v>1.5</v>
      </c>
      <c r="D71" s="9">
        <v>1</v>
      </c>
      <c r="E71" s="8">
        <f t="shared" si="9"/>
        <v>0.98799999999999999</v>
      </c>
      <c r="F71" s="13">
        <f t="shared" si="7"/>
        <v>1.48</v>
      </c>
      <c r="G71" s="21">
        <v>29.48</v>
      </c>
      <c r="H71" s="13">
        <f t="shared" si="8"/>
        <v>0.04</v>
      </c>
      <c r="I71" s="11" t="s">
        <v>256</v>
      </c>
    </row>
    <row r="72" spans="1:9" x14ac:dyDescent="0.15">
      <c r="C72" s="8">
        <v>2.7149999999999999</v>
      </c>
      <c r="D72" s="9">
        <v>3</v>
      </c>
      <c r="E72" s="8">
        <f t="shared" si="9"/>
        <v>0.98799999999999999</v>
      </c>
      <c r="F72" s="13">
        <f t="shared" si="7"/>
        <v>8.0500000000000007</v>
      </c>
      <c r="G72" s="21">
        <v>29.48</v>
      </c>
      <c r="H72" s="13">
        <f t="shared" si="8"/>
        <v>0.24</v>
      </c>
      <c r="I72" s="11" t="s">
        <v>256</v>
      </c>
    </row>
    <row r="73" spans="1:9" x14ac:dyDescent="0.15">
      <c r="C73" s="8">
        <v>3.6</v>
      </c>
      <c r="D73" s="9">
        <v>2</v>
      </c>
      <c r="E73" s="8">
        <f t="shared" si="9"/>
        <v>0.98799999999999999</v>
      </c>
      <c r="F73" s="13">
        <f t="shared" si="7"/>
        <v>7.11</v>
      </c>
      <c r="G73" s="21">
        <v>29.48</v>
      </c>
      <c r="H73" s="13">
        <f t="shared" si="8"/>
        <v>0.21</v>
      </c>
      <c r="I73" s="11" t="s">
        <v>256</v>
      </c>
    </row>
    <row r="74" spans="1:9" x14ac:dyDescent="0.15">
      <c r="A74" s="7" t="s">
        <v>213</v>
      </c>
      <c r="B74" s="7" t="s">
        <v>201</v>
      </c>
      <c r="C74" s="8">
        <v>1.71</v>
      </c>
      <c r="D74" s="9">
        <v>1</v>
      </c>
      <c r="E74" s="8">
        <f>0.244*2+0.175*4</f>
        <v>1.1879999999999999</v>
      </c>
      <c r="F74" s="13">
        <f t="shared" si="7"/>
        <v>2.0299999999999998</v>
      </c>
      <c r="G74" s="21">
        <v>42.42</v>
      </c>
      <c r="H74" s="13">
        <f t="shared" si="8"/>
        <v>7.0000000000000007E-2</v>
      </c>
      <c r="I74" s="11" t="s">
        <v>256</v>
      </c>
    </row>
    <row r="75" spans="1:9" x14ac:dyDescent="0.15">
      <c r="C75" s="8">
        <v>2.0499999999999998</v>
      </c>
      <c r="D75" s="9">
        <v>2</v>
      </c>
      <c r="E75" s="8">
        <f>0.244*2+0.175*4</f>
        <v>1.1879999999999999</v>
      </c>
      <c r="F75" s="13">
        <f t="shared" si="7"/>
        <v>4.87</v>
      </c>
      <c r="G75" s="21">
        <v>42.42</v>
      </c>
      <c r="H75" s="13">
        <f t="shared" si="8"/>
        <v>0.17</v>
      </c>
      <c r="I75" s="11" t="s">
        <v>256</v>
      </c>
    </row>
    <row r="76" spans="1:9" x14ac:dyDescent="0.15">
      <c r="C76" s="8">
        <v>2.67</v>
      </c>
      <c r="D76" s="9">
        <v>1</v>
      </c>
      <c r="E76" s="8">
        <f>0.244*2+0.175*4</f>
        <v>1.1879999999999999</v>
      </c>
      <c r="F76" s="13">
        <f t="shared" si="7"/>
        <v>3.17</v>
      </c>
      <c r="G76" s="21">
        <v>42.42</v>
      </c>
      <c r="H76" s="13">
        <f t="shared" si="8"/>
        <v>0.11</v>
      </c>
      <c r="I76" s="11" t="s">
        <v>256</v>
      </c>
    </row>
    <row r="77" spans="1:9" x14ac:dyDescent="0.15">
      <c r="C77" s="8">
        <v>3.6</v>
      </c>
      <c r="D77" s="9">
        <v>10</v>
      </c>
      <c r="E77" s="8">
        <f>0.244*2+0.175*4</f>
        <v>1.1879999999999999</v>
      </c>
      <c r="F77" s="13">
        <f t="shared" si="7"/>
        <v>42.77</v>
      </c>
      <c r="G77" s="21">
        <v>42.42</v>
      </c>
      <c r="H77" s="13">
        <f t="shared" si="8"/>
        <v>1.53</v>
      </c>
      <c r="I77" s="11" t="s">
        <v>256</v>
      </c>
    </row>
    <row r="78" spans="1:9" x14ac:dyDescent="0.15">
      <c r="A78" s="7" t="s">
        <v>215</v>
      </c>
      <c r="B78" s="7" t="s">
        <v>222</v>
      </c>
      <c r="C78" s="8">
        <v>5</v>
      </c>
      <c r="D78" s="9">
        <v>2</v>
      </c>
      <c r="E78" s="8">
        <f>0.294*2+0.2*4</f>
        <v>1.3879999999999999</v>
      </c>
      <c r="F78" s="13">
        <f t="shared" si="7"/>
        <v>13.88</v>
      </c>
      <c r="G78" s="21">
        <v>54.63</v>
      </c>
      <c r="H78" s="13">
        <f t="shared" si="8"/>
        <v>0.55000000000000004</v>
      </c>
      <c r="I78" s="11" t="s">
        <v>256</v>
      </c>
    </row>
    <row r="79" spans="1:9" x14ac:dyDescent="0.15">
      <c r="C79" s="8">
        <v>6</v>
      </c>
      <c r="D79" s="9">
        <v>4</v>
      </c>
      <c r="E79" s="8">
        <f>0.294*2+0.2*4</f>
        <v>1.3879999999999999</v>
      </c>
      <c r="F79" s="13">
        <f t="shared" si="7"/>
        <v>33.31</v>
      </c>
      <c r="G79" s="21">
        <v>54.63</v>
      </c>
      <c r="H79" s="13">
        <f t="shared" si="8"/>
        <v>1.31</v>
      </c>
      <c r="I79" s="11" t="s">
        <v>256</v>
      </c>
    </row>
    <row r="80" spans="1:9" x14ac:dyDescent="0.15">
      <c r="A80" s="7" t="s">
        <v>216</v>
      </c>
      <c r="B80" s="7" t="s">
        <v>223</v>
      </c>
      <c r="C80" s="8">
        <v>6</v>
      </c>
      <c r="D80" s="9">
        <v>2</v>
      </c>
      <c r="E80" s="8">
        <f>0.34*2+0.25*4</f>
        <v>1.6800000000000002</v>
      </c>
      <c r="F80" s="13">
        <f t="shared" si="7"/>
        <v>20.16</v>
      </c>
      <c r="G80" s="21">
        <v>76.989999999999995</v>
      </c>
      <c r="H80" s="13">
        <f t="shared" si="8"/>
        <v>0.92</v>
      </c>
      <c r="I80" s="11" t="s">
        <v>256</v>
      </c>
    </row>
    <row r="81" spans="1:9" x14ac:dyDescent="0.15">
      <c r="A81" s="7" t="s">
        <v>230</v>
      </c>
      <c r="B81" s="7" t="s">
        <v>253</v>
      </c>
      <c r="C81" s="8">
        <v>0.9</v>
      </c>
      <c r="D81" s="9">
        <v>1</v>
      </c>
      <c r="E81" s="8">
        <f>0.194*2+0.15*4</f>
        <v>0.98799999999999999</v>
      </c>
      <c r="F81" s="13">
        <f t="shared" si="7"/>
        <v>0.89</v>
      </c>
      <c r="G81" s="21">
        <v>29.48</v>
      </c>
      <c r="H81" s="13">
        <f t="shared" si="8"/>
        <v>0.03</v>
      </c>
      <c r="I81" s="11" t="s">
        <v>256</v>
      </c>
    </row>
    <row r="82" spans="1:9" x14ac:dyDescent="0.15">
      <c r="B82" s="7" t="s">
        <v>255</v>
      </c>
      <c r="C82" s="8">
        <v>0.16</v>
      </c>
      <c r="D82" s="9">
        <f>2*1</f>
        <v>2</v>
      </c>
      <c r="E82" s="8">
        <f>0.072*2</f>
        <v>0.14399999999999999</v>
      </c>
      <c r="F82" s="13">
        <f t="shared" si="7"/>
        <v>0.05</v>
      </c>
      <c r="G82" s="21">
        <f>0.072*0.008*7850</f>
        <v>4.5216000000000003</v>
      </c>
      <c r="H82" s="13">
        <f t="shared" si="8"/>
        <v>0</v>
      </c>
      <c r="I82" s="11" t="s">
        <v>256</v>
      </c>
    </row>
    <row r="83" spans="1:9" x14ac:dyDescent="0.15">
      <c r="B83" s="7" t="s">
        <v>254</v>
      </c>
      <c r="C83" s="8">
        <f>0.9*2^0.5</f>
        <v>1.2727922061357857</v>
      </c>
      <c r="D83" s="9">
        <v>1</v>
      </c>
      <c r="E83" s="8">
        <f>0.126*2+0.053*4</f>
        <v>0.46399999999999997</v>
      </c>
      <c r="F83" s="13">
        <f t="shared" si="7"/>
        <v>0.59</v>
      </c>
      <c r="G83" s="21">
        <v>12.4</v>
      </c>
      <c r="H83" s="13">
        <f t="shared" si="8"/>
        <v>0.02</v>
      </c>
      <c r="I83" s="11" t="s">
        <v>256</v>
      </c>
    </row>
    <row r="84" spans="1:9" x14ac:dyDescent="0.15">
      <c r="A84" s="7" t="s">
        <v>231</v>
      </c>
      <c r="B84" s="7" t="s">
        <v>253</v>
      </c>
      <c r="C84" s="8">
        <v>0.9</v>
      </c>
      <c r="D84" s="9">
        <v>1</v>
      </c>
      <c r="E84" s="8">
        <f>0.194*2+0.15*4</f>
        <v>0.98799999999999999</v>
      </c>
      <c r="F84" s="13">
        <f t="shared" si="7"/>
        <v>0.89</v>
      </c>
      <c r="G84" s="21">
        <v>29.48</v>
      </c>
      <c r="H84" s="13">
        <f t="shared" si="8"/>
        <v>0.03</v>
      </c>
      <c r="I84" s="11" t="s">
        <v>256</v>
      </c>
    </row>
    <row r="85" spans="1:9" x14ac:dyDescent="0.15">
      <c r="B85" s="7" t="s">
        <v>255</v>
      </c>
      <c r="C85" s="8">
        <v>0.16</v>
      </c>
      <c r="D85" s="9">
        <f>2*1</f>
        <v>2</v>
      </c>
      <c r="E85" s="8">
        <f>0.072*2</f>
        <v>0.14399999999999999</v>
      </c>
      <c r="F85" s="13">
        <f t="shared" si="7"/>
        <v>0.05</v>
      </c>
      <c r="G85" s="21">
        <f>0.072*0.008*7850</f>
        <v>4.5216000000000003</v>
      </c>
      <c r="H85" s="13">
        <f t="shared" si="8"/>
        <v>0</v>
      </c>
      <c r="I85" s="11" t="s">
        <v>256</v>
      </c>
    </row>
    <row r="86" spans="1:9" x14ac:dyDescent="0.15">
      <c r="B86" s="7" t="s">
        <v>254</v>
      </c>
      <c r="C86" s="8">
        <f>0.9*2^0.5</f>
        <v>1.2727922061357857</v>
      </c>
      <c r="D86" s="9">
        <v>1</v>
      </c>
      <c r="E86" s="8">
        <f>0.126*2+0.053*4</f>
        <v>0.46399999999999997</v>
      </c>
      <c r="F86" s="13">
        <f t="shared" si="7"/>
        <v>0.59</v>
      </c>
      <c r="G86" s="21">
        <v>12.4</v>
      </c>
      <c r="H86" s="13">
        <f t="shared" si="8"/>
        <v>0.02</v>
      </c>
      <c r="I86" s="11" t="s">
        <v>256</v>
      </c>
    </row>
    <row r="87" spans="1:9" x14ac:dyDescent="0.15">
      <c r="A87" s="7" t="s">
        <v>80</v>
      </c>
      <c r="B87" s="7" t="s">
        <v>225</v>
      </c>
      <c r="C87" s="8">
        <f>(0.325^2+0.57^2)^0.5</f>
        <v>0.6561440390645944</v>
      </c>
      <c r="D87" s="9">
        <v>2</v>
      </c>
      <c r="E87" s="8">
        <f>0.08*4</f>
        <v>0.32</v>
      </c>
      <c r="F87" s="13">
        <f t="shared" si="7"/>
        <v>0.42</v>
      </c>
      <c r="G87" s="21">
        <v>7.38</v>
      </c>
      <c r="H87" s="13">
        <f t="shared" si="8"/>
        <v>0.01</v>
      </c>
      <c r="I87" s="11" t="s">
        <v>256</v>
      </c>
    </row>
    <row r="88" spans="1:9" x14ac:dyDescent="0.15">
      <c r="A88" s="7" t="s">
        <v>57</v>
      </c>
      <c r="B88" s="7" t="s">
        <v>232</v>
      </c>
      <c r="C88" s="8">
        <v>3.6</v>
      </c>
      <c r="D88" s="9">
        <v>1</v>
      </c>
      <c r="E88" s="8">
        <v>24.2</v>
      </c>
      <c r="F88" s="13">
        <f t="shared" si="7"/>
        <v>87.12</v>
      </c>
      <c r="G88" s="21">
        <f>24.2*0.006*7850</f>
        <v>1139.82</v>
      </c>
      <c r="H88" s="13">
        <f t="shared" si="8"/>
        <v>4.0999999999999996</v>
      </c>
      <c r="I88" s="11" t="s">
        <v>245</v>
      </c>
    </row>
    <row r="89" spans="1:9" x14ac:dyDescent="0.15">
      <c r="A89" s="7" t="s">
        <v>229</v>
      </c>
      <c r="B89" s="7" t="s">
        <v>101</v>
      </c>
      <c r="C89" s="8">
        <v>1.2</v>
      </c>
      <c r="D89" s="9">
        <f>ROUNDUP(3.6/0.5,0)-1</f>
        <v>7</v>
      </c>
      <c r="E89" s="8">
        <f t="shared" ref="E89:E115" si="10">0.05*4</f>
        <v>0.2</v>
      </c>
      <c r="F89" s="13">
        <f t="shared" si="7"/>
        <v>1.68</v>
      </c>
      <c r="G89" s="21">
        <v>3.77</v>
      </c>
      <c r="H89" s="13">
        <f t="shared" si="8"/>
        <v>0.03</v>
      </c>
      <c r="I89" s="11" t="s">
        <v>245</v>
      </c>
    </row>
    <row r="90" spans="1:9" x14ac:dyDescent="0.15">
      <c r="C90" s="8">
        <v>0.8</v>
      </c>
      <c r="D90" s="9">
        <f>ROUNDUP(1.71/0.5,0)-1</f>
        <v>3</v>
      </c>
      <c r="E90" s="8">
        <f t="shared" si="10"/>
        <v>0.2</v>
      </c>
      <c r="F90" s="13">
        <f t="shared" si="7"/>
        <v>0.48</v>
      </c>
      <c r="G90" s="21">
        <v>3.77</v>
      </c>
      <c r="H90" s="13">
        <f t="shared" si="8"/>
        <v>0.01</v>
      </c>
      <c r="I90" s="11" t="s">
        <v>245</v>
      </c>
    </row>
    <row r="91" spans="1:9" x14ac:dyDescent="0.15">
      <c r="C91" s="8">
        <v>0.94499999999999995</v>
      </c>
      <c r="D91" s="9">
        <f>ROUNDUP(1.71/0.5,0)-1</f>
        <v>3</v>
      </c>
      <c r="E91" s="8">
        <f t="shared" si="10"/>
        <v>0.2</v>
      </c>
      <c r="F91" s="13">
        <f t="shared" si="7"/>
        <v>0.56999999999999995</v>
      </c>
      <c r="G91" s="21">
        <v>3.77</v>
      </c>
      <c r="H91" s="13">
        <f t="shared" si="8"/>
        <v>0.01</v>
      </c>
      <c r="I91" s="11" t="s">
        <v>245</v>
      </c>
    </row>
    <row r="92" spans="1:9" x14ac:dyDescent="0.15">
      <c r="C92" s="8">
        <v>0.96499999999999997</v>
      </c>
      <c r="D92" s="9">
        <f>ROUNDUP(3.29/0.5,0)-1</f>
        <v>6</v>
      </c>
      <c r="E92" s="8">
        <f t="shared" si="10"/>
        <v>0.2</v>
      </c>
      <c r="F92" s="13">
        <f t="shared" si="7"/>
        <v>1.1599999999999999</v>
      </c>
      <c r="G92" s="21">
        <v>3.77</v>
      </c>
      <c r="H92" s="13">
        <f t="shared" si="8"/>
        <v>0.02</v>
      </c>
      <c r="I92" s="11" t="s">
        <v>245</v>
      </c>
    </row>
    <row r="93" spans="1:9" x14ac:dyDescent="0.15">
      <c r="C93" s="8">
        <v>0.59499999999999997</v>
      </c>
      <c r="D93" s="9">
        <f>ROUNDUP(3.29/0.5,0)-1</f>
        <v>6</v>
      </c>
      <c r="E93" s="8">
        <f t="shared" si="10"/>
        <v>0.2</v>
      </c>
      <c r="F93" s="13">
        <f t="shared" si="7"/>
        <v>0.71</v>
      </c>
      <c r="G93" s="21">
        <v>3.77</v>
      </c>
      <c r="H93" s="13">
        <f t="shared" si="8"/>
        <v>0.01</v>
      </c>
      <c r="I93" s="11" t="s">
        <v>245</v>
      </c>
    </row>
    <row r="94" spans="1:9" x14ac:dyDescent="0.15">
      <c r="C94" s="8">
        <v>0.94499999999999995</v>
      </c>
      <c r="D94" s="9">
        <f>ROUNDUP(3.29/0.5,0)-1</f>
        <v>6</v>
      </c>
      <c r="E94" s="8">
        <f t="shared" si="10"/>
        <v>0.2</v>
      </c>
      <c r="F94" s="13">
        <f t="shared" si="7"/>
        <v>1.1299999999999999</v>
      </c>
      <c r="G94" s="21">
        <v>3.77</v>
      </c>
      <c r="H94" s="13">
        <f t="shared" si="8"/>
        <v>0.02</v>
      </c>
      <c r="I94" s="11" t="s">
        <v>245</v>
      </c>
    </row>
    <row r="95" spans="1:9" x14ac:dyDescent="0.15">
      <c r="C95" s="8">
        <v>0.94499999999999995</v>
      </c>
      <c r="D95" s="9">
        <f>ROUNDUP(3.29/0.5,0)-1</f>
        <v>6</v>
      </c>
      <c r="E95" s="8">
        <f t="shared" si="10"/>
        <v>0.2</v>
      </c>
      <c r="F95" s="13">
        <f t="shared" si="7"/>
        <v>1.1299999999999999</v>
      </c>
      <c r="G95" s="21">
        <v>3.77</v>
      </c>
      <c r="H95" s="13">
        <f t="shared" si="8"/>
        <v>0.02</v>
      </c>
      <c r="I95" s="11" t="s">
        <v>245</v>
      </c>
    </row>
    <row r="96" spans="1:9" x14ac:dyDescent="0.15">
      <c r="C96" s="8">
        <v>0.75</v>
      </c>
      <c r="D96" s="9">
        <f>ROUNDUP(2.05/0.5,0)-1</f>
        <v>4</v>
      </c>
      <c r="E96" s="8">
        <f t="shared" si="10"/>
        <v>0.2</v>
      </c>
      <c r="F96" s="13">
        <f t="shared" si="7"/>
        <v>0.6</v>
      </c>
      <c r="G96" s="21">
        <v>3.77</v>
      </c>
      <c r="H96" s="13">
        <f t="shared" si="8"/>
        <v>0.01</v>
      </c>
      <c r="I96" s="11" t="s">
        <v>245</v>
      </c>
    </row>
    <row r="97" spans="3:9" x14ac:dyDescent="0.15">
      <c r="C97" s="8">
        <v>0.65500000000000003</v>
      </c>
      <c r="D97" s="9">
        <f>ROUNDUP(2.05/0.5,0)-1</f>
        <v>4</v>
      </c>
      <c r="E97" s="8">
        <f t="shared" si="10"/>
        <v>0.2</v>
      </c>
      <c r="F97" s="13">
        <f t="shared" si="7"/>
        <v>0.52</v>
      </c>
      <c r="G97" s="21">
        <v>3.77</v>
      </c>
      <c r="H97" s="13">
        <f t="shared" si="8"/>
        <v>0.01</v>
      </c>
      <c r="I97" s="11" t="s">
        <v>245</v>
      </c>
    </row>
    <row r="98" spans="3:9" x14ac:dyDescent="0.15">
      <c r="C98" s="8">
        <v>0.96499999999999997</v>
      </c>
      <c r="D98" s="9">
        <f>ROUNDUP(3.95/0.5,0)-1</f>
        <v>7</v>
      </c>
      <c r="E98" s="8">
        <f t="shared" si="10"/>
        <v>0.2</v>
      </c>
      <c r="F98" s="13">
        <f t="shared" ref="F98:F129" si="11">ROUND(PRODUCT($C98:$E98),2)</f>
        <v>1.35</v>
      </c>
      <c r="G98" s="21">
        <v>3.77</v>
      </c>
      <c r="H98" s="13">
        <f t="shared" si="8"/>
        <v>0.03</v>
      </c>
      <c r="I98" s="11" t="s">
        <v>245</v>
      </c>
    </row>
    <row r="99" spans="3:9" x14ac:dyDescent="0.15">
      <c r="C99" s="8">
        <v>0.59499999999999997</v>
      </c>
      <c r="D99" s="9">
        <f>ROUNDUP(3.95/0.5,0)-1</f>
        <v>7</v>
      </c>
      <c r="E99" s="8">
        <f t="shared" si="10"/>
        <v>0.2</v>
      </c>
      <c r="F99" s="13">
        <f t="shared" si="11"/>
        <v>0.83</v>
      </c>
      <c r="G99" s="21">
        <v>3.77</v>
      </c>
      <c r="H99" s="13">
        <f t="shared" si="8"/>
        <v>0.02</v>
      </c>
      <c r="I99" s="11" t="s">
        <v>245</v>
      </c>
    </row>
    <row r="100" spans="3:9" x14ac:dyDescent="0.15">
      <c r="C100" s="8">
        <v>0.94499999999999995</v>
      </c>
      <c r="D100" s="9">
        <f>ROUNDUP(3.95/0.5,0)-1</f>
        <v>7</v>
      </c>
      <c r="E100" s="8">
        <f t="shared" si="10"/>
        <v>0.2</v>
      </c>
      <c r="F100" s="13">
        <f t="shared" si="11"/>
        <v>1.32</v>
      </c>
      <c r="G100" s="21">
        <v>3.77</v>
      </c>
      <c r="H100" s="13">
        <f t="shared" si="8"/>
        <v>0.02</v>
      </c>
      <c r="I100" s="11" t="s">
        <v>245</v>
      </c>
    </row>
    <row r="101" spans="3:9" x14ac:dyDescent="0.15">
      <c r="C101" s="8">
        <v>0.94499999999999995</v>
      </c>
      <c r="D101" s="9">
        <f>ROUNDUP(3.95/0.5,0)-1</f>
        <v>7</v>
      </c>
      <c r="E101" s="8">
        <f t="shared" si="10"/>
        <v>0.2</v>
      </c>
      <c r="F101" s="13">
        <f t="shared" si="11"/>
        <v>1.32</v>
      </c>
      <c r="G101" s="21">
        <v>3.77</v>
      </c>
      <c r="H101" s="13">
        <f t="shared" si="8"/>
        <v>0.02</v>
      </c>
      <c r="I101" s="11" t="s">
        <v>245</v>
      </c>
    </row>
    <row r="102" spans="3:9" x14ac:dyDescent="0.15">
      <c r="C102" s="8">
        <v>0.75</v>
      </c>
      <c r="D102" s="9">
        <f>ROUNDUP(2.05/0.5,0)-1</f>
        <v>4</v>
      </c>
      <c r="E102" s="8">
        <f t="shared" si="10"/>
        <v>0.2</v>
      </c>
      <c r="F102" s="13">
        <f t="shared" si="11"/>
        <v>0.6</v>
      </c>
      <c r="G102" s="21">
        <v>3.77</v>
      </c>
      <c r="H102" s="13">
        <f t="shared" si="8"/>
        <v>0.01</v>
      </c>
      <c r="I102" s="11" t="s">
        <v>245</v>
      </c>
    </row>
    <row r="103" spans="3:9" x14ac:dyDescent="0.15">
      <c r="C103" s="8">
        <v>0.65500000000000003</v>
      </c>
      <c r="D103" s="9">
        <f>ROUNDUP(2.05/0.5,0)-1</f>
        <v>4</v>
      </c>
      <c r="E103" s="8">
        <f t="shared" si="10"/>
        <v>0.2</v>
      </c>
      <c r="F103" s="13">
        <f t="shared" si="11"/>
        <v>0.52</v>
      </c>
      <c r="G103" s="21">
        <v>3.77</v>
      </c>
      <c r="H103" s="13">
        <f t="shared" si="8"/>
        <v>0.01</v>
      </c>
      <c r="I103" s="11" t="s">
        <v>245</v>
      </c>
    </row>
    <row r="104" spans="3:9" x14ac:dyDescent="0.15">
      <c r="C104" s="8">
        <v>0.96499999999999997</v>
      </c>
      <c r="D104" s="9">
        <f>ROUNDUP(2.45/0.5,0)-1</f>
        <v>4</v>
      </c>
      <c r="E104" s="8">
        <f t="shared" si="10"/>
        <v>0.2</v>
      </c>
      <c r="F104" s="13">
        <f t="shared" si="11"/>
        <v>0.77</v>
      </c>
      <c r="G104" s="21">
        <v>3.77</v>
      </c>
      <c r="H104" s="13">
        <f t="shared" si="8"/>
        <v>0.01</v>
      </c>
      <c r="I104" s="11" t="s">
        <v>245</v>
      </c>
    </row>
    <row r="105" spans="3:9" x14ac:dyDescent="0.15">
      <c r="C105" s="8">
        <v>0.59499999999999997</v>
      </c>
      <c r="D105" s="9">
        <f>ROUNDUP(2.45/0.5,0)-1</f>
        <v>4</v>
      </c>
      <c r="E105" s="8">
        <f t="shared" si="10"/>
        <v>0.2</v>
      </c>
      <c r="F105" s="13">
        <f t="shared" si="11"/>
        <v>0.48</v>
      </c>
      <c r="G105" s="21">
        <v>3.77</v>
      </c>
      <c r="H105" s="13">
        <f t="shared" si="8"/>
        <v>0.01</v>
      </c>
      <c r="I105" s="11" t="s">
        <v>245</v>
      </c>
    </row>
    <row r="106" spans="3:9" x14ac:dyDescent="0.15">
      <c r="C106" s="8">
        <v>0.94499999999999995</v>
      </c>
      <c r="D106" s="9">
        <f>ROUNDUP(2.45/0.5,0)-1</f>
        <v>4</v>
      </c>
      <c r="E106" s="8">
        <f t="shared" si="10"/>
        <v>0.2</v>
      </c>
      <c r="F106" s="13">
        <f t="shared" si="11"/>
        <v>0.76</v>
      </c>
      <c r="G106" s="21">
        <v>3.77</v>
      </c>
      <c r="H106" s="13">
        <f t="shared" si="8"/>
        <v>0.01</v>
      </c>
      <c r="I106" s="11" t="s">
        <v>245</v>
      </c>
    </row>
    <row r="107" spans="3:9" x14ac:dyDescent="0.15">
      <c r="C107" s="8">
        <v>0.94499999999999995</v>
      </c>
      <c r="D107" s="9">
        <f>ROUNDUP(2.45/0.5,0)-1</f>
        <v>4</v>
      </c>
      <c r="E107" s="8">
        <f t="shared" si="10"/>
        <v>0.2</v>
      </c>
      <c r="F107" s="13">
        <f t="shared" si="11"/>
        <v>0.76</v>
      </c>
      <c r="G107" s="21">
        <v>3.77</v>
      </c>
      <c r="H107" s="13">
        <f t="shared" si="8"/>
        <v>0.01</v>
      </c>
      <c r="I107" s="11" t="s">
        <v>245</v>
      </c>
    </row>
    <row r="108" spans="3:9" x14ac:dyDescent="0.15">
      <c r="C108" s="8">
        <v>0.97</v>
      </c>
      <c r="D108" s="9">
        <f>ROUNDUP(1.5/0.5,0)-1</f>
        <v>2</v>
      </c>
      <c r="E108" s="8">
        <f t="shared" si="10"/>
        <v>0.2</v>
      </c>
      <c r="F108" s="13">
        <f t="shared" si="11"/>
        <v>0.39</v>
      </c>
      <c r="G108" s="21">
        <v>3.77</v>
      </c>
      <c r="H108" s="13">
        <f t="shared" si="8"/>
        <v>0.01</v>
      </c>
      <c r="I108" s="11" t="s">
        <v>245</v>
      </c>
    </row>
    <row r="109" spans="3:9" x14ac:dyDescent="0.15">
      <c r="C109" s="8">
        <v>1.07</v>
      </c>
      <c r="D109" s="9">
        <f>ROUNDUP(1.5/0.5,0)-1</f>
        <v>2</v>
      </c>
      <c r="E109" s="8">
        <f t="shared" si="10"/>
        <v>0.2</v>
      </c>
      <c r="F109" s="13">
        <f t="shared" si="11"/>
        <v>0.43</v>
      </c>
      <c r="G109" s="21">
        <v>3.77</v>
      </c>
      <c r="H109" s="13">
        <f t="shared" si="8"/>
        <v>0.01</v>
      </c>
      <c r="I109" s="11" t="s">
        <v>245</v>
      </c>
    </row>
    <row r="110" spans="3:9" x14ac:dyDescent="0.15">
      <c r="C110" s="8">
        <v>0.84</v>
      </c>
      <c r="D110" s="9">
        <f>ROUNDUP(2.715/0.5,0)-1</f>
        <v>5</v>
      </c>
      <c r="E110" s="8">
        <f t="shared" si="10"/>
        <v>0.2</v>
      </c>
      <c r="F110" s="13">
        <f t="shared" si="11"/>
        <v>0.84</v>
      </c>
      <c r="G110" s="21">
        <v>3.77</v>
      </c>
      <c r="H110" s="13">
        <f t="shared" si="8"/>
        <v>0.02</v>
      </c>
      <c r="I110" s="11" t="s">
        <v>245</v>
      </c>
    </row>
    <row r="111" spans="3:9" x14ac:dyDescent="0.15">
      <c r="C111" s="8">
        <v>0.59499999999999997</v>
      </c>
      <c r="D111" s="9">
        <f>ROUNDUP(2.715/0.5,0)-1</f>
        <v>5</v>
      </c>
      <c r="E111" s="8">
        <f t="shared" si="10"/>
        <v>0.2</v>
      </c>
      <c r="F111" s="13">
        <f t="shared" si="11"/>
        <v>0.6</v>
      </c>
      <c r="G111" s="21">
        <v>3.77</v>
      </c>
      <c r="H111" s="13">
        <f t="shared" si="8"/>
        <v>0.01</v>
      </c>
      <c r="I111" s="11" t="s">
        <v>245</v>
      </c>
    </row>
    <row r="112" spans="3:9" x14ac:dyDescent="0.15">
      <c r="C112" s="8">
        <v>0.94499999999999995</v>
      </c>
      <c r="D112" s="9">
        <f>ROUNDUP(2.715/0.5,0)-1</f>
        <v>5</v>
      </c>
      <c r="E112" s="8">
        <f t="shared" si="10"/>
        <v>0.2</v>
      </c>
      <c r="F112" s="13">
        <f t="shared" si="11"/>
        <v>0.95</v>
      </c>
      <c r="G112" s="21">
        <v>3.77</v>
      </c>
      <c r="H112" s="13">
        <f t="shared" si="8"/>
        <v>0.02</v>
      </c>
      <c r="I112" s="11" t="s">
        <v>245</v>
      </c>
    </row>
    <row r="113" spans="1:9" x14ac:dyDescent="0.15">
      <c r="C113" s="8">
        <v>1.071</v>
      </c>
      <c r="D113" s="9">
        <f>ROUNDUP(2.715/0.5,0)-1</f>
        <v>5</v>
      </c>
      <c r="E113" s="8">
        <f t="shared" si="10"/>
        <v>0.2</v>
      </c>
      <c r="F113" s="13">
        <f t="shared" si="11"/>
        <v>1.07</v>
      </c>
      <c r="G113" s="21">
        <v>3.77</v>
      </c>
      <c r="H113" s="13">
        <f t="shared" si="8"/>
        <v>0.02</v>
      </c>
      <c r="I113" s="11" t="s">
        <v>245</v>
      </c>
    </row>
    <row r="114" spans="1:9" x14ac:dyDescent="0.15">
      <c r="C114" s="8">
        <v>0.38</v>
      </c>
      <c r="D114" s="9">
        <f>ROUNDUP(2.67/0.5,0)-1</f>
        <v>5</v>
      </c>
      <c r="E114" s="8">
        <f t="shared" si="10"/>
        <v>0.2</v>
      </c>
      <c r="F114" s="13">
        <f t="shared" si="11"/>
        <v>0.38</v>
      </c>
      <c r="G114" s="21">
        <v>3.77</v>
      </c>
      <c r="H114" s="13">
        <f t="shared" si="8"/>
        <v>0.01</v>
      </c>
      <c r="I114" s="11" t="s">
        <v>245</v>
      </c>
    </row>
    <row r="115" spans="1:9" x14ac:dyDescent="0.15">
      <c r="C115" s="8">
        <v>0.46500000000000002</v>
      </c>
      <c r="D115" s="9">
        <f>ROUNDUP(3.6/0.5,0)-1</f>
        <v>7</v>
      </c>
      <c r="E115" s="8">
        <f t="shared" si="10"/>
        <v>0.2</v>
      </c>
      <c r="F115" s="13">
        <f t="shared" si="11"/>
        <v>0.65</v>
      </c>
      <c r="G115" s="21">
        <v>3.77</v>
      </c>
      <c r="H115" s="13">
        <f t="shared" si="8"/>
        <v>0.01</v>
      </c>
      <c r="I115" s="11" t="s">
        <v>245</v>
      </c>
    </row>
    <row r="116" spans="1:9" x14ac:dyDescent="0.15">
      <c r="A116" s="7" t="s">
        <v>233</v>
      </c>
      <c r="F116" s="13">
        <f t="shared" si="11"/>
        <v>0</v>
      </c>
      <c r="H116" s="13">
        <f t="shared" si="8"/>
        <v>0</v>
      </c>
    </row>
    <row r="117" spans="1:9" x14ac:dyDescent="0.15">
      <c r="A117" s="7" t="s">
        <v>190</v>
      </c>
      <c r="B117" s="7" t="s">
        <v>220</v>
      </c>
      <c r="C117" s="8">
        <v>0.9</v>
      </c>
      <c r="D117" s="9">
        <v>4</v>
      </c>
      <c r="E117" s="8">
        <f>0.148*2+0.1*4</f>
        <v>0.69599999999999995</v>
      </c>
      <c r="F117" s="13">
        <f t="shared" si="11"/>
        <v>2.5099999999999998</v>
      </c>
      <c r="G117" s="21">
        <v>20.25</v>
      </c>
      <c r="H117" s="13">
        <f t="shared" si="8"/>
        <v>7.0000000000000007E-2</v>
      </c>
      <c r="I117" s="11" t="s">
        <v>256</v>
      </c>
    </row>
    <row r="118" spans="1:9" x14ac:dyDescent="0.15">
      <c r="C118" s="8">
        <v>2</v>
      </c>
      <c r="D118" s="9">
        <v>6</v>
      </c>
      <c r="E118" s="8">
        <f>0.148*2+0.1*4</f>
        <v>0.69599999999999995</v>
      </c>
      <c r="F118" s="13">
        <f t="shared" si="11"/>
        <v>8.35</v>
      </c>
      <c r="G118" s="21">
        <v>20.25</v>
      </c>
      <c r="H118" s="13">
        <f t="shared" si="8"/>
        <v>0.24</v>
      </c>
      <c r="I118" s="11" t="s">
        <v>256</v>
      </c>
    </row>
    <row r="119" spans="1:9" x14ac:dyDescent="0.15">
      <c r="C119" s="8">
        <f>0.36*2^0.5</f>
        <v>0.50911688245431419</v>
      </c>
      <c r="D119" s="9">
        <v>16</v>
      </c>
      <c r="E119" s="8">
        <f>0.148*2+0.1*4</f>
        <v>0.69599999999999995</v>
      </c>
      <c r="F119" s="13">
        <f t="shared" si="11"/>
        <v>5.67</v>
      </c>
      <c r="G119" s="21">
        <v>20.25</v>
      </c>
      <c r="H119" s="13">
        <f t="shared" si="8"/>
        <v>0.16</v>
      </c>
      <c r="I119" s="11" t="s">
        <v>256</v>
      </c>
    </row>
    <row r="120" spans="1:9" x14ac:dyDescent="0.15">
      <c r="A120" s="7" t="s">
        <v>199</v>
      </c>
      <c r="B120" s="7" t="s">
        <v>194</v>
      </c>
      <c r="C120" s="8">
        <v>2</v>
      </c>
      <c r="D120" s="9">
        <v>2</v>
      </c>
      <c r="E120" s="8">
        <f>0.194*2+0.15*4</f>
        <v>0.98799999999999999</v>
      </c>
      <c r="F120" s="13">
        <f t="shared" si="11"/>
        <v>3.95</v>
      </c>
      <c r="G120" s="21">
        <v>29.48</v>
      </c>
      <c r="H120" s="13">
        <f t="shared" si="8"/>
        <v>0.12</v>
      </c>
      <c r="I120" s="11" t="s">
        <v>256</v>
      </c>
    </row>
    <row r="121" spans="1:9" x14ac:dyDescent="0.15">
      <c r="A121" s="7" t="s">
        <v>213</v>
      </c>
      <c r="B121" s="7" t="s">
        <v>201</v>
      </c>
      <c r="C121" s="8">
        <v>6</v>
      </c>
      <c r="D121" s="9">
        <v>2</v>
      </c>
      <c r="E121" s="8">
        <f>0.244*2+0.175*4</f>
        <v>1.1879999999999999</v>
      </c>
      <c r="F121" s="13">
        <f t="shared" si="11"/>
        <v>14.26</v>
      </c>
      <c r="G121" s="21">
        <v>42.42</v>
      </c>
      <c r="H121" s="13">
        <f t="shared" si="8"/>
        <v>0.51</v>
      </c>
      <c r="I121" s="11" t="s">
        <v>256</v>
      </c>
    </row>
    <row r="122" spans="1:9" x14ac:dyDescent="0.15">
      <c r="A122" s="7" t="s">
        <v>57</v>
      </c>
      <c r="B122" s="7" t="s">
        <v>234</v>
      </c>
      <c r="C122" s="8">
        <v>2</v>
      </c>
      <c r="D122" s="9">
        <v>1</v>
      </c>
      <c r="E122" s="8">
        <v>6</v>
      </c>
      <c r="F122" s="13">
        <f t="shared" si="11"/>
        <v>12</v>
      </c>
      <c r="G122" s="21">
        <f>6*0.006*7850</f>
        <v>282.60000000000002</v>
      </c>
      <c r="H122" s="13">
        <f t="shared" si="8"/>
        <v>0.56999999999999995</v>
      </c>
      <c r="I122" s="11" t="s">
        <v>245</v>
      </c>
    </row>
    <row r="123" spans="1:9" x14ac:dyDescent="0.15">
      <c r="A123" s="7" t="s">
        <v>235</v>
      </c>
      <c r="B123" s="7" t="s">
        <v>101</v>
      </c>
      <c r="C123" s="8">
        <v>0.85</v>
      </c>
      <c r="D123" s="9">
        <f>ROUNDUP(2/0.5,0)-1</f>
        <v>3</v>
      </c>
      <c r="E123" s="8">
        <f t="shared" ref="E123:E129" si="12">0.05*4</f>
        <v>0.2</v>
      </c>
      <c r="F123" s="13">
        <f t="shared" si="11"/>
        <v>0.51</v>
      </c>
      <c r="G123" s="21">
        <v>3.77</v>
      </c>
      <c r="H123" s="13">
        <f t="shared" si="8"/>
        <v>0.01</v>
      </c>
      <c r="I123" s="11" t="s">
        <v>245</v>
      </c>
    </row>
    <row r="124" spans="1:9" x14ac:dyDescent="0.15">
      <c r="C124" s="8">
        <v>0.9</v>
      </c>
      <c r="D124" s="9">
        <f>ROUNDUP(1/0.5,0)-1</f>
        <v>1</v>
      </c>
      <c r="E124" s="8">
        <f t="shared" si="12"/>
        <v>0.2</v>
      </c>
      <c r="F124" s="13">
        <f t="shared" si="11"/>
        <v>0.18</v>
      </c>
      <c r="G124" s="21">
        <v>3.77</v>
      </c>
      <c r="H124" s="13">
        <f t="shared" si="8"/>
        <v>0</v>
      </c>
      <c r="I124" s="11" t="s">
        <v>245</v>
      </c>
    </row>
    <row r="125" spans="1:9" x14ac:dyDescent="0.15">
      <c r="C125" s="8">
        <v>0.9</v>
      </c>
      <c r="D125" s="9">
        <f>ROUNDUP(1/0.5,0)-1</f>
        <v>1</v>
      </c>
      <c r="E125" s="8">
        <f t="shared" si="12"/>
        <v>0.2</v>
      </c>
      <c r="F125" s="13">
        <f t="shared" si="11"/>
        <v>0.18</v>
      </c>
      <c r="G125" s="21">
        <v>3.77</v>
      </c>
      <c r="H125" s="13">
        <f t="shared" si="8"/>
        <v>0</v>
      </c>
      <c r="I125" s="11" t="s">
        <v>245</v>
      </c>
    </row>
    <row r="126" spans="1:9" x14ac:dyDescent="0.15">
      <c r="C126" s="8">
        <v>0.7</v>
      </c>
      <c r="D126" s="9">
        <f>ROUNDUP(2/0.5,0)-1</f>
        <v>3</v>
      </c>
      <c r="E126" s="8">
        <f t="shared" si="12"/>
        <v>0.2</v>
      </c>
      <c r="F126" s="13">
        <f t="shared" si="11"/>
        <v>0.42</v>
      </c>
      <c r="G126" s="21">
        <v>3.77</v>
      </c>
      <c r="H126" s="13">
        <f t="shared" si="8"/>
        <v>0.01</v>
      </c>
      <c r="I126" s="11" t="s">
        <v>245</v>
      </c>
    </row>
    <row r="127" spans="1:9" x14ac:dyDescent="0.15">
      <c r="C127" s="8">
        <v>0.9</v>
      </c>
      <c r="D127" s="9">
        <f>ROUNDUP(1/0.5,0)-1</f>
        <v>1</v>
      </c>
      <c r="E127" s="8">
        <f t="shared" si="12"/>
        <v>0.2</v>
      </c>
      <c r="F127" s="13">
        <f t="shared" si="11"/>
        <v>0.18</v>
      </c>
      <c r="G127" s="21">
        <v>3.77</v>
      </c>
      <c r="H127" s="13">
        <f t="shared" si="8"/>
        <v>0</v>
      </c>
      <c r="I127" s="11" t="s">
        <v>245</v>
      </c>
    </row>
    <row r="128" spans="1:9" x14ac:dyDescent="0.15">
      <c r="C128" s="8">
        <v>0.9</v>
      </c>
      <c r="D128" s="9">
        <f>ROUNDUP(1/0.5,0)-1</f>
        <v>1</v>
      </c>
      <c r="E128" s="8">
        <f t="shared" si="12"/>
        <v>0.2</v>
      </c>
      <c r="F128" s="13">
        <f t="shared" si="11"/>
        <v>0.18</v>
      </c>
      <c r="G128" s="21">
        <v>3.77</v>
      </c>
      <c r="H128" s="13">
        <f t="shared" si="8"/>
        <v>0</v>
      </c>
      <c r="I128" s="11" t="s">
        <v>245</v>
      </c>
    </row>
    <row r="129" spans="1:9" x14ac:dyDescent="0.15">
      <c r="C129" s="8">
        <v>0.85</v>
      </c>
      <c r="D129" s="9">
        <f>ROUNDUP(2/0.5,0)-1</f>
        <v>3</v>
      </c>
      <c r="E129" s="8">
        <f t="shared" si="12"/>
        <v>0.2</v>
      </c>
      <c r="F129" s="13">
        <f t="shared" si="11"/>
        <v>0.51</v>
      </c>
      <c r="G129" s="21">
        <v>3.77</v>
      </c>
      <c r="H129" s="13">
        <f t="shared" si="8"/>
        <v>0.01</v>
      </c>
      <c r="I129" s="11" t="s">
        <v>245</v>
      </c>
    </row>
    <row r="130" spans="1:9" x14ac:dyDescent="0.15">
      <c r="A130" s="7" t="s">
        <v>236</v>
      </c>
      <c r="F130" s="13">
        <f t="shared" ref="F130:F161" si="13">ROUND(PRODUCT($C130:$E130),2)</f>
        <v>0</v>
      </c>
      <c r="H130" s="13">
        <f t="shared" si="8"/>
        <v>0</v>
      </c>
    </row>
    <row r="131" spans="1:9" x14ac:dyDescent="0.15">
      <c r="A131" s="7" t="s">
        <v>218</v>
      </c>
      <c r="B131" s="7" t="s">
        <v>192</v>
      </c>
      <c r="C131" s="8">
        <f>20.3-17</f>
        <v>3.3000000000000007</v>
      </c>
      <c r="D131" s="9">
        <v>6</v>
      </c>
      <c r="E131" s="8">
        <f>0.25*2+0.25*4</f>
        <v>1.5</v>
      </c>
      <c r="F131" s="13">
        <f t="shared" si="13"/>
        <v>29.7</v>
      </c>
      <c r="G131" s="21">
        <v>70.63</v>
      </c>
      <c r="H131" s="13">
        <f t="shared" ref="H131:H194" si="14">ROUND(PRODUCT($C131:$D131,$G131)*0.001,2)</f>
        <v>1.4</v>
      </c>
      <c r="I131" s="11" t="s">
        <v>257</v>
      </c>
    </row>
    <row r="132" spans="1:9" x14ac:dyDescent="0.15">
      <c r="A132" s="7" t="s">
        <v>195</v>
      </c>
      <c r="B132" s="7" t="s">
        <v>249</v>
      </c>
      <c r="C132" s="8">
        <v>0.5</v>
      </c>
      <c r="D132" s="9">
        <f>1*6</f>
        <v>6</v>
      </c>
      <c r="E132" s="8">
        <v>0.3</v>
      </c>
      <c r="F132" s="13">
        <f t="shared" si="13"/>
        <v>0.9</v>
      </c>
      <c r="G132" s="21">
        <f>0.3*0.02*7850</f>
        <v>47.1</v>
      </c>
      <c r="H132" s="13">
        <f t="shared" si="14"/>
        <v>0.14000000000000001</v>
      </c>
      <c r="I132" s="11" t="s">
        <v>257</v>
      </c>
    </row>
    <row r="133" spans="1:9" x14ac:dyDescent="0.15">
      <c r="B133" s="7" t="s">
        <v>251</v>
      </c>
      <c r="C133" s="8">
        <v>0.105</v>
      </c>
      <c r="D133" s="9">
        <f>4*6</f>
        <v>24</v>
      </c>
      <c r="E133" s="8">
        <f>0.25*2</f>
        <v>0.5</v>
      </c>
      <c r="F133" s="13">
        <f t="shared" si="13"/>
        <v>1.26</v>
      </c>
      <c r="G133" s="21">
        <f>0.25*0.012*7850</f>
        <v>23.55</v>
      </c>
      <c r="H133" s="13">
        <f t="shared" si="14"/>
        <v>0.06</v>
      </c>
      <c r="I133" s="11" t="s">
        <v>257</v>
      </c>
    </row>
    <row r="134" spans="1:9" x14ac:dyDescent="0.15">
      <c r="B134" s="7" t="s">
        <v>252</v>
      </c>
      <c r="C134" s="8">
        <v>0.12</v>
      </c>
      <c r="D134" s="9">
        <f>2*6</f>
        <v>12</v>
      </c>
      <c r="E134" s="8">
        <f>0.25*2</f>
        <v>0.5</v>
      </c>
      <c r="F134" s="13">
        <f t="shared" si="13"/>
        <v>0.72</v>
      </c>
      <c r="G134" s="21">
        <f>0.25*0.012*7850</f>
        <v>23.55</v>
      </c>
      <c r="H134" s="13">
        <f t="shared" si="14"/>
        <v>0.03</v>
      </c>
      <c r="I134" s="11" t="s">
        <v>257</v>
      </c>
    </row>
    <row r="135" spans="1:9" x14ac:dyDescent="0.15">
      <c r="A135" s="7" t="s">
        <v>242</v>
      </c>
      <c r="F135" s="13">
        <f t="shared" si="13"/>
        <v>0</v>
      </c>
      <c r="H135" s="13">
        <f t="shared" si="14"/>
        <v>0</v>
      </c>
    </row>
    <row r="136" spans="1:9" x14ac:dyDescent="0.15">
      <c r="A136" s="7" t="s">
        <v>237</v>
      </c>
      <c r="B136" s="7" t="s">
        <v>194</v>
      </c>
      <c r="C136" s="8">
        <v>2.5</v>
      </c>
      <c r="D136" s="9">
        <v>1</v>
      </c>
      <c r="E136" s="8">
        <f t="shared" ref="E136:E161" si="15">0.194*2+0.15*4</f>
        <v>0.98799999999999999</v>
      </c>
      <c r="F136" s="13">
        <f t="shared" si="13"/>
        <v>2.4700000000000002</v>
      </c>
      <c r="G136" s="21">
        <v>29.48</v>
      </c>
      <c r="H136" s="13">
        <f t="shared" si="14"/>
        <v>7.0000000000000007E-2</v>
      </c>
      <c r="I136" s="11" t="s">
        <v>256</v>
      </c>
    </row>
    <row r="137" spans="1:9" x14ac:dyDescent="0.15">
      <c r="C137" s="8">
        <v>1.75</v>
      </c>
      <c r="D137" s="9">
        <v>2</v>
      </c>
      <c r="E137" s="8">
        <f t="shared" si="15"/>
        <v>0.98799999999999999</v>
      </c>
      <c r="F137" s="13">
        <f t="shared" si="13"/>
        <v>3.46</v>
      </c>
      <c r="G137" s="21">
        <v>29.48</v>
      </c>
      <c r="H137" s="13">
        <f t="shared" si="14"/>
        <v>0.1</v>
      </c>
      <c r="I137" s="11" t="s">
        <v>256</v>
      </c>
    </row>
    <row r="138" spans="1:9" x14ac:dyDescent="0.15">
      <c r="C138" s="8">
        <v>2.2799999999999998</v>
      </c>
      <c r="D138" s="9">
        <v>1</v>
      </c>
      <c r="E138" s="8">
        <f t="shared" si="15"/>
        <v>0.98799999999999999</v>
      </c>
      <c r="F138" s="13">
        <f t="shared" si="13"/>
        <v>2.25</v>
      </c>
      <c r="G138" s="21">
        <v>29.48</v>
      </c>
      <c r="H138" s="13">
        <f t="shared" si="14"/>
        <v>7.0000000000000007E-2</v>
      </c>
      <c r="I138" s="11" t="s">
        <v>256</v>
      </c>
    </row>
    <row r="139" spans="1:9" x14ac:dyDescent="0.15">
      <c r="C139" s="8">
        <v>1.87</v>
      </c>
      <c r="D139" s="9">
        <v>2</v>
      </c>
      <c r="E139" s="8">
        <f t="shared" si="15"/>
        <v>0.98799999999999999</v>
      </c>
      <c r="F139" s="13">
        <f t="shared" si="13"/>
        <v>3.7</v>
      </c>
      <c r="G139" s="21">
        <v>29.48</v>
      </c>
      <c r="H139" s="13">
        <f t="shared" si="14"/>
        <v>0.11</v>
      </c>
      <c r="I139" s="11" t="s">
        <v>256</v>
      </c>
    </row>
    <row r="140" spans="1:9" x14ac:dyDescent="0.15">
      <c r="C140" s="8">
        <v>2.19</v>
      </c>
      <c r="D140" s="9">
        <v>1</v>
      </c>
      <c r="E140" s="8">
        <f t="shared" si="15"/>
        <v>0.98799999999999999</v>
      </c>
      <c r="F140" s="13">
        <f t="shared" si="13"/>
        <v>2.16</v>
      </c>
      <c r="G140" s="21">
        <v>29.48</v>
      </c>
      <c r="H140" s="13">
        <f t="shared" si="14"/>
        <v>0.06</v>
      </c>
      <c r="I140" s="11" t="s">
        <v>256</v>
      </c>
    </row>
    <row r="141" spans="1:9" x14ac:dyDescent="0.15">
      <c r="C141" s="8">
        <v>1.79</v>
      </c>
      <c r="D141" s="9">
        <v>1</v>
      </c>
      <c r="E141" s="8">
        <f t="shared" si="15"/>
        <v>0.98799999999999999</v>
      </c>
      <c r="F141" s="13">
        <f t="shared" si="13"/>
        <v>1.77</v>
      </c>
      <c r="G141" s="21">
        <v>29.48</v>
      </c>
      <c r="H141" s="13">
        <f t="shared" si="14"/>
        <v>0.05</v>
      </c>
      <c r="I141" s="11" t="s">
        <v>256</v>
      </c>
    </row>
    <row r="142" spans="1:9" x14ac:dyDescent="0.15">
      <c r="C142" s="8">
        <v>2.15</v>
      </c>
      <c r="D142" s="9">
        <v>1</v>
      </c>
      <c r="E142" s="8">
        <f t="shared" si="15"/>
        <v>0.98799999999999999</v>
      </c>
      <c r="F142" s="13">
        <f t="shared" si="13"/>
        <v>2.12</v>
      </c>
      <c r="G142" s="21">
        <v>29.48</v>
      </c>
      <c r="H142" s="13">
        <f t="shared" si="14"/>
        <v>0.06</v>
      </c>
      <c r="I142" s="11" t="s">
        <v>256</v>
      </c>
    </row>
    <row r="143" spans="1:9" x14ac:dyDescent="0.15">
      <c r="C143" s="8">
        <v>1.675</v>
      </c>
      <c r="D143" s="9">
        <v>2</v>
      </c>
      <c r="E143" s="8">
        <f t="shared" si="15"/>
        <v>0.98799999999999999</v>
      </c>
      <c r="F143" s="13">
        <f t="shared" si="13"/>
        <v>3.31</v>
      </c>
      <c r="G143" s="21">
        <v>29.48</v>
      </c>
      <c r="H143" s="13">
        <f t="shared" si="14"/>
        <v>0.1</v>
      </c>
      <c r="I143" s="11" t="s">
        <v>256</v>
      </c>
    </row>
    <row r="144" spans="1:9" x14ac:dyDescent="0.15">
      <c r="C144" s="8">
        <v>1.595</v>
      </c>
      <c r="D144" s="9">
        <v>2</v>
      </c>
      <c r="E144" s="8">
        <f t="shared" si="15"/>
        <v>0.98799999999999999</v>
      </c>
      <c r="F144" s="13">
        <f t="shared" si="13"/>
        <v>3.15</v>
      </c>
      <c r="G144" s="21">
        <v>29.48</v>
      </c>
      <c r="H144" s="13">
        <f t="shared" si="14"/>
        <v>0.09</v>
      </c>
      <c r="I144" s="11" t="s">
        <v>256</v>
      </c>
    </row>
    <row r="145" spans="3:9" x14ac:dyDescent="0.15">
      <c r="C145" s="8">
        <v>1.665</v>
      </c>
      <c r="D145" s="9">
        <v>2</v>
      </c>
      <c r="E145" s="8">
        <f t="shared" si="15"/>
        <v>0.98799999999999999</v>
      </c>
      <c r="F145" s="13">
        <f t="shared" si="13"/>
        <v>3.29</v>
      </c>
      <c r="G145" s="21">
        <v>29.48</v>
      </c>
      <c r="H145" s="13">
        <f t="shared" si="14"/>
        <v>0.1</v>
      </c>
      <c r="I145" s="11" t="s">
        <v>256</v>
      </c>
    </row>
    <row r="146" spans="3:9" x14ac:dyDescent="0.15">
      <c r="C146" s="8">
        <v>1.56</v>
      </c>
      <c r="D146" s="9">
        <v>2</v>
      </c>
      <c r="E146" s="8">
        <f t="shared" si="15"/>
        <v>0.98799999999999999</v>
      </c>
      <c r="F146" s="13">
        <f t="shared" si="13"/>
        <v>3.08</v>
      </c>
      <c r="G146" s="21">
        <v>29.48</v>
      </c>
      <c r="H146" s="13">
        <f t="shared" si="14"/>
        <v>0.09</v>
      </c>
      <c r="I146" s="11" t="s">
        <v>256</v>
      </c>
    </row>
    <row r="147" spans="3:9" x14ac:dyDescent="0.15">
      <c r="C147" s="8">
        <v>3.25</v>
      </c>
      <c r="D147" s="9">
        <v>12</v>
      </c>
      <c r="E147" s="8">
        <f t="shared" si="15"/>
        <v>0.98799999999999999</v>
      </c>
      <c r="F147" s="13">
        <f t="shared" si="13"/>
        <v>38.53</v>
      </c>
      <c r="G147" s="21">
        <v>29.48</v>
      </c>
      <c r="H147" s="13">
        <f t="shared" si="14"/>
        <v>1.1499999999999999</v>
      </c>
      <c r="I147" s="11" t="s">
        <v>256</v>
      </c>
    </row>
    <row r="148" spans="3:9" x14ac:dyDescent="0.15">
      <c r="C148" s="8">
        <f>(0.26^2+0.455^2)^0.5</f>
        <v>0.52404675363940578</v>
      </c>
      <c r="D148" s="9">
        <v>1</v>
      </c>
      <c r="E148" s="8">
        <f t="shared" si="15"/>
        <v>0.98799999999999999</v>
      </c>
      <c r="F148" s="13">
        <f t="shared" si="13"/>
        <v>0.52</v>
      </c>
      <c r="G148" s="21">
        <v>29.48</v>
      </c>
      <c r="H148" s="13">
        <f t="shared" si="14"/>
        <v>0.02</v>
      </c>
      <c r="I148" s="11" t="s">
        <v>256</v>
      </c>
    </row>
    <row r="149" spans="3:9" x14ac:dyDescent="0.15">
      <c r="C149" s="8">
        <f>(0.49^2+0.85^2)^0.5</f>
        <v>0.98112180691288275</v>
      </c>
      <c r="D149" s="9">
        <v>1</v>
      </c>
      <c r="E149" s="8">
        <f t="shared" si="15"/>
        <v>0.98799999999999999</v>
      </c>
      <c r="F149" s="13">
        <f t="shared" si="13"/>
        <v>0.97</v>
      </c>
      <c r="G149" s="21">
        <v>29.48</v>
      </c>
      <c r="H149" s="13">
        <f t="shared" si="14"/>
        <v>0.03</v>
      </c>
      <c r="I149" s="11" t="s">
        <v>256</v>
      </c>
    </row>
    <row r="150" spans="3:9" x14ac:dyDescent="0.15">
      <c r="C150" s="8">
        <f>(0.32^2+0.562^2)^0.5</f>
        <v>0.64671786738886383</v>
      </c>
      <c r="D150" s="9">
        <v>1</v>
      </c>
      <c r="E150" s="8">
        <f t="shared" si="15"/>
        <v>0.98799999999999999</v>
      </c>
      <c r="F150" s="13">
        <f t="shared" si="13"/>
        <v>0.64</v>
      </c>
      <c r="G150" s="21">
        <v>29.48</v>
      </c>
      <c r="H150" s="13">
        <f t="shared" si="14"/>
        <v>0.02</v>
      </c>
      <c r="I150" s="11" t="s">
        <v>256</v>
      </c>
    </row>
    <row r="151" spans="3:9" x14ac:dyDescent="0.15">
      <c r="C151" s="8">
        <f>(0.44^2+0.77^2)^0.5</f>
        <v>0.88684835231284043</v>
      </c>
      <c r="D151" s="9">
        <v>1</v>
      </c>
      <c r="E151" s="8">
        <f t="shared" si="15"/>
        <v>0.98799999999999999</v>
      </c>
      <c r="F151" s="13">
        <f t="shared" si="13"/>
        <v>0.88</v>
      </c>
      <c r="G151" s="21">
        <v>29.48</v>
      </c>
      <c r="H151" s="13">
        <f t="shared" si="14"/>
        <v>0.03</v>
      </c>
      <c r="I151" s="11" t="s">
        <v>256</v>
      </c>
    </row>
    <row r="152" spans="3:9" x14ac:dyDescent="0.15">
      <c r="C152" s="8">
        <f>(0.535^2+0.94^2)^0.5</f>
        <v>1.0815844858354802</v>
      </c>
      <c r="D152" s="9">
        <v>1</v>
      </c>
      <c r="E152" s="8">
        <f t="shared" si="15"/>
        <v>0.98799999999999999</v>
      </c>
      <c r="F152" s="13">
        <f t="shared" si="13"/>
        <v>1.07</v>
      </c>
      <c r="G152" s="21">
        <v>29.48</v>
      </c>
      <c r="H152" s="13">
        <f t="shared" si="14"/>
        <v>0.03</v>
      </c>
      <c r="I152" s="11" t="s">
        <v>256</v>
      </c>
    </row>
    <row r="153" spans="3:9" x14ac:dyDescent="0.15">
      <c r="C153" s="8">
        <f>(0.585^2+1.025^2)^0.5</f>
        <v>1.1801906625626217</v>
      </c>
      <c r="D153" s="9">
        <v>1</v>
      </c>
      <c r="E153" s="8">
        <f t="shared" si="15"/>
        <v>0.98799999999999999</v>
      </c>
      <c r="F153" s="13">
        <f t="shared" si="13"/>
        <v>1.17</v>
      </c>
      <c r="G153" s="21">
        <v>29.48</v>
      </c>
      <c r="H153" s="13">
        <f t="shared" si="14"/>
        <v>0.03</v>
      </c>
      <c r="I153" s="11" t="s">
        <v>256</v>
      </c>
    </row>
    <row r="154" spans="3:9" x14ac:dyDescent="0.15">
      <c r="C154" s="8">
        <f>(0.395^2+0.69^2)^0.5</f>
        <v>0.79506289059419688</v>
      </c>
      <c r="D154" s="9">
        <v>1</v>
      </c>
      <c r="E154" s="8">
        <f t="shared" si="15"/>
        <v>0.98799999999999999</v>
      </c>
      <c r="F154" s="13">
        <f t="shared" si="13"/>
        <v>0.79</v>
      </c>
      <c r="G154" s="21">
        <v>29.48</v>
      </c>
      <c r="H154" s="13">
        <f t="shared" si="14"/>
        <v>0.02</v>
      </c>
      <c r="I154" s="11" t="s">
        <v>256</v>
      </c>
    </row>
    <row r="155" spans="3:9" x14ac:dyDescent="0.15">
      <c r="C155" s="8">
        <f>(0.565^2+1^2)^0.5</f>
        <v>1.1485752043292594</v>
      </c>
      <c r="D155" s="9">
        <v>1</v>
      </c>
      <c r="E155" s="8">
        <f t="shared" si="15"/>
        <v>0.98799999999999999</v>
      </c>
      <c r="F155" s="13">
        <f t="shared" si="13"/>
        <v>1.1299999999999999</v>
      </c>
      <c r="G155" s="21">
        <v>29.48</v>
      </c>
      <c r="H155" s="13">
        <f t="shared" si="14"/>
        <v>0.03</v>
      </c>
      <c r="I155" s="11" t="s">
        <v>256</v>
      </c>
    </row>
    <row r="156" spans="3:9" x14ac:dyDescent="0.15">
      <c r="C156" s="8">
        <f>(0.57^2+1^2)^0.5</f>
        <v>1.1510430052782563</v>
      </c>
      <c r="D156" s="9">
        <v>1</v>
      </c>
      <c r="E156" s="8">
        <f t="shared" si="15"/>
        <v>0.98799999999999999</v>
      </c>
      <c r="F156" s="13">
        <f t="shared" si="13"/>
        <v>1.1399999999999999</v>
      </c>
      <c r="G156" s="21">
        <v>29.48</v>
      </c>
      <c r="H156" s="13">
        <f t="shared" si="14"/>
        <v>0.03</v>
      </c>
      <c r="I156" s="11" t="s">
        <v>256</v>
      </c>
    </row>
    <row r="157" spans="3:9" x14ac:dyDescent="0.15">
      <c r="C157" s="8">
        <f>(0.315^2+0.55^2)^0.5</f>
        <v>0.63381779716256004</v>
      </c>
      <c r="D157" s="9">
        <v>1</v>
      </c>
      <c r="E157" s="8">
        <f t="shared" si="15"/>
        <v>0.98799999999999999</v>
      </c>
      <c r="F157" s="13">
        <f t="shared" si="13"/>
        <v>0.63</v>
      </c>
      <c r="G157" s="21">
        <v>29.48</v>
      </c>
      <c r="H157" s="13">
        <f t="shared" si="14"/>
        <v>0.02</v>
      </c>
      <c r="I157" s="11" t="s">
        <v>256</v>
      </c>
    </row>
    <row r="158" spans="3:9" x14ac:dyDescent="0.15">
      <c r="C158" s="8">
        <f>(0.58^2+1^2)^0.5</f>
        <v>1.1560276813294741</v>
      </c>
      <c r="D158" s="9">
        <v>1</v>
      </c>
      <c r="E158" s="8">
        <f t="shared" si="15"/>
        <v>0.98799999999999999</v>
      </c>
      <c r="F158" s="13">
        <f t="shared" si="13"/>
        <v>1.1399999999999999</v>
      </c>
      <c r="G158" s="21">
        <v>29.48</v>
      </c>
      <c r="H158" s="13">
        <f t="shared" si="14"/>
        <v>0.03</v>
      </c>
      <c r="I158" s="11" t="s">
        <v>256</v>
      </c>
    </row>
    <row r="159" spans="3:9" x14ac:dyDescent="0.15">
      <c r="C159" s="8">
        <f>(0.24^2+0.42^2)^0.5</f>
        <v>0.48373546489791297</v>
      </c>
      <c r="D159" s="9">
        <v>1</v>
      </c>
      <c r="E159" s="8">
        <f t="shared" si="15"/>
        <v>0.98799999999999999</v>
      </c>
      <c r="F159" s="13">
        <f t="shared" si="13"/>
        <v>0.48</v>
      </c>
      <c r="G159" s="21">
        <v>29.48</v>
      </c>
      <c r="H159" s="13">
        <f t="shared" si="14"/>
        <v>0.01</v>
      </c>
      <c r="I159" s="11" t="s">
        <v>256</v>
      </c>
    </row>
    <row r="160" spans="3:9" x14ac:dyDescent="0.15">
      <c r="C160" s="8">
        <f>(0.24^2+0.41^2)^0.5</f>
        <v>0.47507894080878804</v>
      </c>
      <c r="D160" s="9">
        <v>1</v>
      </c>
      <c r="E160" s="8">
        <f t="shared" si="15"/>
        <v>0.98799999999999999</v>
      </c>
      <c r="F160" s="13">
        <f t="shared" si="13"/>
        <v>0.47</v>
      </c>
      <c r="G160" s="21">
        <v>29.48</v>
      </c>
      <c r="H160" s="13">
        <f t="shared" si="14"/>
        <v>0.01</v>
      </c>
      <c r="I160" s="11" t="s">
        <v>256</v>
      </c>
    </row>
    <row r="161" spans="1:9" x14ac:dyDescent="0.15">
      <c r="C161" s="8">
        <f>(0.22^2+0.38^2)^0.5</f>
        <v>0.43908996800200295</v>
      </c>
      <c r="D161" s="9">
        <v>1</v>
      </c>
      <c r="E161" s="8">
        <f t="shared" si="15"/>
        <v>0.98799999999999999</v>
      </c>
      <c r="F161" s="13">
        <f t="shared" si="13"/>
        <v>0.43</v>
      </c>
      <c r="G161" s="21">
        <v>29.48</v>
      </c>
      <c r="H161" s="13">
        <f t="shared" si="14"/>
        <v>0.01</v>
      </c>
      <c r="I161" s="11" t="s">
        <v>256</v>
      </c>
    </row>
    <row r="162" spans="1:9" x14ac:dyDescent="0.15">
      <c r="A162" s="7" t="s">
        <v>239</v>
      </c>
      <c r="B162" s="7" t="s">
        <v>201</v>
      </c>
      <c r="C162" s="8">
        <v>3.25</v>
      </c>
      <c r="D162" s="9">
        <v>8</v>
      </c>
      <c r="E162" s="8">
        <f>0.244*2+0.175*4</f>
        <v>1.1879999999999999</v>
      </c>
      <c r="F162" s="13">
        <f t="shared" ref="F162:F197" si="16">ROUND(PRODUCT($C162:$E162),2)</f>
        <v>30.89</v>
      </c>
      <c r="G162" s="21">
        <v>42.42</v>
      </c>
      <c r="H162" s="13">
        <f t="shared" si="14"/>
        <v>1.1000000000000001</v>
      </c>
      <c r="I162" s="11" t="s">
        <v>256</v>
      </c>
    </row>
    <row r="163" spans="1:9" x14ac:dyDescent="0.15">
      <c r="A163" s="7" t="s">
        <v>238</v>
      </c>
      <c r="B163" s="7" t="s">
        <v>222</v>
      </c>
      <c r="C163" s="8">
        <v>6</v>
      </c>
      <c r="D163" s="9">
        <v>8</v>
      </c>
      <c r="E163" s="8">
        <f>0.294*2+0.2*4</f>
        <v>1.3879999999999999</v>
      </c>
      <c r="F163" s="13">
        <f t="shared" si="16"/>
        <v>66.62</v>
      </c>
      <c r="G163" s="21">
        <v>54.63</v>
      </c>
      <c r="H163" s="13">
        <f t="shared" si="14"/>
        <v>2.62</v>
      </c>
      <c r="I163" s="11" t="s">
        <v>256</v>
      </c>
    </row>
    <row r="164" spans="1:9" x14ac:dyDescent="0.15">
      <c r="C164" s="8">
        <v>5</v>
      </c>
      <c r="D164" s="9">
        <v>2</v>
      </c>
      <c r="E164" s="8">
        <f>0.294*2+0.2*4</f>
        <v>1.3879999999999999</v>
      </c>
      <c r="F164" s="13">
        <f t="shared" si="16"/>
        <v>13.88</v>
      </c>
      <c r="G164" s="21">
        <v>54.63</v>
      </c>
      <c r="H164" s="13">
        <f t="shared" si="14"/>
        <v>0.55000000000000004</v>
      </c>
      <c r="I164" s="11" t="s">
        <v>256</v>
      </c>
    </row>
    <row r="165" spans="1:9" x14ac:dyDescent="0.15">
      <c r="A165" s="7" t="s">
        <v>240</v>
      </c>
      <c r="B165" s="7" t="s">
        <v>243</v>
      </c>
      <c r="C165" s="8">
        <f>(0.395^2+0.685^2)^0.5</f>
        <v>0.7907275131168765</v>
      </c>
      <c r="D165" s="9">
        <v>2</v>
      </c>
      <c r="E165" s="8">
        <f>0.6*2+0.2*4</f>
        <v>2</v>
      </c>
      <c r="F165" s="13">
        <f t="shared" si="16"/>
        <v>3.16</v>
      </c>
      <c r="G165" s="21">
        <v>102.25</v>
      </c>
      <c r="H165" s="13">
        <f t="shared" si="14"/>
        <v>0.16</v>
      </c>
      <c r="I165" s="11" t="s">
        <v>256</v>
      </c>
    </row>
    <row r="166" spans="1:9" x14ac:dyDescent="0.15">
      <c r="A166" s="7" t="s">
        <v>241</v>
      </c>
      <c r="B166" s="7" t="s">
        <v>244</v>
      </c>
      <c r="C166" s="8">
        <f>(0.305^2+0.525^2)^0.5</f>
        <v>0.60716554579455517</v>
      </c>
      <c r="D166" s="9">
        <v>1</v>
      </c>
      <c r="E166" s="8">
        <f t="shared" ref="E166:E171" si="17">0.4*2+0.2*4</f>
        <v>1.6</v>
      </c>
      <c r="F166" s="13">
        <f t="shared" si="16"/>
        <v>0.97</v>
      </c>
      <c r="G166" s="21">
        <v>64.3</v>
      </c>
      <c r="H166" s="13">
        <f t="shared" si="14"/>
        <v>0.04</v>
      </c>
      <c r="I166" s="11" t="s">
        <v>256</v>
      </c>
    </row>
    <row r="167" spans="1:9" x14ac:dyDescent="0.15">
      <c r="C167" s="8">
        <f>(0.355^2+0.625^2)^0.5</f>
        <v>0.71878369486236959</v>
      </c>
      <c r="D167" s="9">
        <v>1</v>
      </c>
      <c r="E167" s="8">
        <f t="shared" si="17"/>
        <v>1.6</v>
      </c>
      <c r="F167" s="13">
        <f t="shared" si="16"/>
        <v>1.1499999999999999</v>
      </c>
      <c r="G167" s="21">
        <v>64.3</v>
      </c>
      <c r="H167" s="13">
        <f t="shared" si="14"/>
        <v>0.05</v>
      </c>
      <c r="I167" s="11" t="s">
        <v>256</v>
      </c>
    </row>
    <row r="168" spans="1:9" x14ac:dyDescent="0.15">
      <c r="C168" s="8">
        <f>(0.5^2+0.875^2)^0.5</f>
        <v>1.0077822185373186</v>
      </c>
      <c r="D168" s="9">
        <v>1</v>
      </c>
      <c r="E168" s="8">
        <f t="shared" si="17"/>
        <v>1.6</v>
      </c>
      <c r="F168" s="13">
        <f t="shared" si="16"/>
        <v>1.61</v>
      </c>
      <c r="G168" s="21">
        <v>64.3</v>
      </c>
      <c r="H168" s="13">
        <f t="shared" si="14"/>
        <v>0.06</v>
      </c>
      <c r="I168" s="11" t="s">
        <v>256</v>
      </c>
    </row>
    <row r="169" spans="1:9" x14ac:dyDescent="0.15">
      <c r="C169" s="8">
        <f>(0.38^2+0.67^2)^0.5</f>
        <v>0.77025969646606851</v>
      </c>
      <c r="D169" s="9">
        <v>1</v>
      </c>
      <c r="E169" s="8">
        <f t="shared" si="17"/>
        <v>1.6</v>
      </c>
      <c r="F169" s="13">
        <f t="shared" si="16"/>
        <v>1.23</v>
      </c>
      <c r="G169" s="21">
        <v>64.3</v>
      </c>
      <c r="H169" s="13">
        <f t="shared" si="14"/>
        <v>0.05</v>
      </c>
      <c r="I169" s="11" t="s">
        <v>256</v>
      </c>
    </row>
    <row r="170" spans="1:9" x14ac:dyDescent="0.15">
      <c r="C170" s="8">
        <f>(0.45^2+0.79^2)^0.5</f>
        <v>0.90917545061445659</v>
      </c>
      <c r="D170" s="9">
        <v>1</v>
      </c>
      <c r="E170" s="8">
        <f t="shared" si="17"/>
        <v>1.6</v>
      </c>
      <c r="F170" s="13">
        <f t="shared" si="16"/>
        <v>1.45</v>
      </c>
      <c r="G170" s="21">
        <v>64.3</v>
      </c>
      <c r="H170" s="13">
        <f t="shared" si="14"/>
        <v>0.06</v>
      </c>
      <c r="I170" s="11" t="s">
        <v>256</v>
      </c>
    </row>
    <row r="171" spans="1:9" x14ac:dyDescent="0.15">
      <c r="C171" s="8">
        <f>(0.34^2+0.597^2)^0.5</f>
        <v>0.68702911146471812</v>
      </c>
      <c r="D171" s="9">
        <v>1</v>
      </c>
      <c r="E171" s="8">
        <f t="shared" si="17"/>
        <v>1.6</v>
      </c>
      <c r="F171" s="13">
        <f t="shared" si="16"/>
        <v>1.1000000000000001</v>
      </c>
      <c r="G171" s="21">
        <v>64.3</v>
      </c>
      <c r="H171" s="13">
        <f t="shared" si="14"/>
        <v>0.04</v>
      </c>
      <c r="I171" s="11" t="s">
        <v>256</v>
      </c>
    </row>
    <row r="172" spans="1:9" x14ac:dyDescent="0.15">
      <c r="A172" s="7" t="s">
        <v>245</v>
      </c>
      <c r="B172" s="7" t="s">
        <v>246</v>
      </c>
      <c r="C172" s="8">
        <v>3.25</v>
      </c>
      <c r="D172" s="9">
        <v>1</v>
      </c>
      <c r="E172" s="8">
        <v>29</v>
      </c>
      <c r="F172" s="13">
        <f t="shared" si="16"/>
        <v>94.25</v>
      </c>
      <c r="G172" s="21">
        <f>29*0.006*7850</f>
        <v>1365.9</v>
      </c>
      <c r="H172" s="13">
        <f t="shared" si="14"/>
        <v>4.4400000000000004</v>
      </c>
      <c r="I172" s="11" t="s">
        <v>245</v>
      </c>
    </row>
    <row r="173" spans="1:9" x14ac:dyDescent="0.15">
      <c r="A173" s="7" t="s">
        <v>247</v>
      </c>
      <c r="B173" s="7" t="s">
        <v>248</v>
      </c>
      <c r="C173" s="8">
        <v>0.85</v>
      </c>
      <c r="D173" s="9">
        <f>ROUNDUP(3.25/0.5,0)-1</f>
        <v>6</v>
      </c>
      <c r="E173" s="8">
        <f t="shared" ref="E173:E197" si="18">0.05*4</f>
        <v>0.2</v>
      </c>
      <c r="F173" s="13">
        <f t="shared" si="16"/>
        <v>1.02</v>
      </c>
      <c r="G173" s="21">
        <v>3.77</v>
      </c>
      <c r="H173" s="13">
        <f t="shared" si="14"/>
        <v>0.02</v>
      </c>
      <c r="I173" s="11" t="s">
        <v>245</v>
      </c>
    </row>
    <row r="174" spans="1:9" x14ac:dyDescent="0.15">
      <c r="C174" s="8">
        <v>0.85499999999999998</v>
      </c>
      <c r="D174" s="9">
        <f>ROUNDUP(2.5/0.5,0)-1</f>
        <v>4</v>
      </c>
      <c r="E174" s="8">
        <f t="shared" si="18"/>
        <v>0.2</v>
      </c>
      <c r="F174" s="13">
        <f t="shared" si="16"/>
        <v>0.68</v>
      </c>
      <c r="G174" s="21">
        <v>3.77</v>
      </c>
      <c r="H174" s="13">
        <f t="shared" si="14"/>
        <v>0.01</v>
      </c>
      <c r="I174" s="11" t="s">
        <v>245</v>
      </c>
    </row>
    <row r="175" spans="1:9" x14ac:dyDescent="0.15">
      <c r="C175" s="8">
        <v>0.9</v>
      </c>
      <c r="D175" s="9">
        <f>ROUNDUP(3.25/0.5,0)-1</f>
        <v>6</v>
      </c>
      <c r="E175" s="8">
        <f t="shared" si="18"/>
        <v>0.2</v>
      </c>
      <c r="F175" s="13">
        <f t="shared" si="16"/>
        <v>1.08</v>
      </c>
      <c r="G175" s="21">
        <v>3.77</v>
      </c>
      <c r="H175" s="13">
        <f t="shared" si="14"/>
        <v>0.02</v>
      </c>
      <c r="I175" s="11" t="s">
        <v>245</v>
      </c>
    </row>
    <row r="176" spans="1:9" x14ac:dyDescent="0.15">
      <c r="C176" s="8">
        <v>0.8</v>
      </c>
      <c r="D176" s="9">
        <f>ROUNDUP(1.75/0.5,0)-1</f>
        <v>3</v>
      </c>
      <c r="E176" s="8">
        <f t="shared" si="18"/>
        <v>0.2</v>
      </c>
      <c r="F176" s="13">
        <f t="shared" si="16"/>
        <v>0.48</v>
      </c>
      <c r="G176" s="21">
        <v>3.77</v>
      </c>
      <c r="H176" s="13">
        <f t="shared" si="14"/>
        <v>0.01</v>
      </c>
      <c r="I176" s="11" t="s">
        <v>245</v>
      </c>
    </row>
    <row r="177" spans="3:9" x14ac:dyDescent="0.15">
      <c r="C177" s="8">
        <v>0.8</v>
      </c>
      <c r="D177" s="9">
        <f>ROUNDUP(1.75/0.5,0)-1</f>
        <v>3</v>
      </c>
      <c r="E177" s="8">
        <f t="shared" si="18"/>
        <v>0.2</v>
      </c>
      <c r="F177" s="13">
        <f t="shared" si="16"/>
        <v>0.48</v>
      </c>
      <c r="G177" s="21">
        <v>3.77</v>
      </c>
      <c r="H177" s="13">
        <f t="shared" si="14"/>
        <v>0.01</v>
      </c>
      <c r="I177" s="11" t="s">
        <v>245</v>
      </c>
    </row>
    <row r="178" spans="3:9" x14ac:dyDescent="0.15">
      <c r="C178" s="8">
        <v>1.395</v>
      </c>
      <c r="D178" s="9">
        <f>ROUNDUP(2.28/0.5,0)-1</f>
        <v>4</v>
      </c>
      <c r="E178" s="8">
        <f t="shared" si="18"/>
        <v>0.2</v>
      </c>
      <c r="F178" s="13">
        <f t="shared" si="16"/>
        <v>1.1200000000000001</v>
      </c>
      <c r="G178" s="21">
        <v>3.77</v>
      </c>
      <c r="H178" s="13">
        <f t="shared" si="14"/>
        <v>0.02</v>
      </c>
      <c r="I178" s="11" t="s">
        <v>245</v>
      </c>
    </row>
    <row r="179" spans="3:9" x14ac:dyDescent="0.15">
      <c r="C179" s="8">
        <v>0.85</v>
      </c>
      <c r="D179" s="9">
        <f>ROUNDUP(3.25/0.5,0)-1</f>
        <v>6</v>
      </c>
      <c r="E179" s="8">
        <f t="shared" si="18"/>
        <v>0.2</v>
      </c>
      <c r="F179" s="13">
        <f t="shared" si="16"/>
        <v>1.02</v>
      </c>
      <c r="G179" s="21">
        <v>3.77</v>
      </c>
      <c r="H179" s="13">
        <f t="shared" si="14"/>
        <v>0.02</v>
      </c>
      <c r="I179" s="11" t="s">
        <v>245</v>
      </c>
    </row>
    <row r="180" spans="3:9" x14ac:dyDescent="0.15">
      <c r="C180" s="8">
        <v>0.8</v>
      </c>
      <c r="D180" s="9">
        <f>ROUNDUP(1.87/0.5,0)-1</f>
        <v>3</v>
      </c>
      <c r="E180" s="8">
        <f t="shared" si="18"/>
        <v>0.2</v>
      </c>
      <c r="F180" s="13">
        <f t="shared" si="16"/>
        <v>0.48</v>
      </c>
      <c r="G180" s="21">
        <v>3.77</v>
      </c>
      <c r="H180" s="13">
        <f t="shared" si="14"/>
        <v>0.01</v>
      </c>
      <c r="I180" s="11" t="s">
        <v>245</v>
      </c>
    </row>
    <row r="181" spans="3:9" x14ac:dyDescent="0.15">
      <c r="C181" s="8">
        <v>0.87</v>
      </c>
      <c r="D181" s="9">
        <f>ROUNDUP(1.87/0.5,0)-1</f>
        <v>3</v>
      </c>
      <c r="E181" s="8">
        <f t="shared" si="18"/>
        <v>0.2</v>
      </c>
      <c r="F181" s="13">
        <f t="shared" si="16"/>
        <v>0.52</v>
      </c>
      <c r="G181" s="21">
        <v>3.77</v>
      </c>
      <c r="H181" s="13">
        <f t="shared" si="14"/>
        <v>0.01</v>
      </c>
      <c r="I181" s="11" t="s">
        <v>245</v>
      </c>
    </row>
    <row r="182" spans="3:9" x14ac:dyDescent="0.15">
      <c r="C182" s="8">
        <v>1.395</v>
      </c>
      <c r="D182" s="9">
        <f>ROUNDUP(2.19/0.5,0)-1</f>
        <v>4</v>
      </c>
      <c r="E182" s="8">
        <f t="shared" si="18"/>
        <v>0.2</v>
      </c>
      <c r="F182" s="13">
        <f t="shared" si="16"/>
        <v>1.1200000000000001</v>
      </c>
      <c r="G182" s="21">
        <v>3.77</v>
      </c>
      <c r="H182" s="13">
        <f t="shared" si="14"/>
        <v>0.02</v>
      </c>
      <c r="I182" s="11" t="s">
        <v>245</v>
      </c>
    </row>
    <row r="183" spans="3:9" x14ac:dyDescent="0.15">
      <c r="C183" s="8">
        <v>0.9</v>
      </c>
      <c r="D183" s="9">
        <f>ROUNDUP(3.25/0.5,0)-1</f>
        <v>6</v>
      </c>
      <c r="E183" s="8">
        <f t="shared" si="18"/>
        <v>0.2</v>
      </c>
      <c r="F183" s="13">
        <f t="shared" si="16"/>
        <v>1.08</v>
      </c>
      <c r="G183" s="21">
        <v>3.77</v>
      </c>
      <c r="H183" s="13">
        <f t="shared" si="14"/>
        <v>0.02</v>
      </c>
      <c r="I183" s="11" t="s">
        <v>245</v>
      </c>
    </row>
    <row r="184" spans="3:9" x14ac:dyDescent="0.15">
      <c r="C184" s="8">
        <v>1.585</v>
      </c>
      <c r="D184" s="9">
        <f>ROUNDUP(1.79/0.5,0)-1</f>
        <v>3</v>
      </c>
      <c r="E184" s="8">
        <f t="shared" si="18"/>
        <v>0.2</v>
      </c>
      <c r="F184" s="13">
        <f t="shared" si="16"/>
        <v>0.95</v>
      </c>
      <c r="G184" s="21">
        <v>3.77</v>
      </c>
      <c r="H184" s="13">
        <f t="shared" si="14"/>
        <v>0.02</v>
      </c>
      <c r="I184" s="11" t="s">
        <v>245</v>
      </c>
    </row>
    <row r="185" spans="3:9" x14ac:dyDescent="0.15">
      <c r="C185" s="8">
        <v>1.1200000000000001</v>
      </c>
      <c r="D185" s="9">
        <f>ROUNDUP(3.25/0.5,0)-1</f>
        <v>6</v>
      </c>
      <c r="E185" s="8">
        <f t="shared" si="18"/>
        <v>0.2</v>
      </c>
      <c r="F185" s="13">
        <f t="shared" si="16"/>
        <v>1.34</v>
      </c>
      <c r="G185" s="21">
        <v>3.77</v>
      </c>
      <c r="H185" s="13">
        <f t="shared" si="14"/>
        <v>0.03</v>
      </c>
      <c r="I185" s="11" t="s">
        <v>245</v>
      </c>
    </row>
    <row r="186" spans="3:9" x14ac:dyDescent="0.15">
      <c r="C186" s="8">
        <v>1.585</v>
      </c>
      <c r="D186" s="9">
        <f>ROUNDUP(2.15/0.5,0)-1</f>
        <v>4</v>
      </c>
      <c r="E186" s="8">
        <f t="shared" si="18"/>
        <v>0.2</v>
      </c>
      <c r="F186" s="13">
        <f t="shared" si="16"/>
        <v>1.27</v>
      </c>
      <c r="G186" s="21">
        <v>3.77</v>
      </c>
      <c r="H186" s="13">
        <f t="shared" si="14"/>
        <v>0.02</v>
      </c>
      <c r="I186" s="11" t="s">
        <v>245</v>
      </c>
    </row>
    <row r="187" spans="3:9" x14ac:dyDescent="0.15">
      <c r="C187" s="8">
        <v>1</v>
      </c>
      <c r="D187" s="9">
        <f>ROUNDUP(1.675/0.5,0)-1</f>
        <v>3</v>
      </c>
      <c r="E187" s="8">
        <f t="shared" si="18"/>
        <v>0.2</v>
      </c>
      <c r="F187" s="13">
        <f t="shared" si="16"/>
        <v>0.6</v>
      </c>
      <c r="G187" s="21">
        <v>3.77</v>
      </c>
      <c r="H187" s="13">
        <f t="shared" si="14"/>
        <v>0.01</v>
      </c>
      <c r="I187" s="11" t="s">
        <v>245</v>
      </c>
    </row>
    <row r="188" spans="3:9" x14ac:dyDescent="0.15">
      <c r="C188" s="8">
        <v>1.0249999999999999</v>
      </c>
      <c r="D188" s="9">
        <f>ROUNDUP(1.675/0.5,0)-1</f>
        <v>3</v>
      </c>
      <c r="E188" s="8">
        <f t="shared" si="18"/>
        <v>0.2</v>
      </c>
      <c r="F188" s="13">
        <f t="shared" si="16"/>
        <v>0.62</v>
      </c>
      <c r="G188" s="21">
        <v>3.77</v>
      </c>
      <c r="H188" s="13">
        <f t="shared" si="14"/>
        <v>0.01</v>
      </c>
      <c r="I188" s="11" t="s">
        <v>245</v>
      </c>
    </row>
    <row r="189" spans="3:9" x14ac:dyDescent="0.15">
      <c r="C189" s="8">
        <v>1</v>
      </c>
      <c r="D189" s="9">
        <f>ROUNDUP(1.595/0.5,0)-1</f>
        <v>3</v>
      </c>
      <c r="E189" s="8">
        <f t="shared" si="18"/>
        <v>0.2</v>
      </c>
      <c r="F189" s="13">
        <f t="shared" si="16"/>
        <v>0.6</v>
      </c>
      <c r="G189" s="21">
        <v>3.77</v>
      </c>
      <c r="H189" s="13">
        <f t="shared" si="14"/>
        <v>0.01</v>
      </c>
      <c r="I189" s="11" t="s">
        <v>245</v>
      </c>
    </row>
    <row r="190" spans="3:9" x14ac:dyDescent="0.15">
      <c r="C190" s="8">
        <v>1.0249999999999999</v>
      </c>
      <c r="D190" s="9">
        <f>ROUNDUP(1.595/0.5,0)-1</f>
        <v>3</v>
      </c>
      <c r="E190" s="8">
        <f t="shared" si="18"/>
        <v>0.2</v>
      </c>
      <c r="F190" s="13">
        <f t="shared" si="16"/>
        <v>0.62</v>
      </c>
      <c r="G190" s="21">
        <v>3.77</v>
      </c>
      <c r="H190" s="13">
        <f t="shared" si="14"/>
        <v>0.01</v>
      </c>
      <c r="I190" s="11" t="s">
        <v>245</v>
      </c>
    </row>
    <row r="191" spans="3:9" x14ac:dyDescent="0.15">
      <c r="C191" s="8">
        <v>0.57999999999999996</v>
      </c>
      <c r="D191" s="9">
        <f>ROUNDUP(3.25/0.5,0)-1</f>
        <v>6</v>
      </c>
      <c r="E191" s="8">
        <f t="shared" si="18"/>
        <v>0.2</v>
      </c>
      <c r="F191" s="13">
        <f t="shared" si="16"/>
        <v>0.7</v>
      </c>
      <c r="G191" s="21">
        <v>3.77</v>
      </c>
      <c r="H191" s="13">
        <f t="shared" si="14"/>
        <v>0.01</v>
      </c>
      <c r="I191" s="11" t="s">
        <v>245</v>
      </c>
    </row>
    <row r="192" spans="3:9" x14ac:dyDescent="0.15">
      <c r="C192" s="8">
        <v>0.85</v>
      </c>
      <c r="D192" s="9">
        <f>ROUNDUP(1.665/0.5,0)-1</f>
        <v>3</v>
      </c>
      <c r="E192" s="8">
        <f t="shared" si="18"/>
        <v>0.2</v>
      </c>
      <c r="F192" s="13">
        <f t="shared" si="16"/>
        <v>0.51</v>
      </c>
      <c r="G192" s="21">
        <v>3.77</v>
      </c>
      <c r="H192" s="13">
        <f t="shared" si="14"/>
        <v>0.01</v>
      </c>
      <c r="I192" s="11" t="s">
        <v>245</v>
      </c>
    </row>
    <row r="193" spans="1:9" x14ac:dyDescent="0.15">
      <c r="C193" s="8">
        <v>1</v>
      </c>
      <c r="D193" s="9">
        <f>ROUNDUP(1.665/0.5,0)-1</f>
        <v>3</v>
      </c>
      <c r="E193" s="8">
        <f t="shared" si="18"/>
        <v>0.2</v>
      </c>
      <c r="F193" s="13">
        <f t="shared" si="16"/>
        <v>0.6</v>
      </c>
      <c r="G193" s="21">
        <v>3.77</v>
      </c>
      <c r="H193" s="13">
        <f t="shared" si="14"/>
        <v>0.01</v>
      </c>
      <c r="I193" s="11" t="s">
        <v>245</v>
      </c>
    </row>
    <row r="194" spans="1:9" x14ac:dyDescent="0.15">
      <c r="C194" s="8">
        <v>0.995</v>
      </c>
      <c r="D194" s="9">
        <f>ROUNDUP(3.25/0.5,0)-1</f>
        <v>6</v>
      </c>
      <c r="E194" s="8">
        <f t="shared" si="18"/>
        <v>0.2</v>
      </c>
      <c r="F194" s="13">
        <f t="shared" si="16"/>
        <v>1.19</v>
      </c>
      <c r="G194" s="21">
        <v>3.77</v>
      </c>
      <c r="H194" s="13">
        <f t="shared" si="14"/>
        <v>0.02</v>
      </c>
      <c r="I194" s="11" t="s">
        <v>245</v>
      </c>
    </row>
    <row r="195" spans="1:9" x14ac:dyDescent="0.15">
      <c r="C195" s="8">
        <v>0.8</v>
      </c>
      <c r="D195" s="9">
        <f>ROUNDUP(1.56/0.5,0)-1</f>
        <v>3</v>
      </c>
      <c r="E195" s="8">
        <f t="shared" si="18"/>
        <v>0.2</v>
      </c>
      <c r="F195" s="13">
        <f t="shared" si="16"/>
        <v>0.48</v>
      </c>
      <c r="G195" s="21">
        <v>3.77</v>
      </c>
      <c r="H195" s="13">
        <f t="shared" ref="H195:H197" si="19">ROUND(PRODUCT($C195:$D195,$G195)*0.001,2)</f>
        <v>0.01</v>
      </c>
      <c r="I195" s="11" t="s">
        <v>245</v>
      </c>
    </row>
    <row r="196" spans="1:9" x14ac:dyDescent="0.15">
      <c r="C196" s="8">
        <v>0.70499999999999996</v>
      </c>
      <c r="D196" s="9">
        <f>ROUNDUP(1.56/0.5,0)-1</f>
        <v>3</v>
      </c>
      <c r="E196" s="8">
        <f t="shared" si="18"/>
        <v>0.2</v>
      </c>
      <c r="F196" s="13">
        <f t="shared" si="16"/>
        <v>0.42</v>
      </c>
      <c r="G196" s="21">
        <v>3.77</v>
      </c>
      <c r="H196" s="13">
        <f t="shared" si="19"/>
        <v>0.01</v>
      </c>
      <c r="I196" s="11" t="s">
        <v>245</v>
      </c>
    </row>
    <row r="197" spans="1:9" x14ac:dyDescent="0.15">
      <c r="C197" s="8">
        <v>1.78</v>
      </c>
      <c r="D197" s="9">
        <f>ROUNDUP(3.25/0.5,0)-1</f>
        <v>6</v>
      </c>
      <c r="E197" s="8">
        <f t="shared" si="18"/>
        <v>0.2</v>
      </c>
      <c r="F197" s="13">
        <f t="shared" si="16"/>
        <v>2.14</v>
      </c>
      <c r="G197" s="21">
        <v>3.77</v>
      </c>
      <c r="H197" s="13">
        <f t="shared" si="19"/>
        <v>0.04</v>
      </c>
      <c r="I197" s="11" t="s">
        <v>245</v>
      </c>
    </row>
    <row r="198" spans="1:9" x14ac:dyDescent="0.15">
      <c r="A198" s="7" t="s">
        <v>132</v>
      </c>
      <c r="F198" s="13">
        <f>SUBTOTAL(109,F2:F197)</f>
        <v>1314.4100000000003</v>
      </c>
      <c r="H198" s="13">
        <f>SUBTOTAL(109,H2:H197)</f>
        <v>49.950000000000017</v>
      </c>
    </row>
  </sheetData>
  <phoneticPr fontId="3" type="noConversion"/>
  <conditionalFormatting sqref="A1:I1048576">
    <cfRule type="expression" dxfId="29" priority="1">
      <formula>(ROW()=1)+($A1="汇总")</formula>
    </cfRule>
    <cfRule type="expression" dxfId="28" priority="2">
      <formula>(ROW()&gt;1)*($A1&lt;&gt;"汇总")*(MOD(ROW(),2)=0)*($A1&lt;&gt;"")*($B1&amp;$C1&amp;$D1&amp;$E1&amp;$G1&amp;$I1="")</formula>
    </cfRule>
    <cfRule type="expression" dxfId="27" priority="3">
      <formula>(ROW()&gt;1)*($A1&lt;&gt;"汇总")*(MOD(ROW(),2)=0)*($B1&amp;$C1&amp;$D1&amp;$E1&amp;$G1&amp;$I1&lt;&gt;"")</formula>
    </cfRule>
    <cfRule type="expression" dxfId="26" priority="4">
      <formula>(ROW()&gt;1)*($A1&lt;&gt;"汇总")*(MOD(ROW(),2)=1)*($A1&lt;&gt;"")*($B1&amp;$C1&amp;$D1&amp;$E1&amp;$G1&amp;$I1="")</formula>
    </cfRule>
    <cfRule type="expression" dxfId="2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Normal="100" workbookViewId="0">
      <pane ySplit="1" topLeftCell="A207" activePane="bottomLeft" state="frozen"/>
      <selection sqref="A1:F1"/>
      <selection pane="bottomLeft" activeCell="H243" sqref="H243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701</v>
      </c>
      <c r="F2" s="13">
        <f t="shared" ref="F2:F65" si="0">ROUND(PRODUCT($C2:$E2),2)</f>
        <v>0</v>
      </c>
      <c r="H2" s="13">
        <f>ROUND(PRODUCT($C2:$D2,$G2)*0.001,2)</f>
        <v>0</v>
      </c>
    </row>
    <row r="3" spans="1:9" x14ac:dyDescent="0.15">
      <c r="A3" s="7" t="s">
        <v>702</v>
      </c>
      <c r="B3" s="7" t="s">
        <v>703</v>
      </c>
      <c r="C3" s="8">
        <v>1.5</v>
      </c>
      <c r="D3" s="9">
        <v>1</v>
      </c>
      <c r="E3" s="8">
        <f>0.148*2+0.1*4</f>
        <v>0.69599999999999995</v>
      </c>
      <c r="F3" s="13">
        <f t="shared" si="0"/>
        <v>1.04</v>
      </c>
      <c r="G3" s="21">
        <v>20.25</v>
      </c>
      <c r="H3" s="13">
        <f t="shared" ref="H3:H66" si="1">ROUND(PRODUCT($C3:$D3,$G3)*0.001,2)</f>
        <v>0.03</v>
      </c>
      <c r="I3" s="11" t="s">
        <v>704</v>
      </c>
    </row>
    <row r="4" spans="1:9" x14ac:dyDescent="0.15">
      <c r="C4" s="8">
        <v>1.5</v>
      </c>
      <c r="D4" s="9">
        <v>4</v>
      </c>
      <c r="E4" s="8">
        <f>0.148*2+0.1*4</f>
        <v>0.69599999999999995</v>
      </c>
      <c r="F4" s="13">
        <f t="shared" si="0"/>
        <v>4.18</v>
      </c>
      <c r="G4" s="21">
        <v>20.25</v>
      </c>
      <c r="H4" s="13">
        <f t="shared" si="1"/>
        <v>0.12</v>
      </c>
      <c r="I4" s="11" t="s">
        <v>668</v>
      </c>
    </row>
    <row r="5" spans="1:9" x14ac:dyDescent="0.15">
      <c r="A5" s="7" t="s">
        <v>239</v>
      </c>
      <c r="B5" s="7" t="s">
        <v>677</v>
      </c>
      <c r="C5" s="8">
        <v>4.55</v>
      </c>
      <c r="D5" s="9">
        <v>1</v>
      </c>
      <c r="E5" s="8">
        <f>0.244*2+0.175*4</f>
        <v>1.1879999999999999</v>
      </c>
      <c r="F5" s="13">
        <f t="shared" si="0"/>
        <v>5.41</v>
      </c>
      <c r="G5" s="21">
        <v>42.42</v>
      </c>
      <c r="H5" s="13">
        <f t="shared" si="1"/>
        <v>0.19</v>
      </c>
      <c r="I5" s="11" t="s">
        <v>668</v>
      </c>
    </row>
    <row r="6" spans="1:9" x14ac:dyDescent="0.15">
      <c r="C6" s="8">
        <v>6.05</v>
      </c>
      <c r="D6" s="9">
        <v>3</v>
      </c>
      <c r="E6" s="8">
        <f>0.244*2+0.175*4</f>
        <v>1.1879999999999999</v>
      </c>
      <c r="F6" s="13">
        <f t="shared" si="0"/>
        <v>21.56</v>
      </c>
      <c r="G6" s="21">
        <v>42.42</v>
      </c>
      <c r="H6" s="13">
        <f t="shared" si="1"/>
        <v>0.77</v>
      </c>
      <c r="I6" s="11" t="s">
        <v>698</v>
      </c>
    </row>
    <row r="7" spans="1:9" x14ac:dyDescent="0.15">
      <c r="C7" s="8">
        <v>2.2000000000000002</v>
      </c>
      <c r="D7" s="9">
        <v>1</v>
      </c>
      <c r="E7" s="8">
        <f>0.244*2+0.175*4</f>
        <v>1.1879999999999999</v>
      </c>
      <c r="F7" s="13">
        <f t="shared" si="0"/>
        <v>2.61</v>
      </c>
      <c r="G7" s="21">
        <v>42.42</v>
      </c>
      <c r="H7" s="13">
        <f t="shared" si="1"/>
        <v>0.09</v>
      </c>
      <c r="I7" s="11" t="s">
        <v>665</v>
      </c>
    </row>
    <row r="8" spans="1:9" x14ac:dyDescent="0.15">
      <c r="A8" s="7" t="s">
        <v>259</v>
      </c>
      <c r="B8" s="7" t="s">
        <v>705</v>
      </c>
      <c r="C8" s="8">
        <v>6.05</v>
      </c>
      <c r="D8" s="9">
        <v>2</v>
      </c>
      <c r="E8" s="8">
        <v>0.25</v>
      </c>
      <c r="F8" s="13">
        <f t="shared" si="0"/>
        <v>3.03</v>
      </c>
      <c r="G8" s="21">
        <f>0.25*0.014*7850</f>
        <v>27.475000000000001</v>
      </c>
      <c r="H8" s="13">
        <f t="shared" si="1"/>
        <v>0.33</v>
      </c>
      <c r="I8" s="11" t="s">
        <v>665</v>
      </c>
    </row>
    <row r="9" spans="1:9" x14ac:dyDescent="0.15">
      <c r="A9" s="7" t="s">
        <v>258</v>
      </c>
      <c r="B9" s="7" t="s">
        <v>706</v>
      </c>
      <c r="C9" s="8">
        <v>0.3</v>
      </c>
      <c r="D9" s="9">
        <v>10</v>
      </c>
      <c r="E9" s="8">
        <v>0.3</v>
      </c>
      <c r="F9" s="13">
        <f t="shared" si="0"/>
        <v>0.9</v>
      </c>
      <c r="G9" s="21">
        <f>0.3*0.016*7850</f>
        <v>37.68</v>
      </c>
      <c r="H9" s="13">
        <f t="shared" si="1"/>
        <v>0.11</v>
      </c>
      <c r="I9" s="11" t="s">
        <v>665</v>
      </c>
    </row>
    <row r="10" spans="1:9" ht="42.75" x14ac:dyDescent="0.15">
      <c r="A10" s="7" t="s">
        <v>707</v>
      </c>
      <c r="F10" s="13">
        <f t="shared" si="0"/>
        <v>0</v>
      </c>
      <c r="H10" s="13">
        <f t="shared" si="1"/>
        <v>0</v>
      </c>
    </row>
    <row r="11" spans="1:9" x14ac:dyDescent="0.15">
      <c r="B11" s="7" t="s">
        <v>194</v>
      </c>
      <c r="C11" s="8">
        <v>2.9</v>
      </c>
      <c r="D11" s="9">
        <v>10</v>
      </c>
      <c r="E11" s="8">
        <f>0.194*2+0.15*4</f>
        <v>0.98799999999999999</v>
      </c>
      <c r="F11" s="13">
        <f t="shared" si="0"/>
        <v>28.65</v>
      </c>
      <c r="G11" s="21">
        <v>29.48</v>
      </c>
      <c r="H11" s="13">
        <f t="shared" si="1"/>
        <v>0.85</v>
      </c>
      <c r="I11" s="11" t="s">
        <v>665</v>
      </c>
    </row>
    <row r="12" spans="1:9" x14ac:dyDescent="0.15">
      <c r="B12" s="7" t="s">
        <v>708</v>
      </c>
      <c r="C12" s="8">
        <v>2.4</v>
      </c>
      <c r="D12" s="9">
        <v>2</v>
      </c>
      <c r="E12" s="8">
        <f>0.244*2+0.175*4</f>
        <v>1.1879999999999999</v>
      </c>
      <c r="F12" s="13">
        <f t="shared" si="0"/>
        <v>5.7</v>
      </c>
      <c r="G12" s="21">
        <v>42.42</v>
      </c>
      <c r="H12" s="13">
        <f t="shared" si="1"/>
        <v>0.2</v>
      </c>
      <c r="I12" s="11" t="s">
        <v>665</v>
      </c>
    </row>
    <row r="13" spans="1:9" x14ac:dyDescent="0.15">
      <c r="C13" s="8">
        <v>2.9</v>
      </c>
      <c r="D13" s="9">
        <v>3</v>
      </c>
      <c r="E13" s="8">
        <f>0.244*2+0.175*4</f>
        <v>1.1879999999999999</v>
      </c>
      <c r="F13" s="13">
        <f t="shared" si="0"/>
        <v>10.34</v>
      </c>
      <c r="G13" s="21">
        <v>42.42</v>
      </c>
      <c r="H13" s="13">
        <f t="shared" si="1"/>
        <v>0.37</v>
      </c>
      <c r="I13" s="11" t="s">
        <v>709</v>
      </c>
    </row>
    <row r="14" spans="1:9" x14ac:dyDescent="0.15">
      <c r="C14" s="8">
        <v>5.5250000000000004</v>
      </c>
      <c r="D14" s="9">
        <v>4</v>
      </c>
      <c r="E14" s="8">
        <f>0.244*2+0.175*4</f>
        <v>1.1879999999999999</v>
      </c>
      <c r="F14" s="13">
        <f t="shared" si="0"/>
        <v>26.25</v>
      </c>
      <c r="G14" s="21">
        <v>42.42</v>
      </c>
      <c r="H14" s="13">
        <f t="shared" si="1"/>
        <v>0.94</v>
      </c>
      <c r="I14" s="11" t="s">
        <v>665</v>
      </c>
    </row>
    <row r="15" spans="1:9" x14ac:dyDescent="0.15">
      <c r="C15" s="8">
        <v>5.4</v>
      </c>
      <c r="D15" s="9">
        <v>2</v>
      </c>
      <c r="E15" s="8">
        <f>0.244*2+0.175*4</f>
        <v>1.1879999999999999</v>
      </c>
      <c r="F15" s="13">
        <f t="shared" si="0"/>
        <v>12.83</v>
      </c>
      <c r="G15" s="21">
        <v>42.42</v>
      </c>
      <c r="H15" s="13">
        <f t="shared" si="1"/>
        <v>0.46</v>
      </c>
      <c r="I15" s="11" t="s">
        <v>666</v>
      </c>
    </row>
    <row r="16" spans="1:9" x14ac:dyDescent="0.15">
      <c r="A16" s="7" t="s">
        <v>260</v>
      </c>
      <c r="B16" s="7" t="s">
        <v>261</v>
      </c>
      <c r="C16" s="8">
        <v>0.3</v>
      </c>
      <c r="D16" s="9">
        <v>24</v>
      </c>
      <c r="E16" s="8">
        <v>0.3</v>
      </c>
      <c r="F16" s="13">
        <f t="shared" si="0"/>
        <v>2.16</v>
      </c>
      <c r="G16" s="21">
        <f>0.3*0.016*7850</f>
        <v>37.68</v>
      </c>
      <c r="H16" s="13">
        <f t="shared" si="1"/>
        <v>0.27</v>
      </c>
      <c r="I16" s="11" t="s">
        <v>665</v>
      </c>
    </row>
    <row r="17" spans="1:9" x14ac:dyDescent="0.15">
      <c r="A17" s="7" t="s">
        <v>710</v>
      </c>
      <c r="B17" s="7" t="s">
        <v>263</v>
      </c>
      <c r="C17" s="8">
        <v>0.4</v>
      </c>
      <c r="D17" s="9">
        <v>18</v>
      </c>
      <c r="E17" s="8">
        <v>0.35</v>
      </c>
      <c r="F17" s="13">
        <f t="shared" si="0"/>
        <v>2.52</v>
      </c>
      <c r="G17" s="21">
        <f>0.35*0.018*7850</f>
        <v>49.454999999999991</v>
      </c>
      <c r="H17" s="13">
        <f t="shared" si="1"/>
        <v>0.36</v>
      </c>
      <c r="I17" s="11" t="s">
        <v>341</v>
      </c>
    </row>
    <row r="18" spans="1:9" ht="28.5" x14ac:dyDescent="0.15">
      <c r="A18" s="7" t="s">
        <v>711</v>
      </c>
      <c r="F18" s="13">
        <f t="shared" si="0"/>
        <v>0</v>
      </c>
      <c r="H18" s="13">
        <f t="shared" si="1"/>
        <v>0</v>
      </c>
    </row>
    <row r="19" spans="1:9" x14ac:dyDescent="0.15">
      <c r="B19" s="7" t="s">
        <v>712</v>
      </c>
      <c r="C19" s="8">
        <v>2.9</v>
      </c>
      <c r="D19" s="9">
        <v>9</v>
      </c>
      <c r="E19" s="8">
        <f>0.194*2+0.15*4</f>
        <v>0.98799999999999999</v>
      </c>
      <c r="F19" s="13">
        <f t="shared" si="0"/>
        <v>25.79</v>
      </c>
      <c r="G19" s="21">
        <v>29.48</v>
      </c>
      <c r="H19" s="13">
        <f t="shared" si="1"/>
        <v>0.77</v>
      </c>
      <c r="I19" s="11" t="s">
        <v>713</v>
      </c>
    </row>
    <row r="20" spans="1:9" x14ac:dyDescent="0.15">
      <c r="B20" s="7" t="s">
        <v>714</v>
      </c>
      <c r="C20" s="8">
        <v>5.5250000000000004</v>
      </c>
      <c r="D20" s="9">
        <v>3</v>
      </c>
      <c r="E20" s="8">
        <f>0.244*2+0.175*4</f>
        <v>1.1879999999999999</v>
      </c>
      <c r="F20" s="13">
        <f t="shared" si="0"/>
        <v>19.690000000000001</v>
      </c>
      <c r="G20" s="21">
        <v>42.42</v>
      </c>
      <c r="H20" s="13">
        <f t="shared" si="1"/>
        <v>0.7</v>
      </c>
      <c r="I20" s="11" t="s">
        <v>713</v>
      </c>
    </row>
    <row r="21" spans="1:9" x14ac:dyDescent="0.15">
      <c r="C21" s="8">
        <v>5.4</v>
      </c>
      <c r="D21" s="9">
        <v>1</v>
      </c>
      <c r="E21" s="8">
        <f>0.244*2+0.175*4</f>
        <v>1.1879999999999999</v>
      </c>
      <c r="F21" s="13">
        <f t="shared" si="0"/>
        <v>6.42</v>
      </c>
      <c r="G21" s="21">
        <v>42.42</v>
      </c>
      <c r="H21" s="13">
        <f t="shared" si="1"/>
        <v>0.23</v>
      </c>
      <c r="I21" s="11" t="s">
        <v>713</v>
      </c>
    </row>
    <row r="22" spans="1:9" x14ac:dyDescent="0.15">
      <c r="A22" s="7" t="s">
        <v>260</v>
      </c>
      <c r="B22" s="7" t="s">
        <v>706</v>
      </c>
      <c r="C22" s="8">
        <v>0.3</v>
      </c>
      <c r="D22" s="9">
        <v>20</v>
      </c>
      <c r="E22" s="8">
        <v>0.3</v>
      </c>
      <c r="F22" s="13">
        <f t="shared" si="0"/>
        <v>1.8</v>
      </c>
      <c r="G22" s="21">
        <f>0.3*0.016*7850</f>
        <v>37.68</v>
      </c>
      <c r="H22" s="13">
        <f t="shared" si="1"/>
        <v>0.23</v>
      </c>
      <c r="I22" s="11" t="s">
        <v>665</v>
      </c>
    </row>
    <row r="23" spans="1:9" x14ac:dyDescent="0.15">
      <c r="A23" s="7" t="s">
        <v>262</v>
      </c>
      <c r="B23" s="7" t="s">
        <v>715</v>
      </c>
      <c r="C23" s="8">
        <v>0.4</v>
      </c>
      <c r="D23" s="9">
        <v>6</v>
      </c>
      <c r="E23" s="8">
        <v>0.35</v>
      </c>
      <c r="F23" s="13">
        <f t="shared" si="0"/>
        <v>0.84</v>
      </c>
      <c r="G23" s="21">
        <f>0.35*0.018*7850</f>
        <v>49.454999999999991</v>
      </c>
      <c r="H23" s="13">
        <f t="shared" si="1"/>
        <v>0.12</v>
      </c>
      <c r="I23" s="11" t="s">
        <v>665</v>
      </c>
    </row>
    <row r="24" spans="1:9" ht="28.5" x14ac:dyDescent="0.15">
      <c r="A24" s="7" t="s">
        <v>716</v>
      </c>
      <c r="F24" s="13">
        <f t="shared" si="0"/>
        <v>0</v>
      </c>
      <c r="H24" s="13">
        <f t="shared" si="1"/>
        <v>0</v>
      </c>
    </row>
    <row r="25" spans="1:9" x14ac:dyDescent="0.15">
      <c r="B25" s="7" t="s">
        <v>664</v>
      </c>
      <c r="C25" s="8">
        <v>2.9</v>
      </c>
      <c r="D25" s="9">
        <v>10</v>
      </c>
      <c r="E25" s="8">
        <f>0.194*2+0.15*4</f>
        <v>0.98799999999999999</v>
      </c>
      <c r="F25" s="13">
        <f t="shared" si="0"/>
        <v>28.65</v>
      </c>
      <c r="G25" s="21">
        <v>29.48</v>
      </c>
      <c r="H25" s="13">
        <f t="shared" si="1"/>
        <v>0.85</v>
      </c>
      <c r="I25" s="11" t="s">
        <v>665</v>
      </c>
    </row>
    <row r="26" spans="1:9" x14ac:dyDescent="0.15">
      <c r="B26" s="7" t="s">
        <v>201</v>
      </c>
      <c r="C26" s="8">
        <v>5.5250000000000004</v>
      </c>
      <c r="D26" s="9">
        <v>4</v>
      </c>
      <c r="E26" s="8">
        <f>0.244*2+0.175*4</f>
        <v>1.1879999999999999</v>
      </c>
      <c r="F26" s="13">
        <f t="shared" si="0"/>
        <v>26.25</v>
      </c>
      <c r="G26" s="21">
        <v>42.42</v>
      </c>
      <c r="H26" s="13">
        <f t="shared" si="1"/>
        <v>0.94</v>
      </c>
      <c r="I26" s="11" t="s">
        <v>665</v>
      </c>
    </row>
    <row r="27" spans="1:9" x14ac:dyDescent="0.15">
      <c r="C27" s="8">
        <v>5.4</v>
      </c>
      <c r="D27" s="9">
        <v>2</v>
      </c>
      <c r="E27" s="8">
        <f>0.244*2+0.175*4</f>
        <v>1.1879999999999999</v>
      </c>
      <c r="F27" s="13">
        <f t="shared" si="0"/>
        <v>12.83</v>
      </c>
      <c r="G27" s="21">
        <v>42.42</v>
      </c>
      <c r="H27" s="13">
        <f t="shared" si="1"/>
        <v>0.46</v>
      </c>
      <c r="I27" s="11" t="s">
        <v>665</v>
      </c>
    </row>
    <row r="28" spans="1:9" x14ac:dyDescent="0.15">
      <c r="A28" s="7" t="s">
        <v>717</v>
      </c>
      <c r="B28" s="7" t="s">
        <v>706</v>
      </c>
      <c r="C28" s="8">
        <v>0.3</v>
      </c>
      <c r="D28" s="9">
        <v>24</v>
      </c>
      <c r="E28" s="8">
        <v>0.3</v>
      </c>
      <c r="F28" s="13">
        <f t="shared" si="0"/>
        <v>2.16</v>
      </c>
      <c r="G28" s="21">
        <f>0.3*0.016*7850</f>
        <v>37.68</v>
      </c>
      <c r="H28" s="13">
        <f t="shared" si="1"/>
        <v>0.27</v>
      </c>
      <c r="I28" s="11" t="s">
        <v>665</v>
      </c>
    </row>
    <row r="29" spans="1:9" x14ac:dyDescent="0.15">
      <c r="A29" s="7" t="s">
        <v>262</v>
      </c>
      <c r="B29" s="7" t="s">
        <v>263</v>
      </c>
      <c r="C29" s="8">
        <v>0.4</v>
      </c>
      <c r="D29" s="9">
        <v>8</v>
      </c>
      <c r="E29" s="8">
        <v>0.35</v>
      </c>
      <c r="F29" s="13">
        <f t="shared" si="0"/>
        <v>1.1200000000000001</v>
      </c>
      <c r="G29" s="21">
        <f>0.35*0.018*7850</f>
        <v>49.454999999999991</v>
      </c>
      <c r="H29" s="13">
        <f t="shared" si="1"/>
        <v>0.16</v>
      </c>
      <c r="I29" s="11" t="s">
        <v>665</v>
      </c>
    </row>
    <row r="30" spans="1:9" ht="28.5" x14ac:dyDescent="0.15">
      <c r="A30" s="7" t="s">
        <v>264</v>
      </c>
      <c r="F30" s="13">
        <f t="shared" si="0"/>
        <v>0</v>
      </c>
      <c r="H30" s="13">
        <f t="shared" si="1"/>
        <v>0</v>
      </c>
    </row>
    <row r="31" spans="1:9" x14ac:dyDescent="0.15">
      <c r="B31" s="7" t="s">
        <v>194</v>
      </c>
      <c r="C31" s="8">
        <v>2.9</v>
      </c>
      <c r="D31" s="9">
        <v>12</v>
      </c>
      <c r="E31" s="8">
        <f>0.194*2+0.15*4</f>
        <v>0.98799999999999999</v>
      </c>
      <c r="F31" s="13">
        <f t="shared" si="0"/>
        <v>34.380000000000003</v>
      </c>
      <c r="G31" s="21">
        <v>29.48</v>
      </c>
      <c r="H31" s="13">
        <f t="shared" si="1"/>
        <v>1.03</v>
      </c>
      <c r="I31" s="11" t="s">
        <v>341</v>
      </c>
    </row>
    <row r="32" spans="1:9" x14ac:dyDescent="0.15">
      <c r="A32" s="7" t="s">
        <v>717</v>
      </c>
      <c r="B32" s="7" t="s">
        <v>706</v>
      </c>
      <c r="C32" s="8">
        <v>0.3</v>
      </c>
      <c r="D32" s="9">
        <v>24</v>
      </c>
      <c r="E32" s="8">
        <v>0.3</v>
      </c>
      <c r="F32" s="13">
        <f t="shared" si="0"/>
        <v>2.16</v>
      </c>
      <c r="G32" s="21">
        <f>0.3*0.016*7850</f>
        <v>37.68</v>
      </c>
      <c r="H32" s="13">
        <f t="shared" si="1"/>
        <v>0.27</v>
      </c>
      <c r="I32" s="11" t="s">
        <v>665</v>
      </c>
    </row>
    <row r="33" spans="1:9" x14ac:dyDescent="0.15">
      <c r="A33" s="7" t="s">
        <v>718</v>
      </c>
      <c r="F33" s="13">
        <f t="shared" si="0"/>
        <v>0</v>
      </c>
      <c r="H33" s="13">
        <f t="shared" si="1"/>
        <v>0</v>
      </c>
    </row>
    <row r="34" spans="1:9" x14ac:dyDescent="0.15">
      <c r="A34" s="7" t="s">
        <v>719</v>
      </c>
      <c r="B34" s="7" t="s">
        <v>720</v>
      </c>
      <c r="C34" s="8">
        <f>1.2-0.2</f>
        <v>1</v>
      </c>
      <c r="D34" s="9">
        <v>4</v>
      </c>
      <c r="E34" s="8">
        <f>0.15*2+0.15*4</f>
        <v>0.89999999999999991</v>
      </c>
      <c r="F34" s="13">
        <f t="shared" si="0"/>
        <v>3.6</v>
      </c>
      <c r="G34" s="21">
        <v>30.69</v>
      </c>
      <c r="H34" s="13">
        <f t="shared" si="1"/>
        <v>0.12</v>
      </c>
      <c r="I34" s="11" t="s">
        <v>661</v>
      </c>
    </row>
    <row r="35" spans="1:9" x14ac:dyDescent="0.15">
      <c r="A35" s="7" t="s">
        <v>693</v>
      </c>
      <c r="B35" s="7" t="s">
        <v>721</v>
      </c>
      <c r="C35" s="8">
        <v>0.3</v>
      </c>
      <c r="D35" s="9">
        <v>4</v>
      </c>
      <c r="E35" s="8">
        <v>0.3</v>
      </c>
      <c r="F35" s="13">
        <f t="shared" si="0"/>
        <v>0.36</v>
      </c>
      <c r="G35" s="21">
        <f>0.3*0.012*7850</f>
        <v>28.259999999999998</v>
      </c>
      <c r="H35" s="13">
        <f t="shared" si="1"/>
        <v>0.03</v>
      </c>
      <c r="I35" s="11" t="s">
        <v>661</v>
      </c>
    </row>
    <row r="36" spans="1:9" x14ac:dyDescent="0.15">
      <c r="B36" s="7" t="s">
        <v>722</v>
      </c>
      <c r="C36" s="8">
        <v>0.05</v>
      </c>
      <c r="D36" s="9">
        <f>4*4</f>
        <v>16</v>
      </c>
      <c r="E36" s="8">
        <f>0.15*2</f>
        <v>0.3</v>
      </c>
      <c r="F36" s="13">
        <f t="shared" si="0"/>
        <v>0.24</v>
      </c>
      <c r="G36" s="21">
        <f>0.15*0.01*7850</f>
        <v>11.775</v>
      </c>
      <c r="H36" s="13">
        <f t="shared" si="1"/>
        <v>0.01</v>
      </c>
      <c r="I36" s="11" t="s">
        <v>661</v>
      </c>
    </row>
    <row r="37" spans="1:9" x14ac:dyDescent="0.15">
      <c r="A37" s="7" t="s">
        <v>723</v>
      </c>
      <c r="B37" s="7" t="s">
        <v>266</v>
      </c>
      <c r="C37" s="8">
        <v>0.6</v>
      </c>
      <c r="D37" s="9">
        <v>4</v>
      </c>
      <c r="E37" s="8">
        <f>0.148*2+0.1*4</f>
        <v>0.69599999999999995</v>
      </c>
      <c r="F37" s="13">
        <f t="shared" si="0"/>
        <v>1.67</v>
      </c>
      <c r="G37" s="21">
        <v>20.25</v>
      </c>
      <c r="H37" s="13">
        <f t="shared" si="1"/>
        <v>0.05</v>
      </c>
      <c r="I37" s="11" t="s">
        <v>341</v>
      </c>
    </row>
    <row r="38" spans="1:9" x14ac:dyDescent="0.15">
      <c r="C38" s="8">
        <v>1.2</v>
      </c>
      <c r="D38" s="9">
        <v>2</v>
      </c>
      <c r="E38" s="8">
        <f>0.148*2+0.1*4</f>
        <v>0.69599999999999995</v>
      </c>
      <c r="F38" s="13">
        <f t="shared" si="0"/>
        <v>1.67</v>
      </c>
      <c r="G38" s="21">
        <v>20.25</v>
      </c>
      <c r="H38" s="13">
        <f t="shared" si="1"/>
        <v>0.05</v>
      </c>
      <c r="I38" s="11" t="s">
        <v>341</v>
      </c>
    </row>
    <row r="39" spans="1:9" x14ac:dyDescent="0.15">
      <c r="C39" s="8">
        <v>1.5</v>
      </c>
      <c r="D39" s="9">
        <v>2</v>
      </c>
      <c r="E39" s="8">
        <f>0.148*2+0.1*4</f>
        <v>0.69599999999999995</v>
      </c>
      <c r="F39" s="13">
        <f t="shared" si="0"/>
        <v>2.09</v>
      </c>
      <c r="G39" s="21">
        <v>20.25</v>
      </c>
      <c r="H39" s="13">
        <f t="shared" si="1"/>
        <v>0.06</v>
      </c>
      <c r="I39" s="11" t="s">
        <v>341</v>
      </c>
    </row>
    <row r="40" spans="1:9" x14ac:dyDescent="0.15">
      <c r="A40" s="7" t="s">
        <v>265</v>
      </c>
      <c r="B40" s="7" t="s">
        <v>194</v>
      </c>
      <c r="C40" s="8">
        <v>1.2</v>
      </c>
      <c r="D40" s="9">
        <v>2</v>
      </c>
      <c r="E40" s="8">
        <f>0.194*2+0.15*4</f>
        <v>0.98799999999999999</v>
      </c>
      <c r="F40" s="13">
        <f t="shared" si="0"/>
        <v>2.37</v>
      </c>
      <c r="G40" s="21">
        <v>29.48</v>
      </c>
      <c r="H40" s="13">
        <f t="shared" si="1"/>
        <v>7.0000000000000007E-2</v>
      </c>
      <c r="I40" s="11" t="s">
        <v>341</v>
      </c>
    </row>
    <row r="41" spans="1:9" x14ac:dyDescent="0.15">
      <c r="C41" s="8">
        <f>2.8-0.075*2</f>
        <v>2.65</v>
      </c>
      <c r="D41" s="9">
        <v>2</v>
      </c>
      <c r="E41" s="8">
        <f>0.194*2+0.15*4</f>
        <v>0.98799999999999999</v>
      </c>
      <c r="F41" s="13">
        <f t="shared" si="0"/>
        <v>5.24</v>
      </c>
      <c r="G41" s="21">
        <v>29.48</v>
      </c>
      <c r="H41" s="13">
        <f t="shared" si="1"/>
        <v>0.16</v>
      </c>
      <c r="I41" s="11" t="s">
        <v>341</v>
      </c>
    </row>
    <row r="42" spans="1:9" x14ac:dyDescent="0.15">
      <c r="A42" s="7" t="s">
        <v>267</v>
      </c>
      <c r="B42" s="7" t="s">
        <v>268</v>
      </c>
      <c r="C42" s="8">
        <v>1.5</v>
      </c>
      <c r="D42" s="9">
        <v>2</v>
      </c>
      <c r="E42" s="8">
        <v>0.6</v>
      </c>
      <c r="F42" s="13">
        <f t="shared" si="0"/>
        <v>1.8</v>
      </c>
      <c r="G42" s="21">
        <f>0.6*0.006*7850</f>
        <v>28.259999999999998</v>
      </c>
      <c r="H42" s="13">
        <f t="shared" si="1"/>
        <v>0.08</v>
      </c>
      <c r="I42" s="11" t="s">
        <v>317</v>
      </c>
    </row>
    <row r="43" spans="1:9" x14ac:dyDescent="0.15">
      <c r="B43" s="7" t="s">
        <v>269</v>
      </c>
      <c r="C43" s="8">
        <v>2.8</v>
      </c>
      <c r="D43" s="9">
        <v>1</v>
      </c>
      <c r="E43" s="8">
        <v>1.2</v>
      </c>
      <c r="F43" s="13">
        <f t="shared" si="0"/>
        <v>3.36</v>
      </c>
      <c r="G43" s="21">
        <f>1.2*0.006*7850</f>
        <v>56.519999999999996</v>
      </c>
      <c r="H43" s="13">
        <f t="shared" si="1"/>
        <v>0.16</v>
      </c>
      <c r="I43" s="11" t="s">
        <v>317</v>
      </c>
    </row>
    <row r="44" spans="1:9" x14ac:dyDescent="0.15">
      <c r="A44" s="7" t="s">
        <v>270</v>
      </c>
      <c r="B44" s="7" t="s">
        <v>271</v>
      </c>
      <c r="C44" s="8">
        <v>0.6</v>
      </c>
      <c r="D44" s="9">
        <f>ROUNDUP(1.5/0.5,0)-1</f>
        <v>2</v>
      </c>
      <c r="E44" s="8">
        <f>0.063*4</f>
        <v>0.252</v>
      </c>
      <c r="F44" s="13">
        <f t="shared" si="0"/>
        <v>0.3</v>
      </c>
      <c r="G44" s="21">
        <v>4.82</v>
      </c>
      <c r="H44" s="13">
        <f t="shared" si="1"/>
        <v>0.01</v>
      </c>
      <c r="I44" s="11" t="s">
        <v>317</v>
      </c>
    </row>
    <row r="45" spans="1:9" x14ac:dyDescent="0.15">
      <c r="C45" s="8">
        <v>0.6</v>
      </c>
      <c r="D45" s="9">
        <f>ROUNDUP(1.5/0.5,0)-1</f>
        <v>2</v>
      </c>
      <c r="E45" s="8">
        <f>0.063*4</f>
        <v>0.252</v>
      </c>
      <c r="F45" s="13">
        <f t="shared" si="0"/>
        <v>0.3</v>
      </c>
      <c r="G45" s="21">
        <v>4.82</v>
      </c>
      <c r="H45" s="13">
        <f t="shared" si="1"/>
        <v>0.01</v>
      </c>
      <c r="I45" s="11" t="s">
        <v>317</v>
      </c>
    </row>
    <row r="46" spans="1:9" x14ac:dyDescent="0.15">
      <c r="C46" s="8">
        <v>0.65</v>
      </c>
      <c r="D46" s="9">
        <f>ROUNDUP(1.2/0.5,0)-1</f>
        <v>2</v>
      </c>
      <c r="E46" s="8">
        <f>0.063*4</f>
        <v>0.252</v>
      </c>
      <c r="F46" s="13">
        <f t="shared" si="0"/>
        <v>0.33</v>
      </c>
      <c r="G46" s="21">
        <v>4.82</v>
      </c>
      <c r="H46" s="13">
        <f t="shared" si="1"/>
        <v>0.01</v>
      </c>
      <c r="I46" s="11" t="s">
        <v>317</v>
      </c>
    </row>
    <row r="47" spans="1:9" x14ac:dyDescent="0.15">
      <c r="C47" s="8">
        <v>0.65</v>
      </c>
      <c r="D47" s="9">
        <f>ROUNDUP(1.2/0.5,0)-1</f>
        <v>2</v>
      </c>
      <c r="E47" s="8">
        <f>0.063*4</f>
        <v>0.252</v>
      </c>
      <c r="F47" s="13">
        <f t="shared" si="0"/>
        <v>0.33</v>
      </c>
      <c r="G47" s="21">
        <v>4.82</v>
      </c>
      <c r="H47" s="13">
        <f t="shared" si="1"/>
        <v>0.01</v>
      </c>
      <c r="I47" s="11" t="s">
        <v>317</v>
      </c>
    </row>
    <row r="48" spans="1:9" x14ac:dyDescent="0.15">
      <c r="C48" s="8">
        <v>1.2</v>
      </c>
      <c r="D48" s="9">
        <f>ROUNDUP(1.5/0.5,0)-1</f>
        <v>2</v>
      </c>
      <c r="E48" s="8">
        <f>0.063*4</f>
        <v>0.252</v>
      </c>
      <c r="F48" s="13">
        <f t="shared" si="0"/>
        <v>0.6</v>
      </c>
      <c r="G48" s="21">
        <v>4.82</v>
      </c>
      <c r="H48" s="13">
        <f t="shared" si="1"/>
        <v>0.01</v>
      </c>
      <c r="I48" s="11" t="s">
        <v>317</v>
      </c>
    </row>
    <row r="49" spans="1:9" x14ac:dyDescent="0.15">
      <c r="A49" s="7" t="s">
        <v>197</v>
      </c>
      <c r="F49" s="13">
        <f t="shared" si="0"/>
        <v>0</v>
      </c>
      <c r="H49" s="13">
        <f t="shared" si="1"/>
        <v>0</v>
      </c>
    </row>
    <row r="50" spans="1:9" x14ac:dyDescent="0.15">
      <c r="A50" s="7" t="s">
        <v>190</v>
      </c>
      <c r="B50" s="7" t="s">
        <v>272</v>
      </c>
      <c r="C50" s="8">
        <v>1.4</v>
      </c>
      <c r="D50" s="9">
        <v>1</v>
      </c>
      <c r="E50" s="8">
        <f t="shared" ref="E50:E57" si="2">0.148*2+0.1*4</f>
        <v>0.69599999999999995</v>
      </c>
      <c r="F50" s="13">
        <f t="shared" si="0"/>
        <v>0.97</v>
      </c>
      <c r="G50" s="21">
        <v>20.25</v>
      </c>
      <c r="H50" s="13">
        <f t="shared" si="1"/>
        <v>0.03</v>
      </c>
      <c r="I50" s="11" t="s">
        <v>341</v>
      </c>
    </row>
    <row r="51" spans="1:9" x14ac:dyDescent="0.15">
      <c r="C51" s="8">
        <v>1.9</v>
      </c>
      <c r="D51" s="9">
        <v>4</v>
      </c>
      <c r="E51" s="8">
        <f t="shared" si="2"/>
        <v>0.69599999999999995</v>
      </c>
      <c r="F51" s="13">
        <f t="shared" si="0"/>
        <v>5.29</v>
      </c>
      <c r="G51" s="21">
        <v>20.25</v>
      </c>
      <c r="H51" s="13">
        <f t="shared" si="1"/>
        <v>0.15</v>
      </c>
      <c r="I51" s="11" t="s">
        <v>341</v>
      </c>
    </row>
    <row r="52" spans="1:9" x14ac:dyDescent="0.15">
      <c r="C52" s="8">
        <v>1.625</v>
      </c>
      <c r="D52" s="9">
        <v>4</v>
      </c>
      <c r="E52" s="8">
        <f t="shared" si="2"/>
        <v>0.69599999999999995</v>
      </c>
      <c r="F52" s="13">
        <f t="shared" si="0"/>
        <v>4.5199999999999996</v>
      </c>
      <c r="G52" s="21">
        <v>20.25</v>
      </c>
      <c r="H52" s="13">
        <f t="shared" si="1"/>
        <v>0.13</v>
      </c>
      <c r="I52" s="11" t="s">
        <v>341</v>
      </c>
    </row>
    <row r="53" spans="1:9" x14ac:dyDescent="0.15">
      <c r="C53" s="8">
        <v>1.875</v>
      </c>
      <c r="D53" s="9">
        <v>2</v>
      </c>
      <c r="E53" s="8">
        <f t="shared" si="2"/>
        <v>0.69599999999999995</v>
      </c>
      <c r="F53" s="13">
        <f t="shared" si="0"/>
        <v>2.61</v>
      </c>
      <c r="G53" s="21">
        <v>20.25</v>
      </c>
      <c r="H53" s="13">
        <f t="shared" si="1"/>
        <v>0.08</v>
      </c>
      <c r="I53" s="11" t="s">
        <v>341</v>
      </c>
    </row>
    <row r="54" spans="1:9" x14ac:dyDescent="0.15">
      <c r="C54" s="8">
        <v>1.85</v>
      </c>
      <c r="D54" s="9">
        <v>2</v>
      </c>
      <c r="E54" s="8">
        <f t="shared" si="2"/>
        <v>0.69599999999999995</v>
      </c>
      <c r="F54" s="13">
        <f t="shared" si="0"/>
        <v>2.58</v>
      </c>
      <c r="G54" s="21">
        <v>20.25</v>
      </c>
      <c r="H54" s="13">
        <f t="shared" si="1"/>
        <v>7.0000000000000007E-2</v>
      </c>
      <c r="I54" s="11" t="s">
        <v>341</v>
      </c>
    </row>
    <row r="55" spans="1:9" x14ac:dyDescent="0.15">
      <c r="C55" s="8">
        <v>2.15</v>
      </c>
      <c r="D55" s="9">
        <v>3</v>
      </c>
      <c r="E55" s="8">
        <f t="shared" si="2"/>
        <v>0.69599999999999995</v>
      </c>
      <c r="F55" s="13">
        <f t="shared" si="0"/>
        <v>4.49</v>
      </c>
      <c r="G55" s="21">
        <v>20.25</v>
      </c>
      <c r="H55" s="13">
        <f t="shared" si="1"/>
        <v>0.13</v>
      </c>
      <c r="I55" s="11" t="s">
        <v>341</v>
      </c>
    </row>
    <row r="56" spans="1:9" x14ac:dyDescent="0.15">
      <c r="C56" s="8">
        <v>2</v>
      </c>
      <c r="D56" s="9">
        <v>1</v>
      </c>
      <c r="E56" s="8">
        <f t="shared" si="2"/>
        <v>0.69599999999999995</v>
      </c>
      <c r="F56" s="13">
        <f t="shared" si="0"/>
        <v>1.39</v>
      </c>
      <c r="G56" s="21">
        <v>20.25</v>
      </c>
      <c r="H56" s="13">
        <f t="shared" si="1"/>
        <v>0.04</v>
      </c>
      <c r="I56" s="11" t="s">
        <v>341</v>
      </c>
    </row>
    <row r="57" spans="1:9" x14ac:dyDescent="0.15">
      <c r="C57" s="8">
        <v>3.4</v>
      </c>
      <c r="D57" s="9">
        <v>1</v>
      </c>
      <c r="E57" s="8">
        <f t="shared" si="2"/>
        <v>0.69599999999999995</v>
      </c>
      <c r="F57" s="13">
        <f t="shared" si="0"/>
        <v>2.37</v>
      </c>
      <c r="G57" s="21">
        <v>20.25</v>
      </c>
      <c r="H57" s="13">
        <f t="shared" si="1"/>
        <v>7.0000000000000007E-2</v>
      </c>
      <c r="I57" s="11" t="s">
        <v>341</v>
      </c>
    </row>
    <row r="58" spans="1:9" x14ac:dyDescent="0.15">
      <c r="A58" s="7" t="s">
        <v>199</v>
      </c>
      <c r="B58" s="7" t="s">
        <v>194</v>
      </c>
      <c r="C58" s="8">
        <v>0.36</v>
      </c>
      <c r="D58" s="9">
        <v>1</v>
      </c>
      <c r="E58" s="8">
        <f t="shared" ref="E58:E63" si="3">0.194*2+0.15*4</f>
        <v>0.98799999999999999</v>
      </c>
      <c r="F58" s="13">
        <f t="shared" si="0"/>
        <v>0.36</v>
      </c>
      <c r="G58" s="21">
        <v>29.48</v>
      </c>
      <c r="H58" s="13">
        <f t="shared" si="1"/>
        <v>0.01</v>
      </c>
      <c r="I58" s="11" t="s">
        <v>341</v>
      </c>
    </row>
    <row r="59" spans="1:9" x14ac:dyDescent="0.15">
      <c r="C59" s="8">
        <v>1.1000000000000001</v>
      </c>
      <c r="D59" s="9">
        <v>3</v>
      </c>
      <c r="E59" s="8">
        <f t="shared" si="3"/>
        <v>0.98799999999999999</v>
      </c>
      <c r="F59" s="13">
        <f t="shared" si="0"/>
        <v>3.26</v>
      </c>
      <c r="G59" s="21">
        <v>29.48</v>
      </c>
      <c r="H59" s="13">
        <f t="shared" si="1"/>
        <v>0.1</v>
      </c>
      <c r="I59" s="11" t="s">
        <v>341</v>
      </c>
    </row>
    <row r="60" spans="1:9" x14ac:dyDescent="0.15">
      <c r="C60" s="8">
        <v>1.875</v>
      </c>
      <c r="D60" s="9">
        <v>2</v>
      </c>
      <c r="E60" s="8">
        <f t="shared" si="3"/>
        <v>0.98799999999999999</v>
      </c>
      <c r="F60" s="13">
        <f t="shared" si="0"/>
        <v>3.71</v>
      </c>
      <c r="G60" s="21">
        <v>29.48</v>
      </c>
      <c r="H60" s="13">
        <f t="shared" si="1"/>
        <v>0.11</v>
      </c>
      <c r="I60" s="11" t="s">
        <v>341</v>
      </c>
    </row>
    <row r="61" spans="1:9" x14ac:dyDescent="0.15">
      <c r="C61" s="8">
        <v>2.9</v>
      </c>
      <c r="D61" s="9">
        <v>6</v>
      </c>
      <c r="E61" s="8">
        <f t="shared" si="3"/>
        <v>0.98799999999999999</v>
      </c>
      <c r="F61" s="13">
        <f t="shared" si="0"/>
        <v>17.190000000000001</v>
      </c>
      <c r="G61" s="21">
        <v>29.48</v>
      </c>
      <c r="H61" s="13">
        <f t="shared" si="1"/>
        <v>0.51</v>
      </c>
      <c r="I61" s="11" t="s">
        <v>341</v>
      </c>
    </row>
    <row r="62" spans="1:9" x14ac:dyDescent="0.15">
      <c r="C62" s="8">
        <v>1.85</v>
      </c>
      <c r="D62" s="9">
        <v>1</v>
      </c>
      <c r="E62" s="8">
        <f t="shared" si="3"/>
        <v>0.98799999999999999</v>
      </c>
      <c r="F62" s="13">
        <f t="shared" si="0"/>
        <v>1.83</v>
      </c>
      <c r="G62" s="21">
        <v>29.48</v>
      </c>
      <c r="H62" s="13">
        <f t="shared" si="1"/>
        <v>0.05</v>
      </c>
      <c r="I62" s="11" t="s">
        <v>341</v>
      </c>
    </row>
    <row r="63" spans="1:9" x14ac:dyDescent="0.15">
      <c r="C63" s="8">
        <v>2</v>
      </c>
      <c r="D63" s="9">
        <v>2</v>
      </c>
      <c r="E63" s="8">
        <f t="shared" si="3"/>
        <v>0.98799999999999999</v>
      </c>
      <c r="F63" s="13">
        <f t="shared" si="0"/>
        <v>3.95</v>
      </c>
      <c r="G63" s="21">
        <v>29.48</v>
      </c>
      <c r="H63" s="13">
        <f t="shared" si="1"/>
        <v>0.12</v>
      </c>
      <c r="I63" s="11" t="s">
        <v>341</v>
      </c>
    </row>
    <row r="64" spans="1:9" x14ac:dyDescent="0.15">
      <c r="A64" s="7" t="s">
        <v>213</v>
      </c>
      <c r="B64" s="7" t="s">
        <v>273</v>
      </c>
      <c r="C64" s="8">
        <v>2.9</v>
      </c>
      <c r="D64" s="9">
        <v>1</v>
      </c>
      <c r="E64" s="8">
        <f>0.244*2+0.175*4</f>
        <v>1.1879999999999999</v>
      </c>
      <c r="F64" s="13">
        <f t="shared" si="0"/>
        <v>3.45</v>
      </c>
      <c r="G64" s="21">
        <v>42.42</v>
      </c>
      <c r="H64" s="13">
        <f t="shared" si="1"/>
        <v>0.12</v>
      </c>
      <c r="I64" s="11" t="s">
        <v>341</v>
      </c>
    </row>
    <row r="65" spans="1:9" x14ac:dyDescent="0.15">
      <c r="C65" s="8">
        <v>1.1000000000000001</v>
      </c>
      <c r="D65" s="9">
        <v>2</v>
      </c>
      <c r="E65" s="8">
        <f>0.244*2+0.175*4</f>
        <v>1.1879999999999999</v>
      </c>
      <c r="F65" s="13">
        <f t="shared" si="0"/>
        <v>2.61</v>
      </c>
      <c r="G65" s="21">
        <v>42.42</v>
      </c>
      <c r="H65" s="13">
        <f t="shared" si="1"/>
        <v>0.09</v>
      </c>
      <c r="I65" s="11" t="s">
        <v>341</v>
      </c>
    </row>
    <row r="66" spans="1:9" x14ac:dyDescent="0.15">
      <c r="C66" s="8">
        <v>5.0999999999999996</v>
      </c>
      <c r="D66" s="9">
        <v>1</v>
      </c>
      <c r="E66" s="8">
        <f>0.244*2+0.175*4</f>
        <v>1.1879999999999999</v>
      </c>
      <c r="F66" s="13">
        <f t="shared" ref="F66:F129" si="4">ROUND(PRODUCT($C66:$E66),2)</f>
        <v>6.06</v>
      </c>
      <c r="G66" s="21">
        <v>42.42</v>
      </c>
      <c r="H66" s="13">
        <f t="shared" si="1"/>
        <v>0.22</v>
      </c>
      <c r="I66" s="11" t="s">
        <v>341</v>
      </c>
    </row>
    <row r="67" spans="1:9" x14ac:dyDescent="0.15">
      <c r="A67" s="7" t="s">
        <v>214</v>
      </c>
      <c r="B67" s="7" t="s">
        <v>222</v>
      </c>
      <c r="C67" s="8">
        <v>5.55</v>
      </c>
      <c r="D67" s="9">
        <v>2</v>
      </c>
      <c r="E67" s="8">
        <f>0.294*2+0.2*4</f>
        <v>1.3879999999999999</v>
      </c>
      <c r="F67" s="13">
        <f t="shared" si="4"/>
        <v>15.41</v>
      </c>
      <c r="G67" s="21">
        <v>54.63</v>
      </c>
      <c r="H67" s="13">
        <f t="shared" ref="H67:H130" si="5">ROUND(PRODUCT($C67:$D67,$G67)*0.001,2)</f>
        <v>0.61</v>
      </c>
      <c r="I67" s="11" t="s">
        <v>341</v>
      </c>
    </row>
    <row r="68" spans="1:9" x14ac:dyDescent="0.15">
      <c r="C68" s="8">
        <v>6.5</v>
      </c>
      <c r="D68" s="9">
        <v>2</v>
      </c>
      <c r="E68" s="8">
        <f>0.294*2+0.2*4</f>
        <v>1.3879999999999999</v>
      </c>
      <c r="F68" s="13">
        <f t="shared" si="4"/>
        <v>18.04</v>
      </c>
      <c r="G68" s="21">
        <v>54.63</v>
      </c>
      <c r="H68" s="13">
        <f t="shared" si="5"/>
        <v>0.71</v>
      </c>
      <c r="I68" s="11" t="s">
        <v>341</v>
      </c>
    </row>
    <row r="69" spans="1:9" x14ac:dyDescent="0.15">
      <c r="C69" s="8">
        <v>6</v>
      </c>
      <c r="D69" s="9">
        <v>3</v>
      </c>
      <c r="E69" s="8">
        <f>0.294*2+0.2*4</f>
        <v>1.3879999999999999</v>
      </c>
      <c r="F69" s="13">
        <f t="shared" si="4"/>
        <v>24.98</v>
      </c>
      <c r="G69" s="21">
        <v>54.63</v>
      </c>
      <c r="H69" s="13">
        <f t="shared" si="5"/>
        <v>0.98</v>
      </c>
      <c r="I69" s="11" t="s">
        <v>341</v>
      </c>
    </row>
    <row r="70" spans="1:9" x14ac:dyDescent="0.15">
      <c r="A70" s="7" t="s">
        <v>215</v>
      </c>
      <c r="B70" s="7" t="s">
        <v>223</v>
      </c>
      <c r="C70" s="8">
        <v>5.55</v>
      </c>
      <c r="D70" s="9">
        <v>3</v>
      </c>
      <c r="E70" s="8">
        <f>0.34*2+0.25*4</f>
        <v>1.6800000000000002</v>
      </c>
      <c r="F70" s="13">
        <f t="shared" si="4"/>
        <v>27.97</v>
      </c>
      <c r="G70" s="21">
        <v>76.989999999999995</v>
      </c>
      <c r="H70" s="13">
        <f t="shared" si="5"/>
        <v>1.28</v>
      </c>
      <c r="I70" s="11" t="s">
        <v>341</v>
      </c>
    </row>
    <row r="71" spans="1:9" x14ac:dyDescent="0.15">
      <c r="A71" s="7" t="s">
        <v>216</v>
      </c>
      <c r="B71" s="7" t="s">
        <v>192</v>
      </c>
      <c r="C71" s="8">
        <v>2</v>
      </c>
      <c r="D71" s="9">
        <v>2</v>
      </c>
      <c r="E71" s="8">
        <f>0.25*2+0.25*4</f>
        <v>1.5</v>
      </c>
      <c r="F71" s="13">
        <f t="shared" si="4"/>
        <v>6</v>
      </c>
      <c r="G71" s="21">
        <v>70.63</v>
      </c>
      <c r="H71" s="13">
        <f t="shared" si="5"/>
        <v>0.28000000000000003</v>
      </c>
      <c r="I71" s="11" t="s">
        <v>341</v>
      </c>
    </row>
    <row r="72" spans="1:9" x14ac:dyDescent="0.15">
      <c r="A72" s="7" t="s">
        <v>274</v>
      </c>
      <c r="F72" s="13">
        <f t="shared" si="4"/>
        <v>0</v>
      </c>
      <c r="H72" s="13">
        <f t="shared" si="5"/>
        <v>0</v>
      </c>
    </row>
    <row r="73" spans="1:9" x14ac:dyDescent="0.15">
      <c r="A73" s="7" t="s">
        <v>275</v>
      </c>
      <c r="B73" s="7" t="s">
        <v>276</v>
      </c>
      <c r="C73" s="8">
        <f>5.3-4</f>
        <v>1.2999999999999998</v>
      </c>
      <c r="D73" s="9">
        <v>4</v>
      </c>
      <c r="E73" s="8">
        <f>0.15*2+0.15*4</f>
        <v>0.89999999999999991</v>
      </c>
      <c r="F73" s="13">
        <f t="shared" si="4"/>
        <v>4.68</v>
      </c>
      <c r="G73" s="21">
        <v>30.69</v>
      </c>
      <c r="H73" s="13">
        <f t="shared" si="5"/>
        <v>0.16</v>
      </c>
      <c r="I73" s="11" t="s">
        <v>342</v>
      </c>
    </row>
    <row r="74" spans="1:9" x14ac:dyDescent="0.15">
      <c r="A74" s="7" t="s">
        <v>196</v>
      </c>
      <c r="B74" s="7" t="s">
        <v>277</v>
      </c>
      <c r="C74" s="8">
        <v>0.4</v>
      </c>
      <c r="D74" s="9">
        <f>1*4</f>
        <v>4</v>
      </c>
      <c r="E74" s="8">
        <v>0.4</v>
      </c>
      <c r="F74" s="13">
        <f t="shared" si="4"/>
        <v>0.64</v>
      </c>
      <c r="G74" s="21">
        <f>0.4*0.018*7850</f>
        <v>56.519999999999996</v>
      </c>
      <c r="H74" s="13">
        <f t="shared" si="5"/>
        <v>0.09</v>
      </c>
      <c r="I74" s="11" t="s">
        <v>342</v>
      </c>
    </row>
    <row r="75" spans="1:9" x14ac:dyDescent="0.15">
      <c r="B75" s="7" t="s">
        <v>278</v>
      </c>
      <c r="C75" s="8">
        <v>0.17</v>
      </c>
      <c r="D75" s="9">
        <f>2*4</f>
        <v>8</v>
      </c>
      <c r="E75" s="8">
        <f>0.2*2</f>
        <v>0.4</v>
      </c>
      <c r="F75" s="13">
        <f t="shared" si="4"/>
        <v>0.54</v>
      </c>
      <c r="G75" s="21">
        <f>0.2*0.014*7850</f>
        <v>21.980000000000004</v>
      </c>
      <c r="H75" s="13">
        <f t="shared" si="5"/>
        <v>0.03</v>
      </c>
      <c r="I75" s="11" t="s">
        <v>342</v>
      </c>
    </row>
    <row r="76" spans="1:9" x14ac:dyDescent="0.15">
      <c r="B76" s="7" t="s">
        <v>279</v>
      </c>
      <c r="C76" s="8">
        <v>0.105</v>
      </c>
      <c r="D76" s="9">
        <f>4*4</f>
        <v>16</v>
      </c>
      <c r="E76" s="8">
        <f>0.2*2</f>
        <v>0.4</v>
      </c>
      <c r="F76" s="13">
        <f t="shared" si="4"/>
        <v>0.67</v>
      </c>
      <c r="G76" s="21">
        <f>0.2*0.014*7850</f>
        <v>21.980000000000004</v>
      </c>
      <c r="H76" s="13">
        <f t="shared" si="5"/>
        <v>0.04</v>
      </c>
      <c r="I76" s="11" t="s">
        <v>342</v>
      </c>
    </row>
    <row r="77" spans="1:9" x14ac:dyDescent="0.15">
      <c r="A77" s="7" t="s">
        <v>280</v>
      </c>
      <c r="F77" s="13">
        <f t="shared" si="4"/>
        <v>0</v>
      </c>
      <c r="H77" s="13">
        <f t="shared" si="5"/>
        <v>0</v>
      </c>
    </row>
    <row r="78" spans="1:9" x14ac:dyDescent="0.15">
      <c r="A78" s="7" t="s">
        <v>199</v>
      </c>
      <c r="B78" s="7" t="s">
        <v>194</v>
      </c>
      <c r="C78" s="8">
        <v>2.125</v>
      </c>
      <c r="D78" s="9">
        <v>2</v>
      </c>
      <c r="E78" s="8">
        <f>0.194*2+0.15*4</f>
        <v>0.98799999999999999</v>
      </c>
      <c r="F78" s="13">
        <f t="shared" si="4"/>
        <v>4.2</v>
      </c>
      <c r="G78" s="21">
        <v>29.48</v>
      </c>
      <c r="H78" s="13">
        <f t="shared" si="5"/>
        <v>0.13</v>
      </c>
      <c r="I78" s="11" t="s">
        <v>341</v>
      </c>
    </row>
    <row r="79" spans="1:9" x14ac:dyDescent="0.15">
      <c r="C79" s="8">
        <f>1.1-0.075*2</f>
        <v>0.95000000000000007</v>
      </c>
      <c r="D79" s="9">
        <v>2</v>
      </c>
      <c r="E79" s="8">
        <f>0.194*2+0.15*4</f>
        <v>0.98799999999999999</v>
      </c>
      <c r="F79" s="13">
        <f t="shared" si="4"/>
        <v>1.88</v>
      </c>
      <c r="G79" s="21">
        <v>29.48</v>
      </c>
      <c r="H79" s="13">
        <f t="shared" si="5"/>
        <v>0.06</v>
      </c>
      <c r="I79" s="11" t="s">
        <v>341</v>
      </c>
    </row>
    <row r="80" spans="1:9" x14ac:dyDescent="0.15">
      <c r="C80" s="8">
        <v>1.1000000000000001</v>
      </c>
      <c r="D80" s="9">
        <v>2</v>
      </c>
      <c r="E80" s="8">
        <f>0.194*2+0.15*4</f>
        <v>0.98799999999999999</v>
      </c>
      <c r="F80" s="13">
        <f t="shared" si="4"/>
        <v>2.17</v>
      </c>
      <c r="G80" s="21">
        <v>29.48</v>
      </c>
      <c r="H80" s="13">
        <f t="shared" si="5"/>
        <v>0.06</v>
      </c>
      <c r="I80" s="11" t="s">
        <v>341</v>
      </c>
    </row>
    <row r="81" spans="1:9" x14ac:dyDescent="0.15">
      <c r="A81" s="7" t="s">
        <v>281</v>
      </c>
      <c r="F81" s="13">
        <f t="shared" si="4"/>
        <v>0</v>
      </c>
      <c r="H81" s="13">
        <f t="shared" si="5"/>
        <v>0</v>
      </c>
    </row>
    <row r="82" spans="1:9" x14ac:dyDescent="0.15">
      <c r="A82" s="7" t="s">
        <v>188</v>
      </c>
      <c r="B82" s="7" t="s">
        <v>276</v>
      </c>
      <c r="C82" s="8">
        <f>8.5-6.5</f>
        <v>2</v>
      </c>
      <c r="D82" s="9">
        <v>4</v>
      </c>
      <c r="E82" s="8">
        <f>0.15*2+0.15*4</f>
        <v>0.89999999999999991</v>
      </c>
      <c r="F82" s="13">
        <f t="shared" si="4"/>
        <v>7.2</v>
      </c>
      <c r="G82" s="21">
        <v>30.69</v>
      </c>
      <c r="H82" s="13">
        <f t="shared" si="5"/>
        <v>0.25</v>
      </c>
      <c r="I82" s="11" t="s">
        <v>342</v>
      </c>
    </row>
    <row r="83" spans="1:9" x14ac:dyDescent="0.15">
      <c r="A83" s="7" t="s">
        <v>196</v>
      </c>
      <c r="B83" s="7" t="s">
        <v>282</v>
      </c>
      <c r="C83" s="8">
        <v>0.4</v>
      </c>
      <c r="D83" s="9">
        <f>1*4</f>
        <v>4</v>
      </c>
      <c r="E83" s="8">
        <v>0.3</v>
      </c>
      <c r="F83" s="13">
        <f t="shared" si="4"/>
        <v>0.48</v>
      </c>
      <c r="G83" s="21">
        <f>0.3*0.016*7850</f>
        <v>37.68</v>
      </c>
      <c r="H83" s="13">
        <f t="shared" si="5"/>
        <v>0.06</v>
      </c>
      <c r="I83" s="11" t="s">
        <v>342</v>
      </c>
    </row>
    <row r="84" spans="1:9" x14ac:dyDescent="0.15">
      <c r="B84" s="7" t="s">
        <v>283</v>
      </c>
      <c r="C84" s="8">
        <v>0.12</v>
      </c>
      <c r="D84" s="9">
        <f>2*4</f>
        <v>8</v>
      </c>
      <c r="E84" s="8">
        <f>0.2*2</f>
        <v>0.4</v>
      </c>
      <c r="F84" s="13">
        <f t="shared" si="4"/>
        <v>0.38</v>
      </c>
      <c r="G84" s="21">
        <f>0.2*0.014*7850</f>
        <v>21.980000000000004</v>
      </c>
      <c r="H84" s="13">
        <f t="shared" si="5"/>
        <v>0.02</v>
      </c>
      <c r="I84" s="11" t="s">
        <v>342</v>
      </c>
    </row>
    <row r="85" spans="1:9" x14ac:dyDescent="0.15">
      <c r="B85" s="7" t="s">
        <v>279</v>
      </c>
      <c r="C85" s="8">
        <v>0.105</v>
      </c>
      <c r="D85" s="9">
        <f>4*4</f>
        <v>16</v>
      </c>
      <c r="E85" s="8">
        <f>0.2*2</f>
        <v>0.4</v>
      </c>
      <c r="F85" s="13">
        <f t="shared" si="4"/>
        <v>0.67</v>
      </c>
      <c r="G85" s="21">
        <f>0.2*0.014*7850</f>
        <v>21.980000000000004</v>
      </c>
      <c r="H85" s="13">
        <f t="shared" si="5"/>
        <v>0.04</v>
      </c>
      <c r="I85" s="11" t="s">
        <v>342</v>
      </c>
    </row>
    <row r="86" spans="1:9" x14ac:dyDescent="0.15">
      <c r="A86" s="7" t="s">
        <v>287</v>
      </c>
      <c r="B86" s="7" t="s">
        <v>288</v>
      </c>
      <c r="C86" s="8">
        <f>8.8-6.5</f>
        <v>2.3000000000000007</v>
      </c>
      <c r="D86" s="9">
        <v>5</v>
      </c>
      <c r="E86" s="8">
        <f>0.25*2+0.25*4</f>
        <v>1.5</v>
      </c>
      <c r="F86" s="13">
        <f t="shared" si="4"/>
        <v>17.25</v>
      </c>
      <c r="G86" s="21">
        <v>70.63</v>
      </c>
      <c r="H86" s="13">
        <f t="shared" si="5"/>
        <v>0.81</v>
      </c>
      <c r="I86" s="11" t="s">
        <v>342</v>
      </c>
    </row>
    <row r="87" spans="1:9" x14ac:dyDescent="0.15">
      <c r="A87" s="7" t="s">
        <v>289</v>
      </c>
      <c r="B87" s="7" t="s">
        <v>290</v>
      </c>
      <c r="C87" s="8">
        <v>0.5</v>
      </c>
      <c r="D87" s="9">
        <f>1*5</f>
        <v>5</v>
      </c>
      <c r="E87" s="8">
        <v>0.5</v>
      </c>
      <c r="F87" s="13">
        <f t="shared" si="4"/>
        <v>1.25</v>
      </c>
      <c r="G87" s="21">
        <f>0.5*0.02*7850</f>
        <v>78.5</v>
      </c>
      <c r="H87" s="13">
        <f t="shared" si="5"/>
        <v>0.2</v>
      </c>
      <c r="I87" s="11" t="s">
        <v>342</v>
      </c>
    </row>
    <row r="88" spans="1:9" x14ac:dyDescent="0.15">
      <c r="B88" s="7" t="s">
        <v>291</v>
      </c>
      <c r="C88" s="8">
        <v>0.45</v>
      </c>
      <c r="D88" s="9">
        <f>2*5</f>
        <v>10</v>
      </c>
      <c r="E88" s="8">
        <f>0.3*2</f>
        <v>0.6</v>
      </c>
      <c r="F88" s="13">
        <f t="shared" si="4"/>
        <v>2.7</v>
      </c>
      <c r="G88" s="21">
        <f>0.3*0.012*7850</f>
        <v>28.259999999999998</v>
      </c>
      <c r="H88" s="13">
        <f t="shared" si="5"/>
        <v>0.13</v>
      </c>
      <c r="I88" s="11" t="s">
        <v>342</v>
      </c>
    </row>
    <row r="89" spans="1:9" x14ac:dyDescent="0.15">
      <c r="B89" s="7" t="s">
        <v>292</v>
      </c>
      <c r="C89" s="8">
        <v>0.1</v>
      </c>
      <c r="D89" s="9">
        <f>4*5</f>
        <v>20</v>
      </c>
      <c r="E89" s="8">
        <f>0.3*2</f>
        <v>0.6</v>
      </c>
      <c r="F89" s="13">
        <f t="shared" si="4"/>
        <v>1.2</v>
      </c>
      <c r="G89" s="21">
        <f>0.3*0.012*7850</f>
        <v>28.259999999999998</v>
      </c>
      <c r="H89" s="13">
        <f t="shared" si="5"/>
        <v>0.06</v>
      </c>
      <c r="I89" s="11" t="s">
        <v>342</v>
      </c>
    </row>
    <row r="90" spans="1:9" x14ac:dyDescent="0.15">
      <c r="A90" s="7" t="s">
        <v>329</v>
      </c>
      <c r="F90" s="13">
        <f t="shared" si="4"/>
        <v>0</v>
      </c>
      <c r="H90" s="13">
        <f t="shared" si="5"/>
        <v>0</v>
      </c>
    </row>
    <row r="91" spans="1:9" x14ac:dyDescent="0.15">
      <c r="A91" s="7" t="s">
        <v>317</v>
      </c>
      <c r="B91" s="7" t="s">
        <v>284</v>
      </c>
      <c r="C91" s="8">
        <v>2.5499999999999998</v>
      </c>
      <c r="D91" s="9">
        <v>1</v>
      </c>
      <c r="E91" s="8">
        <v>4.6500000000000004</v>
      </c>
      <c r="F91" s="13">
        <f t="shared" si="4"/>
        <v>11.86</v>
      </c>
      <c r="G91" s="21">
        <f>4.65*0.006*7850</f>
        <v>219.01500000000001</v>
      </c>
      <c r="H91" s="13">
        <f t="shared" si="5"/>
        <v>0.56000000000000005</v>
      </c>
      <c r="I91" s="11" t="s">
        <v>317</v>
      </c>
    </row>
    <row r="92" spans="1:9" x14ac:dyDescent="0.15">
      <c r="B92" s="7" t="s">
        <v>285</v>
      </c>
      <c r="C92" s="8">
        <v>2.5499999999999998</v>
      </c>
      <c r="D92" s="9">
        <v>2</v>
      </c>
      <c r="E92" s="8">
        <v>5.65</v>
      </c>
      <c r="F92" s="13">
        <f t="shared" si="4"/>
        <v>28.82</v>
      </c>
      <c r="G92" s="21">
        <f>5.65*0.006*7850</f>
        <v>266.11500000000001</v>
      </c>
      <c r="H92" s="13">
        <f t="shared" si="5"/>
        <v>1.36</v>
      </c>
      <c r="I92" s="11" t="s">
        <v>317</v>
      </c>
    </row>
    <row r="93" spans="1:9" x14ac:dyDescent="0.15">
      <c r="A93" s="7" t="s">
        <v>326</v>
      </c>
      <c r="B93" s="7" t="s">
        <v>327</v>
      </c>
      <c r="C93" s="8">
        <v>4.6500000000000004</v>
      </c>
      <c r="D93" s="9">
        <v>2</v>
      </c>
      <c r="E93" s="8">
        <v>0.4</v>
      </c>
      <c r="F93" s="13">
        <f t="shared" si="4"/>
        <v>3.72</v>
      </c>
      <c r="G93" s="21">
        <f>0.4*0.018*7850</f>
        <v>56.519999999999996</v>
      </c>
      <c r="H93" s="13">
        <f t="shared" si="5"/>
        <v>0.53</v>
      </c>
      <c r="I93" s="11" t="s">
        <v>317</v>
      </c>
    </row>
    <row r="94" spans="1:9" x14ac:dyDescent="0.15">
      <c r="C94" s="8">
        <v>5.65</v>
      </c>
      <c r="D94" s="9">
        <v>4</v>
      </c>
      <c r="E94" s="8">
        <v>0.4</v>
      </c>
      <c r="F94" s="13">
        <f t="shared" si="4"/>
        <v>9.0399999999999991</v>
      </c>
      <c r="G94" s="21">
        <f>0.4*0.018*7850</f>
        <v>56.519999999999996</v>
      </c>
      <c r="H94" s="13">
        <f t="shared" si="5"/>
        <v>1.28</v>
      </c>
      <c r="I94" s="11" t="s">
        <v>317</v>
      </c>
    </row>
    <row r="95" spans="1:9" x14ac:dyDescent="0.15">
      <c r="A95" s="7" t="s">
        <v>229</v>
      </c>
      <c r="B95" s="7" t="s">
        <v>286</v>
      </c>
      <c r="C95" s="8">
        <v>2.5499999999999998</v>
      </c>
      <c r="D95" s="9">
        <f>ROUNDUP(4.65/1.5,0)-1</f>
        <v>3</v>
      </c>
      <c r="E95" s="8">
        <f>0.148*2+0.1*2</f>
        <v>0.496</v>
      </c>
      <c r="F95" s="13">
        <f t="shared" si="4"/>
        <v>3.79</v>
      </c>
      <c r="G95" s="21">
        <v>20.25</v>
      </c>
      <c r="H95" s="13">
        <f t="shared" si="5"/>
        <v>0.15</v>
      </c>
      <c r="I95" s="11" t="s">
        <v>317</v>
      </c>
    </row>
    <row r="96" spans="1:9" x14ac:dyDescent="0.15">
      <c r="C96" s="8">
        <v>2.5499999999999998</v>
      </c>
      <c r="D96" s="9">
        <f>ROUNDUP(5.65/1.5,0)-1</f>
        <v>3</v>
      </c>
      <c r="E96" s="8">
        <f>0.148*2+0.1*2</f>
        <v>0.496</v>
      </c>
      <c r="F96" s="13">
        <f t="shared" si="4"/>
        <v>3.79</v>
      </c>
      <c r="G96" s="21">
        <v>20.25</v>
      </c>
      <c r="H96" s="13">
        <f t="shared" si="5"/>
        <v>0.15</v>
      </c>
      <c r="I96" s="11" t="s">
        <v>317</v>
      </c>
    </row>
    <row r="97" spans="1:9" x14ac:dyDescent="0.15">
      <c r="C97" s="8">
        <v>2.5499999999999998</v>
      </c>
      <c r="D97" s="9">
        <f>ROUNDUP(5.65/1.5,0)-1</f>
        <v>3</v>
      </c>
      <c r="E97" s="8">
        <f>0.148*2+0.1*2</f>
        <v>0.496</v>
      </c>
      <c r="F97" s="13">
        <f t="shared" si="4"/>
        <v>3.79</v>
      </c>
      <c r="G97" s="21">
        <v>20.25</v>
      </c>
      <c r="H97" s="13">
        <f t="shared" si="5"/>
        <v>0.15</v>
      </c>
      <c r="I97" s="11" t="s">
        <v>317</v>
      </c>
    </row>
    <row r="98" spans="1:9" x14ac:dyDescent="0.15">
      <c r="B98" s="7" t="s">
        <v>312</v>
      </c>
      <c r="C98" s="8">
        <v>2.5499999999999998</v>
      </c>
      <c r="D98" s="9">
        <f>ROUNDUP(4.65/0.5,0)-1-D95</f>
        <v>6</v>
      </c>
      <c r="E98" s="8">
        <f>0.063*4</f>
        <v>0.252</v>
      </c>
      <c r="F98" s="13">
        <f t="shared" si="4"/>
        <v>3.86</v>
      </c>
      <c r="G98" s="21">
        <v>4.82</v>
      </c>
      <c r="H98" s="13">
        <f t="shared" si="5"/>
        <v>7.0000000000000007E-2</v>
      </c>
      <c r="I98" s="11" t="s">
        <v>317</v>
      </c>
    </row>
    <row r="99" spans="1:9" x14ac:dyDescent="0.15">
      <c r="C99" s="8">
        <v>2.5499999999999998</v>
      </c>
      <c r="D99" s="9">
        <f>ROUNDUP(5.65/0.5,0)-1-D96</f>
        <v>8</v>
      </c>
      <c r="E99" s="8">
        <f>0.063*4</f>
        <v>0.252</v>
      </c>
      <c r="F99" s="13">
        <f t="shared" si="4"/>
        <v>5.14</v>
      </c>
      <c r="G99" s="21">
        <v>4.82</v>
      </c>
      <c r="H99" s="13">
        <f t="shared" si="5"/>
        <v>0.1</v>
      </c>
      <c r="I99" s="11" t="s">
        <v>317</v>
      </c>
    </row>
    <row r="100" spans="1:9" x14ac:dyDescent="0.15">
      <c r="C100" s="8">
        <v>2.5499999999999998</v>
      </c>
      <c r="D100" s="9">
        <f>ROUNDUP(5.65/0.5,0)-1-D97</f>
        <v>8</v>
      </c>
      <c r="E100" s="8">
        <f>0.063*4</f>
        <v>0.252</v>
      </c>
      <c r="F100" s="13">
        <f t="shared" si="4"/>
        <v>5.14</v>
      </c>
      <c r="G100" s="21">
        <v>4.82</v>
      </c>
      <c r="H100" s="13">
        <f t="shared" si="5"/>
        <v>0.1</v>
      </c>
      <c r="I100" s="11" t="s">
        <v>317</v>
      </c>
    </row>
    <row r="101" spans="1:9" x14ac:dyDescent="0.15">
      <c r="A101" s="7" t="s">
        <v>293</v>
      </c>
      <c r="F101" s="13">
        <f t="shared" si="4"/>
        <v>0</v>
      </c>
      <c r="H101" s="13">
        <f t="shared" si="5"/>
        <v>0</v>
      </c>
    </row>
    <row r="102" spans="1:9" x14ac:dyDescent="0.15">
      <c r="A102" s="7" t="s">
        <v>190</v>
      </c>
      <c r="B102" s="7" t="s">
        <v>220</v>
      </c>
      <c r="C102" s="8">
        <v>0.8</v>
      </c>
      <c r="D102" s="9">
        <v>2</v>
      </c>
      <c r="E102" s="8">
        <f>0.148*2+0.1*4</f>
        <v>0.69599999999999995</v>
      </c>
      <c r="F102" s="13">
        <f t="shared" si="4"/>
        <v>1.1100000000000001</v>
      </c>
      <c r="G102" s="21">
        <v>20.25</v>
      </c>
      <c r="H102" s="13">
        <f t="shared" si="5"/>
        <v>0.03</v>
      </c>
      <c r="I102" s="11" t="s">
        <v>341</v>
      </c>
    </row>
    <row r="103" spans="1:9" x14ac:dyDescent="0.15">
      <c r="C103" s="8">
        <f>0.8-0.075*2</f>
        <v>0.65</v>
      </c>
      <c r="D103" s="9">
        <v>2</v>
      </c>
      <c r="E103" s="8">
        <f>0.148*2+0.1*4</f>
        <v>0.69599999999999995</v>
      </c>
      <c r="F103" s="13">
        <f t="shared" si="4"/>
        <v>0.9</v>
      </c>
      <c r="G103" s="21">
        <v>20.25</v>
      </c>
      <c r="H103" s="13">
        <f t="shared" si="5"/>
        <v>0.03</v>
      </c>
      <c r="I103" s="11" t="s">
        <v>341</v>
      </c>
    </row>
    <row r="104" spans="1:9" x14ac:dyDescent="0.15">
      <c r="C104" s="8">
        <v>0.55000000000000004</v>
      </c>
      <c r="D104" s="9">
        <v>2</v>
      </c>
      <c r="E104" s="8">
        <f>0.148*2+0.1*4</f>
        <v>0.69599999999999995</v>
      </c>
      <c r="F104" s="13">
        <f t="shared" si="4"/>
        <v>0.77</v>
      </c>
      <c r="G104" s="21">
        <v>20.25</v>
      </c>
      <c r="H104" s="13">
        <f t="shared" si="5"/>
        <v>0.02</v>
      </c>
      <c r="I104" s="11" t="s">
        <v>341</v>
      </c>
    </row>
    <row r="105" spans="1:9" x14ac:dyDescent="0.15">
      <c r="A105" s="7" t="s">
        <v>294</v>
      </c>
      <c r="F105" s="13">
        <f t="shared" si="4"/>
        <v>0</v>
      </c>
      <c r="H105" s="13">
        <f t="shared" si="5"/>
        <v>0</v>
      </c>
    </row>
    <row r="106" spans="1:9" x14ac:dyDescent="0.15">
      <c r="A106" s="7" t="s">
        <v>295</v>
      </c>
      <c r="B106" s="7" t="s">
        <v>297</v>
      </c>
      <c r="C106" s="8">
        <f>10-8</f>
        <v>2</v>
      </c>
      <c r="D106" s="9">
        <v>2</v>
      </c>
      <c r="E106" s="8">
        <f>0.25*2+0.25*4</f>
        <v>1.5</v>
      </c>
      <c r="F106" s="13">
        <f t="shared" si="4"/>
        <v>6</v>
      </c>
      <c r="G106" s="21">
        <v>70.63</v>
      </c>
      <c r="H106" s="13">
        <f t="shared" si="5"/>
        <v>0.28000000000000003</v>
      </c>
      <c r="I106" s="11" t="s">
        <v>342</v>
      </c>
    </row>
    <row r="107" spans="1:9" x14ac:dyDescent="0.15">
      <c r="A107" s="7" t="s">
        <v>298</v>
      </c>
      <c r="B107" s="7" t="s">
        <v>300</v>
      </c>
      <c r="C107" s="8">
        <v>0.5</v>
      </c>
      <c r="D107" s="9">
        <f>1*2</f>
        <v>2</v>
      </c>
      <c r="E107" s="8">
        <v>0.5</v>
      </c>
      <c r="F107" s="13">
        <f t="shared" si="4"/>
        <v>0.5</v>
      </c>
      <c r="G107" s="21">
        <f>0.5*0.02*7850</f>
        <v>78.5</v>
      </c>
      <c r="H107" s="13">
        <f t="shared" si="5"/>
        <v>0.08</v>
      </c>
      <c r="I107" s="11" t="s">
        <v>342</v>
      </c>
    </row>
    <row r="108" spans="1:9" x14ac:dyDescent="0.15">
      <c r="B108" s="7" t="s">
        <v>301</v>
      </c>
      <c r="C108" s="8">
        <v>0.22</v>
      </c>
      <c r="D108" s="9">
        <f>2*2</f>
        <v>4</v>
      </c>
      <c r="E108" s="8">
        <f>0.25*2</f>
        <v>0.5</v>
      </c>
      <c r="F108" s="13">
        <f t="shared" si="4"/>
        <v>0.44</v>
      </c>
      <c r="G108" s="21">
        <f>0.25*0.014*7850</f>
        <v>27.475000000000001</v>
      </c>
      <c r="H108" s="13">
        <f t="shared" si="5"/>
        <v>0.02</v>
      </c>
      <c r="I108" s="11" t="s">
        <v>342</v>
      </c>
    </row>
    <row r="109" spans="1:9" x14ac:dyDescent="0.15">
      <c r="B109" s="7" t="s">
        <v>302</v>
      </c>
      <c r="C109" s="8">
        <v>0.105</v>
      </c>
      <c r="D109" s="9">
        <f>4*2</f>
        <v>8</v>
      </c>
      <c r="E109" s="8">
        <f>0.25*2</f>
        <v>0.5</v>
      </c>
      <c r="F109" s="13">
        <f t="shared" si="4"/>
        <v>0.42</v>
      </c>
      <c r="G109" s="21">
        <f>0.25*0.014*7850</f>
        <v>27.475000000000001</v>
      </c>
      <c r="H109" s="13">
        <f t="shared" si="5"/>
        <v>0.02</v>
      </c>
      <c r="I109" s="11" t="s">
        <v>342</v>
      </c>
    </row>
    <row r="110" spans="1:9" x14ac:dyDescent="0.15">
      <c r="A110" s="7" t="s">
        <v>303</v>
      </c>
      <c r="B110" s="7" t="s">
        <v>296</v>
      </c>
      <c r="C110" s="8">
        <f>10-8</f>
        <v>2</v>
      </c>
      <c r="D110" s="9">
        <v>2</v>
      </c>
      <c r="E110" s="8">
        <f>0.25*2+0.25*4</f>
        <v>1.5</v>
      </c>
      <c r="F110" s="13">
        <f t="shared" si="4"/>
        <v>6</v>
      </c>
      <c r="G110" s="21">
        <v>70.63</v>
      </c>
      <c r="H110" s="13">
        <f t="shared" si="5"/>
        <v>0.28000000000000003</v>
      </c>
      <c r="I110" s="11" t="s">
        <v>342</v>
      </c>
    </row>
    <row r="111" spans="1:9" x14ac:dyDescent="0.15">
      <c r="A111" s="7" t="s">
        <v>195</v>
      </c>
      <c r="B111" s="7" t="s">
        <v>299</v>
      </c>
      <c r="C111" s="8">
        <v>0.5</v>
      </c>
      <c r="D111" s="9">
        <f>1*2</f>
        <v>2</v>
      </c>
      <c r="E111" s="8">
        <v>0.5</v>
      </c>
      <c r="F111" s="13">
        <f t="shared" si="4"/>
        <v>0.5</v>
      </c>
      <c r="G111" s="21">
        <f>0.5*0.02*7850</f>
        <v>78.5</v>
      </c>
      <c r="H111" s="13">
        <f t="shared" si="5"/>
        <v>0.08</v>
      </c>
      <c r="I111" s="11" t="s">
        <v>342</v>
      </c>
    </row>
    <row r="112" spans="1:9" x14ac:dyDescent="0.15">
      <c r="B112" s="7" t="s">
        <v>304</v>
      </c>
      <c r="C112" s="8">
        <v>0.45</v>
      </c>
      <c r="D112" s="9">
        <f>2*2</f>
        <v>4</v>
      </c>
      <c r="E112" s="8">
        <f>0.3*2</f>
        <v>0.6</v>
      </c>
      <c r="F112" s="13">
        <f t="shared" si="4"/>
        <v>1.08</v>
      </c>
      <c r="G112" s="21">
        <f>0.3*0.012*7850</f>
        <v>28.259999999999998</v>
      </c>
      <c r="H112" s="13">
        <f t="shared" si="5"/>
        <v>0.05</v>
      </c>
      <c r="I112" s="11" t="s">
        <v>342</v>
      </c>
    </row>
    <row r="113" spans="1:9" x14ac:dyDescent="0.15">
      <c r="B113" s="7" t="s">
        <v>305</v>
      </c>
      <c r="C113" s="8">
        <v>0.1</v>
      </c>
      <c r="D113" s="9">
        <f>4*2</f>
        <v>8</v>
      </c>
      <c r="E113" s="8">
        <f>0.3*2</f>
        <v>0.6</v>
      </c>
      <c r="F113" s="13">
        <f t="shared" si="4"/>
        <v>0.48</v>
      </c>
      <c r="G113" s="21">
        <f>0.3*0.012*7850</f>
        <v>28.259999999999998</v>
      </c>
      <c r="H113" s="13">
        <f t="shared" si="5"/>
        <v>0.02</v>
      </c>
      <c r="I113" s="11" t="s">
        <v>342</v>
      </c>
    </row>
    <row r="114" spans="1:9" x14ac:dyDescent="0.15">
      <c r="A114" s="7" t="s">
        <v>306</v>
      </c>
      <c r="F114" s="13">
        <f t="shared" si="4"/>
        <v>0</v>
      </c>
      <c r="H114" s="13">
        <f t="shared" si="5"/>
        <v>0</v>
      </c>
    </row>
    <row r="115" spans="1:9" x14ac:dyDescent="0.15">
      <c r="A115" s="7" t="s">
        <v>189</v>
      </c>
      <c r="B115" s="7" t="s">
        <v>307</v>
      </c>
      <c r="C115" s="8">
        <v>1.45</v>
      </c>
      <c r="D115" s="9">
        <v>1</v>
      </c>
      <c r="E115" s="8">
        <f t="shared" ref="E115:E122" si="6">0.148*2+0.1*4</f>
        <v>0.69599999999999995</v>
      </c>
      <c r="F115" s="13">
        <f t="shared" si="4"/>
        <v>1.01</v>
      </c>
      <c r="G115" s="21">
        <v>20.25</v>
      </c>
      <c r="H115" s="13">
        <f t="shared" si="5"/>
        <v>0.03</v>
      </c>
      <c r="I115" s="11" t="s">
        <v>341</v>
      </c>
    </row>
    <row r="116" spans="1:9" x14ac:dyDescent="0.15">
      <c r="C116" s="8">
        <v>1.94</v>
      </c>
      <c r="D116" s="9">
        <v>3</v>
      </c>
      <c r="E116" s="8">
        <f t="shared" si="6"/>
        <v>0.69599999999999995</v>
      </c>
      <c r="F116" s="13">
        <f t="shared" si="4"/>
        <v>4.05</v>
      </c>
      <c r="G116" s="21">
        <v>20.25</v>
      </c>
      <c r="H116" s="13">
        <f t="shared" si="5"/>
        <v>0.12</v>
      </c>
      <c r="I116" s="11" t="s">
        <v>341</v>
      </c>
    </row>
    <row r="117" spans="1:9" x14ac:dyDescent="0.15">
      <c r="C117" s="8">
        <v>2.71</v>
      </c>
      <c r="D117" s="9">
        <v>5</v>
      </c>
      <c r="E117" s="8">
        <f t="shared" si="6"/>
        <v>0.69599999999999995</v>
      </c>
      <c r="F117" s="13">
        <f t="shared" si="4"/>
        <v>9.43</v>
      </c>
      <c r="G117" s="21">
        <v>20.25</v>
      </c>
      <c r="H117" s="13">
        <f t="shared" si="5"/>
        <v>0.27</v>
      </c>
      <c r="I117" s="11" t="s">
        <v>341</v>
      </c>
    </row>
    <row r="118" spans="1:9" x14ac:dyDescent="0.15">
      <c r="C118" s="8">
        <v>1.85</v>
      </c>
      <c r="D118" s="9">
        <v>5</v>
      </c>
      <c r="E118" s="8">
        <f t="shared" si="6"/>
        <v>0.69599999999999995</v>
      </c>
      <c r="F118" s="13">
        <f t="shared" si="4"/>
        <v>6.44</v>
      </c>
      <c r="G118" s="21">
        <v>20.25</v>
      </c>
      <c r="H118" s="13">
        <f t="shared" si="5"/>
        <v>0.19</v>
      </c>
      <c r="I118" s="11" t="s">
        <v>341</v>
      </c>
    </row>
    <row r="119" spans="1:9" x14ac:dyDescent="0.15">
      <c r="C119" s="8">
        <f>1.175*2</f>
        <v>2.35</v>
      </c>
      <c r="D119" s="9">
        <v>3</v>
      </c>
      <c r="E119" s="8">
        <f t="shared" si="6"/>
        <v>0.69599999999999995</v>
      </c>
      <c r="F119" s="13">
        <f t="shared" si="4"/>
        <v>4.91</v>
      </c>
      <c r="G119" s="21">
        <v>20.25</v>
      </c>
      <c r="H119" s="13">
        <f t="shared" si="5"/>
        <v>0.14000000000000001</v>
      </c>
      <c r="I119" s="11" t="s">
        <v>341</v>
      </c>
    </row>
    <row r="120" spans="1:9" x14ac:dyDescent="0.15">
      <c r="C120" s="8">
        <v>1.9750000000000001</v>
      </c>
      <c r="D120" s="9">
        <v>3</v>
      </c>
      <c r="E120" s="8">
        <f t="shared" si="6"/>
        <v>0.69599999999999995</v>
      </c>
      <c r="F120" s="13">
        <f t="shared" si="4"/>
        <v>4.12</v>
      </c>
      <c r="G120" s="21">
        <v>20.25</v>
      </c>
      <c r="H120" s="13">
        <f t="shared" si="5"/>
        <v>0.12</v>
      </c>
      <c r="I120" s="11" t="s">
        <v>341</v>
      </c>
    </row>
    <row r="121" spans="1:9" x14ac:dyDescent="0.15">
      <c r="C121" s="8">
        <v>1.675</v>
      </c>
      <c r="D121" s="9">
        <v>1</v>
      </c>
      <c r="E121" s="8">
        <f t="shared" si="6"/>
        <v>0.69599999999999995</v>
      </c>
      <c r="F121" s="13">
        <f t="shared" si="4"/>
        <v>1.17</v>
      </c>
      <c r="G121" s="21">
        <v>20.25</v>
      </c>
      <c r="H121" s="13">
        <f t="shared" si="5"/>
        <v>0.03</v>
      </c>
      <c r="I121" s="11" t="s">
        <v>341</v>
      </c>
    </row>
    <row r="122" spans="1:9" x14ac:dyDescent="0.15">
      <c r="C122" s="8">
        <v>3.4</v>
      </c>
      <c r="D122" s="9">
        <v>1</v>
      </c>
      <c r="E122" s="8">
        <f t="shared" si="6"/>
        <v>0.69599999999999995</v>
      </c>
      <c r="F122" s="13">
        <f t="shared" si="4"/>
        <v>2.37</v>
      </c>
      <c r="G122" s="21">
        <v>20.25</v>
      </c>
      <c r="H122" s="13">
        <f t="shared" si="5"/>
        <v>7.0000000000000007E-2</v>
      </c>
      <c r="I122" s="11" t="s">
        <v>341</v>
      </c>
    </row>
    <row r="123" spans="1:9" x14ac:dyDescent="0.15">
      <c r="A123" s="7" t="s">
        <v>199</v>
      </c>
      <c r="B123" s="7" t="s">
        <v>193</v>
      </c>
      <c r="C123" s="8">
        <v>1.94</v>
      </c>
      <c r="D123" s="9">
        <v>4</v>
      </c>
      <c r="E123" s="8">
        <f>0.194*2+0.15*4</f>
        <v>0.98799999999999999</v>
      </c>
      <c r="F123" s="13">
        <f t="shared" si="4"/>
        <v>7.67</v>
      </c>
      <c r="G123" s="21">
        <v>29.48</v>
      </c>
      <c r="H123" s="13">
        <f t="shared" si="5"/>
        <v>0.23</v>
      </c>
      <c r="I123" s="11" t="s">
        <v>341</v>
      </c>
    </row>
    <row r="124" spans="1:9" x14ac:dyDescent="0.15">
      <c r="C124" s="8">
        <v>2.71</v>
      </c>
      <c r="D124" s="9">
        <v>1</v>
      </c>
      <c r="E124" s="8">
        <f>0.194*2+0.15*4</f>
        <v>0.98799999999999999</v>
      </c>
      <c r="F124" s="13">
        <f t="shared" si="4"/>
        <v>2.68</v>
      </c>
      <c r="G124" s="21">
        <v>29.48</v>
      </c>
      <c r="H124" s="13">
        <f t="shared" si="5"/>
        <v>0.08</v>
      </c>
      <c r="I124" s="11" t="s">
        <v>341</v>
      </c>
    </row>
    <row r="125" spans="1:9" x14ac:dyDescent="0.15">
      <c r="C125" s="8">
        <v>1.85</v>
      </c>
      <c r="D125" s="9">
        <v>1</v>
      </c>
      <c r="E125" s="8">
        <f>0.194*2+0.15*4</f>
        <v>0.98799999999999999</v>
      </c>
      <c r="F125" s="13">
        <f t="shared" si="4"/>
        <v>1.83</v>
      </c>
      <c r="G125" s="21">
        <v>29.48</v>
      </c>
      <c r="H125" s="13">
        <f t="shared" si="5"/>
        <v>0.05</v>
      </c>
      <c r="I125" s="11" t="s">
        <v>341</v>
      </c>
    </row>
    <row r="126" spans="1:9" x14ac:dyDescent="0.15">
      <c r="C126" s="8">
        <v>2.9</v>
      </c>
      <c r="D126" s="9">
        <v>6</v>
      </c>
      <c r="E126" s="8">
        <f>0.194*2+0.15*4</f>
        <v>0.98799999999999999</v>
      </c>
      <c r="F126" s="13">
        <f t="shared" si="4"/>
        <v>17.190000000000001</v>
      </c>
      <c r="G126" s="21">
        <v>29.48</v>
      </c>
      <c r="H126" s="13">
        <f t="shared" si="5"/>
        <v>0.51</v>
      </c>
      <c r="I126" s="11" t="s">
        <v>341</v>
      </c>
    </row>
    <row r="127" spans="1:9" x14ac:dyDescent="0.15">
      <c r="C127" s="8">
        <v>1.675</v>
      </c>
      <c r="D127" s="9">
        <v>3</v>
      </c>
      <c r="E127" s="8">
        <f>0.194*2+0.15*4</f>
        <v>0.98799999999999999</v>
      </c>
      <c r="F127" s="13">
        <f t="shared" si="4"/>
        <v>4.96</v>
      </c>
      <c r="G127" s="21">
        <v>29.48</v>
      </c>
      <c r="H127" s="13">
        <f t="shared" si="5"/>
        <v>0.15</v>
      </c>
      <c r="I127" s="11" t="s">
        <v>341</v>
      </c>
    </row>
    <row r="128" spans="1:9" x14ac:dyDescent="0.15">
      <c r="A128" s="7" t="s">
        <v>214</v>
      </c>
      <c r="B128" s="7" t="s">
        <v>309</v>
      </c>
      <c r="C128" s="8">
        <v>1.94</v>
      </c>
      <c r="D128" s="9">
        <v>2</v>
      </c>
      <c r="E128" s="8">
        <f>0.294*2+0.2*4</f>
        <v>1.3879999999999999</v>
      </c>
      <c r="F128" s="13">
        <f t="shared" si="4"/>
        <v>5.39</v>
      </c>
      <c r="G128" s="21">
        <v>54.63</v>
      </c>
      <c r="H128" s="13">
        <f t="shared" si="5"/>
        <v>0.21</v>
      </c>
      <c r="I128" s="11" t="s">
        <v>341</v>
      </c>
    </row>
    <row r="129" spans="1:9" x14ac:dyDescent="0.15">
      <c r="C129" s="8">
        <v>6</v>
      </c>
      <c r="D129" s="9">
        <v>3</v>
      </c>
      <c r="E129" s="8">
        <f>0.294*2+0.2*4</f>
        <v>1.3879999999999999</v>
      </c>
      <c r="F129" s="13">
        <f t="shared" si="4"/>
        <v>24.98</v>
      </c>
      <c r="G129" s="21">
        <v>54.63</v>
      </c>
      <c r="H129" s="13">
        <f t="shared" si="5"/>
        <v>0.98</v>
      </c>
      <c r="I129" s="11" t="s">
        <v>341</v>
      </c>
    </row>
    <row r="130" spans="1:9" x14ac:dyDescent="0.15">
      <c r="A130" s="7" t="s">
        <v>215</v>
      </c>
      <c r="B130" s="7" t="s">
        <v>310</v>
      </c>
      <c r="C130" s="8">
        <v>5.55</v>
      </c>
      <c r="D130" s="9">
        <v>4</v>
      </c>
      <c r="E130" s="8">
        <f>0.34*2+0.25*4</f>
        <v>1.6800000000000002</v>
      </c>
      <c r="F130" s="13">
        <f t="shared" ref="F130:F193" si="7">ROUND(PRODUCT($C130:$E130),2)</f>
        <v>37.299999999999997</v>
      </c>
      <c r="G130" s="21">
        <v>76.989999999999995</v>
      </c>
      <c r="H130" s="13">
        <f t="shared" si="5"/>
        <v>1.71</v>
      </c>
      <c r="I130" s="11" t="s">
        <v>341</v>
      </c>
    </row>
    <row r="131" spans="1:9" x14ac:dyDescent="0.15">
      <c r="C131" s="8">
        <v>5.9749999999999996</v>
      </c>
      <c r="D131" s="9">
        <v>2</v>
      </c>
      <c r="E131" s="8">
        <f>0.34*2+0.25*4</f>
        <v>1.6800000000000002</v>
      </c>
      <c r="F131" s="13">
        <f t="shared" si="7"/>
        <v>20.079999999999998</v>
      </c>
      <c r="G131" s="21">
        <v>76.989999999999995</v>
      </c>
      <c r="H131" s="13">
        <f t="shared" ref="H131:H194" si="8">ROUND(PRODUCT($C131:$D131,$G131)*0.001,2)</f>
        <v>0.92</v>
      </c>
      <c r="I131" s="11" t="s">
        <v>341</v>
      </c>
    </row>
    <row r="132" spans="1:9" x14ac:dyDescent="0.15">
      <c r="A132" s="7" t="s">
        <v>311</v>
      </c>
      <c r="F132" s="13">
        <f t="shared" si="7"/>
        <v>0</v>
      </c>
      <c r="H132" s="13">
        <f t="shared" si="8"/>
        <v>0</v>
      </c>
    </row>
    <row r="133" spans="1:9" x14ac:dyDescent="0.15">
      <c r="A133" s="7" t="s">
        <v>199</v>
      </c>
      <c r="B133" s="7" t="s">
        <v>193</v>
      </c>
      <c r="C133" s="8">
        <v>0.44</v>
      </c>
      <c r="D133" s="9">
        <v>1</v>
      </c>
      <c r="E133" s="8">
        <f>0.194*2+0.15*4</f>
        <v>0.98799999999999999</v>
      </c>
      <c r="F133" s="13">
        <f t="shared" si="7"/>
        <v>0.43</v>
      </c>
      <c r="G133" s="21">
        <v>29.48</v>
      </c>
      <c r="H133" s="13">
        <f t="shared" si="8"/>
        <v>0.01</v>
      </c>
      <c r="I133" s="11" t="s">
        <v>341</v>
      </c>
    </row>
    <row r="134" spans="1:9" x14ac:dyDescent="0.15">
      <c r="C134" s="8">
        <v>0.62</v>
      </c>
      <c r="D134" s="9">
        <v>1</v>
      </c>
      <c r="E134" s="8">
        <f>0.194*2+0.15*4</f>
        <v>0.98799999999999999</v>
      </c>
      <c r="F134" s="13">
        <f t="shared" si="7"/>
        <v>0.61</v>
      </c>
      <c r="G134" s="21">
        <v>29.48</v>
      </c>
      <c r="H134" s="13">
        <f t="shared" si="8"/>
        <v>0.02</v>
      </c>
      <c r="I134" s="11" t="s">
        <v>341</v>
      </c>
    </row>
    <row r="135" spans="1:9" x14ac:dyDescent="0.15">
      <c r="C135" s="8">
        <v>1.84</v>
      </c>
      <c r="D135" s="9">
        <v>3</v>
      </c>
      <c r="E135" s="8">
        <f>0.194*2+0.15*4</f>
        <v>0.98799999999999999</v>
      </c>
      <c r="F135" s="13">
        <f t="shared" si="7"/>
        <v>5.45</v>
      </c>
      <c r="G135" s="21">
        <v>29.48</v>
      </c>
      <c r="H135" s="13">
        <f t="shared" si="8"/>
        <v>0.16</v>
      </c>
      <c r="I135" s="11" t="s">
        <v>341</v>
      </c>
    </row>
    <row r="136" spans="1:9" x14ac:dyDescent="0.15">
      <c r="A136" s="7" t="s">
        <v>213</v>
      </c>
      <c r="B136" s="7" t="s">
        <v>201</v>
      </c>
      <c r="C136" s="8">
        <v>2.5499999999999998</v>
      </c>
      <c r="D136" s="9">
        <v>2</v>
      </c>
      <c r="E136" s="8">
        <f>0.244*2+0.175*4</f>
        <v>1.1879999999999999</v>
      </c>
      <c r="F136" s="13">
        <f t="shared" si="7"/>
        <v>6.06</v>
      </c>
      <c r="G136" s="21">
        <v>42.42</v>
      </c>
      <c r="H136" s="13">
        <f t="shared" si="8"/>
        <v>0.22</v>
      </c>
      <c r="I136" s="11" t="s">
        <v>341</v>
      </c>
    </row>
    <row r="137" spans="1:9" x14ac:dyDescent="0.15">
      <c r="C137" s="8">
        <f>1.84-0.125*2</f>
        <v>1.59</v>
      </c>
      <c r="D137" s="9">
        <v>2</v>
      </c>
      <c r="E137" s="8">
        <f>0.244*2+0.175*4</f>
        <v>1.1879999999999999</v>
      </c>
      <c r="F137" s="13">
        <f t="shared" si="7"/>
        <v>3.78</v>
      </c>
      <c r="G137" s="21">
        <v>42.42</v>
      </c>
      <c r="H137" s="13">
        <f t="shared" si="8"/>
        <v>0.13</v>
      </c>
      <c r="I137" s="11" t="s">
        <v>341</v>
      </c>
    </row>
    <row r="138" spans="1:9" x14ac:dyDescent="0.15">
      <c r="A138" s="7" t="s">
        <v>313</v>
      </c>
      <c r="B138" s="7" t="s">
        <v>314</v>
      </c>
      <c r="C138" s="8">
        <v>1.84</v>
      </c>
      <c r="D138" s="9">
        <v>1</v>
      </c>
      <c r="E138" s="8">
        <v>2.5499999999999998</v>
      </c>
      <c r="F138" s="13">
        <f t="shared" si="7"/>
        <v>4.6900000000000004</v>
      </c>
      <c r="G138" s="21">
        <f>2.55*0.006*7850</f>
        <v>120.10499999999999</v>
      </c>
      <c r="H138" s="13">
        <f t="shared" si="8"/>
        <v>0.22</v>
      </c>
      <c r="I138" s="11" t="s">
        <v>317</v>
      </c>
    </row>
    <row r="139" spans="1:9" x14ac:dyDescent="0.15">
      <c r="A139" s="7" t="s">
        <v>229</v>
      </c>
      <c r="B139" s="7" t="s">
        <v>315</v>
      </c>
      <c r="C139" s="8">
        <v>0.8</v>
      </c>
      <c r="D139" s="9">
        <f>ROUNDUP(1.84/1.5,0)-1</f>
        <v>1</v>
      </c>
      <c r="E139" s="8">
        <f>0.126*2+0.053*2</f>
        <v>0.35799999999999998</v>
      </c>
      <c r="F139" s="13">
        <f t="shared" si="7"/>
        <v>0.28999999999999998</v>
      </c>
      <c r="G139" s="21">
        <v>12.4</v>
      </c>
      <c r="H139" s="13">
        <f t="shared" si="8"/>
        <v>0.01</v>
      </c>
      <c r="I139" s="11" t="s">
        <v>317</v>
      </c>
    </row>
    <row r="140" spans="1:9" x14ac:dyDescent="0.15">
      <c r="C140" s="8">
        <v>0.69</v>
      </c>
      <c r="D140" s="9">
        <f>ROUNDUP(1.84/1.5,0)-1</f>
        <v>1</v>
      </c>
      <c r="E140" s="8">
        <f>0.126*2+0.053*2</f>
        <v>0.35799999999999998</v>
      </c>
      <c r="F140" s="13">
        <f t="shared" si="7"/>
        <v>0.25</v>
      </c>
      <c r="G140" s="21">
        <v>12.4</v>
      </c>
      <c r="H140" s="13">
        <f t="shared" si="8"/>
        <v>0.01</v>
      </c>
      <c r="I140" s="11" t="s">
        <v>317</v>
      </c>
    </row>
    <row r="141" spans="1:9" x14ac:dyDescent="0.15">
      <c r="B141" s="7" t="s">
        <v>312</v>
      </c>
      <c r="C141" s="8">
        <v>0.44</v>
      </c>
      <c r="D141" s="9">
        <f>ROUNDUP(0.89/0.5,0)-1</f>
        <v>1</v>
      </c>
      <c r="E141" s="8">
        <f>0.063*4</f>
        <v>0.252</v>
      </c>
      <c r="F141" s="13">
        <f t="shared" si="7"/>
        <v>0.11</v>
      </c>
      <c r="G141" s="21">
        <v>4.82</v>
      </c>
      <c r="H141" s="13">
        <f t="shared" si="8"/>
        <v>0</v>
      </c>
      <c r="I141" s="11" t="s">
        <v>317</v>
      </c>
    </row>
    <row r="142" spans="1:9" x14ac:dyDescent="0.15">
      <c r="C142" s="8">
        <v>0.8</v>
      </c>
      <c r="D142" s="9">
        <f>ROUNDUP(1.84/0.5,0)-1-D139</f>
        <v>2</v>
      </c>
      <c r="E142" s="8">
        <f>0.063*4</f>
        <v>0.252</v>
      </c>
      <c r="F142" s="13">
        <f t="shared" si="7"/>
        <v>0.4</v>
      </c>
      <c r="G142" s="21">
        <v>4.82</v>
      </c>
      <c r="H142" s="13">
        <f t="shared" si="8"/>
        <v>0.01</v>
      </c>
      <c r="I142" s="11" t="s">
        <v>317</v>
      </c>
    </row>
    <row r="143" spans="1:9" x14ac:dyDescent="0.15">
      <c r="C143" s="8">
        <v>0.62</v>
      </c>
      <c r="D143" s="9">
        <f>ROUNDUP(0.785/0.5,0)-1</f>
        <v>1</v>
      </c>
      <c r="E143" s="8">
        <f>0.063*4</f>
        <v>0.252</v>
      </c>
      <c r="F143" s="13">
        <f t="shared" si="7"/>
        <v>0.16</v>
      </c>
      <c r="G143" s="21">
        <v>4.82</v>
      </c>
      <c r="H143" s="13">
        <f t="shared" si="8"/>
        <v>0</v>
      </c>
      <c r="I143" s="11" t="s">
        <v>317</v>
      </c>
    </row>
    <row r="144" spans="1:9" x14ac:dyDescent="0.15">
      <c r="C144" s="8">
        <v>0.69</v>
      </c>
      <c r="D144" s="9">
        <f>ROUNDUP(1.84/0.5,0)-1-D140</f>
        <v>2</v>
      </c>
      <c r="E144" s="8">
        <f>0.063*4</f>
        <v>0.252</v>
      </c>
      <c r="F144" s="13">
        <f t="shared" si="7"/>
        <v>0.35</v>
      </c>
      <c r="G144" s="21">
        <v>4.82</v>
      </c>
      <c r="H144" s="13">
        <f t="shared" si="8"/>
        <v>0.01</v>
      </c>
      <c r="I144" s="11" t="s">
        <v>317</v>
      </c>
    </row>
    <row r="145" spans="1:9" x14ac:dyDescent="0.15">
      <c r="A145" s="7" t="s">
        <v>316</v>
      </c>
      <c r="F145" s="13">
        <f t="shared" si="7"/>
        <v>0</v>
      </c>
      <c r="H145" s="13">
        <f t="shared" si="8"/>
        <v>0</v>
      </c>
    </row>
    <row r="146" spans="1:9" x14ac:dyDescent="0.15">
      <c r="A146" s="7" t="s">
        <v>189</v>
      </c>
      <c r="B146" s="7" t="s">
        <v>307</v>
      </c>
      <c r="C146" s="8">
        <v>2.65</v>
      </c>
      <c r="D146" s="9">
        <v>12</v>
      </c>
      <c r="E146" s="8">
        <f>0.148*2+0.1*4</f>
        <v>0.69599999999999995</v>
      </c>
      <c r="F146" s="13">
        <f t="shared" si="7"/>
        <v>22.13</v>
      </c>
      <c r="G146" s="21">
        <v>20.25</v>
      </c>
      <c r="H146" s="13">
        <f t="shared" si="8"/>
        <v>0.64</v>
      </c>
      <c r="I146" s="11" t="s">
        <v>341</v>
      </c>
    </row>
    <row r="147" spans="1:9" x14ac:dyDescent="0.15">
      <c r="A147" s="7" t="s">
        <v>199</v>
      </c>
      <c r="B147" s="7" t="s">
        <v>193</v>
      </c>
      <c r="C147" s="8">
        <f>2.65-0.125*2</f>
        <v>2.4</v>
      </c>
      <c r="D147" s="9">
        <v>5</v>
      </c>
      <c r="E147" s="8">
        <f>0.194*2+0.15*4</f>
        <v>0.98799999999999999</v>
      </c>
      <c r="F147" s="13">
        <f t="shared" si="7"/>
        <v>11.86</v>
      </c>
      <c r="G147" s="21">
        <v>29.48</v>
      </c>
      <c r="H147" s="13">
        <f t="shared" si="8"/>
        <v>0.35</v>
      </c>
      <c r="I147" s="11" t="s">
        <v>341</v>
      </c>
    </row>
    <row r="148" spans="1:9" x14ac:dyDescent="0.15">
      <c r="A148" s="7" t="s">
        <v>214</v>
      </c>
      <c r="B148" s="7" t="s">
        <v>309</v>
      </c>
      <c r="C148" s="8">
        <v>5</v>
      </c>
      <c r="D148" s="9">
        <v>2</v>
      </c>
      <c r="E148" s="8">
        <f>0.294*2+0.2*4</f>
        <v>1.3879999999999999</v>
      </c>
      <c r="F148" s="13">
        <f t="shared" si="7"/>
        <v>13.88</v>
      </c>
      <c r="G148" s="21">
        <v>54.63</v>
      </c>
      <c r="H148" s="13">
        <f t="shared" si="8"/>
        <v>0.55000000000000004</v>
      </c>
      <c r="I148" s="11" t="s">
        <v>341</v>
      </c>
    </row>
    <row r="149" spans="1:9" x14ac:dyDescent="0.15">
      <c r="C149" s="8">
        <v>6</v>
      </c>
      <c r="D149" s="9">
        <v>5</v>
      </c>
      <c r="E149" s="8">
        <f>0.294*2+0.2*4</f>
        <v>1.3879999999999999</v>
      </c>
      <c r="F149" s="13">
        <f t="shared" si="7"/>
        <v>41.64</v>
      </c>
      <c r="G149" s="21">
        <v>54.63</v>
      </c>
      <c r="H149" s="13">
        <f t="shared" si="8"/>
        <v>1.64</v>
      </c>
      <c r="I149" s="11" t="s">
        <v>341</v>
      </c>
    </row>
    <row r="150" spans="1:9" x14ac:dyDescent="0.15">
      <c r="C150" s="8">
        <v>5.4</v>
      </c>
      <c r="D150" s="9">
        <v>1</v>
      </c>
      <c r="E150" s="8">
        <f>0.294*2+0.2*4</f>
        <v>1.3879999999999999</v>
      </c>
      <c r="F150" s="13">
        <f t="shared" si="7"/>
        <v>7.5</v>
      </c>
      <c r="G150" s="21">
        <v>54.63</v>
      </c>
      <c r="H150" s="13">
        <f t="shared" si="8"/>
        <v>0.3</v>
      </c>
      <c r="I150" s="11" t="s">
        <v>341</v>
      </c>
    </row>
    <row r="151" spans="1:9" x14ac:dyDescent="0.15">
      <c r="A151" s="7" t="s">
        <v>317</v>
      </c>
      <c r="B151" s="7" t="s">
        <v>319</v>
      </c>
      <c r="C151" s="8">
        <v>2.65</v>
      </c>
      <c r="D151" s="9">
        <v>1</v>
      </c>
      <c r="E151" s="8">
        <v>22.4</v>
      </c>
      <c r="F151" s="13">
        <f t="shared" si="7"/>
        <v>59.36</v>
      </c>
      <c r="G151" s="21">
        <f>22.4*0.006*7850</f>
        <v>1055.04</v>
      </c>
      <c r="H151" s="13">
        <f t="shared" si="8"/>
        <v>2.8</v>
      </c>
      <c r="I151" s="11" t="s">
        <v>317</v>
      </c>
    </row>
    <row r="152" spans="1:9" x14ac:dyDescent="0.15">
      <c r="A152" s="7" t="s">
        <v>229</v>
      </c>
      <c r="B152" s="7" t="s">
        <v>318</v>
      </c>
      <c r="C152" s="8">
        <v>1.25</v>
      </c>
      <c r="D152" s="9">
        <f>(ROUNDUP(2.65/1.5,0)-1)*4</f>
        <v>4</v>
      </c>
      <c r="E152" s="8">
        <f>0.126*2+0.053*2</f>
        <v>0.35799999999999998</v>
      </c>
      <c r="F152" s="13">
        <f t="shared" si="7"/>
        <v>1.79</v>
      </c>
      <c r="G152" s="21">
        <v>12.4</v>
      </c>
      <c r="H152" s="13">
        <f t="shared" si="8"/>
        <v>0.06</v>
      </c>
      <c r="I152" s="11" t="s">
        <v>317</v>
      </c>
    </row>
    <row r="153" spans="1:9" x14ac:dyDescent="0.15">
      <c r="C153" s="8">
        <v>1.5</v>
      </c>
      <c r="D153" s="9">
        <f>(ROUNDUP(2.65/1.5,0)-1)*8</f>
        <v>8</v>
      </c>
      <c r="E153" s="8">
        <f>0.126*2+0.053*2</f>
        <v>0.35799999999999998</v>
      </c>
      <c r="F153" s="13">
        <f t="shared" si="7"/>
        <v>4.3</v>
      </c>
      <c r="G153" s="21">
        <v>12.4</v>
      </c>
      <c r="H153" s="13">
        <f t="shared" si="8"/>
        <v>0.15</v>
      </c>
      <c r="I153" s="11" t="s">
        <v>317</v>
      </c>
    </row>
    <row r="154" spans="1:9" x14ac:dyDescent="0.15">
      <c r="C154" s="8">
        <v>1.35</v>
      </c>
      <c r="D154" s="9">
        <f>(ROUNDUP(2.65/1.5,0)-1)*4</f>
        <v>4</v>
      </c>
      <c r="E154" s="8">
        <f>0.126*2+0.053*2</f>
        <v>0.35799999999999998</v>
      </c>
      <c r="F154" s="13">
        <f t="shared" si="7"/>
        <v>1.93</v>
      </c>
      <c r="G154" s="21">
        <v>12.4</v>
      </c>
      <c r="H154" s="13">
        <f t="shared" si="8"/>
        <v>7.0000000000000007E-2</v>
      </c>
      <c r="I154" s="11" t="s">
        <v>317</v>
      </c>
    </row>
    <row r="155" spans="1:9" x14ac:dyDescent="0.15">
      <c r="B155" s="7" t="s">
        <v>312</v>
      </c>
      <c r="C155" s="8">
        <v>1.25</v>
      </c>
      <c r="D155" s="9">
        <f>(ROUNDUP(2.65/0.5,0)-1)*4-D152</f>
        <v>16</v>
      </c>
      <c r="E155" s="8">
        <f>0.063*4</f>
        <v>0.252</v>
      </c>
      <c r="F155" s="13">
        <f t="shared" si="7"/>
        <v>5.04</v>
      </c>
      <c r="G155" s="21">
        <v>4.82</v>
      </c>
      <c r="H155" s="13">
        <f t="shared" si="8"/>
        <v>0.1</v>
      </c>
      <c r="I155" s="11" t="s">
        <v>317</v>
      </c>
    </row>
    <row r="156" spans="1:9" x14ac:dyDescent="0.15">
      <c r="C156" s="8">
        <v>1.5</v>
      </c>
      <c r="D156" s="9">
        <f>(ROUNDUP(2.65/0.5,0)-1)*8-D153</f>
        <v>32</v>
      </c>
      <c r="E156" s="8">
        <f>0.063*4</f>
        <v>0.252</v>
      </c>
      <c r="F156" s="13">
        <f t="shared" si="7"/>
        <v>12.1</v>
      </c>
      <c r="G156" s="21">
        <v>4.82</v>
      </c>
      <c r="H156" s="13">
        <f t="shared" si="8"/>
        <v>0.23</v>
      </c>
      <c r="I156" s="11" t="s">
        <v>317</v>
      </c>
    </row>
    <row r="157" spans="1:9" x14ac:dyDescent="0.15">
      <c r="C157" s="8">
        <v>1.35</v>
      </c>
      <c r="D157" s="9">
        <f>(ROUNDUP(2.65/0.5,0)-1)*4-D154</f>
        <v>16</v>
      </c>
      <c r="E157" s="8">
        <f>0.063*4</f>
        <v>0.252</v>
      </c>
      <c r="F157" s="13">
        <f t="shared" si="7"/>
        <v>5.44</v>
      </c>
      <c r="G157" s="21">
        <v>4.82</v>
      </c>
      <c r="H157" s="13">
        <f t="shared" si="8"/>
        <v>0.1</v>
      </c>
      <c r="I157" s="11" t="s">
        <v>317</v>
      </c>
    </row>
    <row r="158" spans="1:9" x14ac:dyDescent="0.15">
      <c r="A158" s="7" t="s">
        <v>320</v>
      </c>
      <c r="F158" s="13">
        <f t="shared" si="7"/>
        <v>0</v>
      </c>
      <c r="H158" s="13">
        <f t="shared" si="8"/>
        <v>0</v>
      </c>
    </row>
    <row r="159" spans="1:9" x14ac:dyDescent="0.15">
      <c r="A159" s="7" t="s">
        <v>317</v>
      </c>
      <c r="B159" s="7" t="s">
        <v>321</v>
      </c>
      <c r="C159" s="8">
        <v>2.6</v>
      </c>
      <c r="D159" s="9">
        <v>1</v>
      </c>
      <c r="E159" s="8">
        <v>5.9</v>
      </c>
      <c r="F159" s="13">
        <f t="shared" si="7"/>
        <v>15.34</v>
      </c>
      <c r="G159" s="21">
        <f>5.9*0.006*7850</f>
        <v>277.89</v>
      </c>
      <c r="H159" s="13">
        <f t="shared" si="8"/>
        <v>0.72</v>
      </c>
      <c r="I159" s="11" t="s">
        <v>317</v>
      </c>
    </row>
    <row r="160" spans="1:9" x14ac:dyDescent="0.15">
      <c r="B160" s="7" t="s">
        <v>322</v>
      </c>
      <c r="C160" s="8">
        <v>2.6</v>
      </c>
      <c r="D160" s="9">
        <v>2</v>
      </c>
      <c r="E160" s="8">
        <v>4.6500000000000004</v>
      </c>
      <c r="F160" s="13">
        <f t="shared" si="7"/>
        <v>24.18</v>
      </c>
      <c r="G160" s="21">
        <f>4.65*0.006*7850</f>
        <v>219.01500000000001</v>
      </c>
      <c r="H160" s="13">
        <f t="shared" si="8"/>
        <v>1.1399999999999999</v>
      </c>
      <c r="I160" s="11" t="s">
        <v>317</v>
      </c>
    </row>
    <row r="161" spans="1:9" x14ac:dyDescent="0.15">
      <c r="B161" s="7" t="s">
        <v>323</v>
      </c>
      <c r="C161" s="8">
        <v>2.6</v>
      </c>
      <c r="D161" s="9">
        <v>4</v>
      </c>
      <c r="E161" s="8">
        <v>5.65</v>
      </c>
      <c r="F161" s="13">
        <f t="shared" si="7"/>
        <v>58.76</v>
      </c>
      <c r="G161" s="21">
        <f>5.65*0.006*7850</f>
        <v>266.11500000000001</v>
      </c>
      <c r="H161" s="13">
        <f t="shared" si="8"/>
        <v>2.77</v>
      </c>
      <c r="I161" s="11" t="s">
        <v>317</v>
      </c>
    </row>
    <row r="162" spans="1:9" x14ac:dyDescent="0.15">
      <c r="A162" s="7" t="s">
        <v>328</v>
      </c>
      <c r="B162" s="7" t="s">
        <v>327</v>
      </c>
      <c r="C162" s="8">
        <v>5.9</v>
      </c>
      <c r="D162" s="9">
        <v>2</v>
      </c>
      <c r="E162" s="8">
        <v>0.4</v>
      </c>
      <c r="F162" s="13">
        <f t="shared" si="7"/>
        <v>4.72</v>
      </c>
      <c r="G162" s="21">
        <f>0.4*0.018*7850</f>
        <v>56.519999999999996</v>
      </c>
      <c r="H162" s="13">
        <f t="shared" si="8"/>
        <v>0.67</v>
      </c>
      <c r="I162" s="11" t="s">
        <v>317</v>
      </c>
    </row>
    <row r="163" spans="1:9" x14ac:dyDescent="0.15">
      <c r="C163" s="8">
        <v>4.6500000000000004</v>
      </c>
      <c r="D163" s="9">
        <v>4</v>
      </c>
      <c r="E163" s="8">
        <v>0.4</v>
      </c>
      <c r="F163" s="13">
        <f t="shared" si="7"/>
        <v>7.44</v>
      </c>
      <c r="G163" s="21">
        <f t="shared" ref="G163:G164" si="9">0.4*0.018*7850</f>
        <v>56.519999999999996</v>
      </c>
      <c r="H163" s="13">
        <f t="shared" si="8"/>
        <v>1.05</v>
      </c>
      <c r="I163" s="11" t="s">
        <v>317</v>
      </c>
    </row>
    <row r="164" spans="1:9" x14ac:dyDescent="0.15">
      <c r="C164" s="8">
        <v>5.65</v>
      </c>
      <c r="D164" s="9">
        <v>8</v>
      </c>
      <c r="E164" s="8">
        <v>0.4</v>
      </c>
      <c r="F164" s="13">
        <f t="shared" si="7"/>
        <v>18.079999999999998</v>
      </c>
      <c r="G164" s="21">
        <f t="shared" si="9"/>
        <v>56.519999999999996</v>
      </c>
      <c r="H164" s="13">
        <f t="shared" si="8"/>
        <v>2.5499999999999998</v>
      </c>
      <c r="I164" s="11" t="s">
        <v>317</v>
      </c>
    </row>
    <row r="165" spans="1:9" x14ac:dyDescent="0.15">
      <c r="A165" s="7" t="s">
        <v>229</v>
      </c>
      <c r="B165" s="7" t="s">
        <v>220</v>
      </c>
      <c r="C165" s="8">
        <v>2.6</v>
      </c>
      <c r="D165" s="9">
        <f>ROUNDUP(5.9/1.5,0)-1</f>
        <v>3</v>
      </c>
      <c r="E165" s="8">
        <f>0.148*2+0.1*2</f>
        <v>0.496</v>
      </c>
      <c r="F165" s="13">
        <f t="shared" si="7"/>
        <v>3.87</v>
      </c>
      <c r="G165" s="21">
        <v>20.25</v>
      </c>
      <c r="H165" s="13">
        <f t="shared" si="8"/>
        <v>0.16</v>
      </c>
      <c r="I165" s="11" t="s">
        <v>317</v>
      </c>
    </row>
    <row r="166" spans="1:9" x14ac:dyDescent="0.15">
      <c r="C166" s="8">
        <v>2.6</v>
      </c>
      <c r="D166" s="9">
        <f>(ROUNDUP(4.65/1.5,0)-1)*2</f>
        <v>6</v>
      </c>
      <c r="E166" s="8">
        <f>0.148*2+0.1*2</f>
        <v>0.496</v>
      </c>
      <c r="F166" s="13">
        <f t="shared" si="7"/>
        <v>7.74</v>
      </c>
      <c r="G166" s="21">
        <v>20.25</v>
      </c>
      <c r="H166" s="13">
        <f t="shared" si="8"/>
        <v>0.32</v>
      </c>
      <c r="I166" s="11" t="s">
        <v>317</v>
      </c>
    </row>
    <row r="167" spans="1:9" x14ac:dyDescent="0.15">
      <c r="C167" s="8">
        <v>2.6</v>
      </c>
      <c r="D167" s="9">
        <f>(ROUNDUP(5.65/1.5,0)-1)*4</f>
        <v>12</v>
      </c>
      <c r="E167" s="8">
        <f>0.148*2+0.1*2</f>
        <v>0.496</v>
      </c>
      <c r="F167" s="13">
        <f t="shared" si="7"/>
        <v>15.48</v>
      </c>
      <c r="G167" s="21">
        <v>20.25</v>
      </c>
      <c r="H167" s="13">
        <f t="shared" si="8"/>
        <v>0.63</v>
      </c>
      <c r="I167" s="11" t="s">
        <v>317</v>
      </c>
    </row>
    <row r="168" spans="1:9" x14ac:dyDescent="0.15">
      <c r="B168" s="7" t="s">
        <v>324</v>
      </c>
      <c r="C168" s="8">
        <v>2.6</v>
      </c>
      <c r="D168" s="9">
        <f>ROUNDUP(5.9/0.5,0)-1-D165</f>
        <v>8</v>
      </c>
      <c r="E168" s="8">
        <f>0.063*4</f>
        <v>0.252</v>
      </c>
      <c r="F168" s="13">
        <f t="shared" si="7"/>
        <v>5.24</v>
      </c>
      <c r="G168" s="21">
        <v>4.82</v>
      </c>
      <c r="H168" s="13">
        <f t="shared" si="8"/>
        <v>0.1</v>
      </c>
      <c r="I168" s="11" t="s">
        <v>317</v>
      </c>
    </row>
    <row r="169" spans="1:9" x14ac:dyDescent="0.15">
      <c r="C169" s="8">
        <v>2.6</v>
      </c>
      <c r="D169" s="9">
        <f>(ROUNDUP(4.65/0.5,0)-1)*2-D166</f>
        <v>12</v>
      </c>
      <c r="E169" s="8">
        <f>0.063*4</f>
        <v>0.252</v>
      </c>
      <c r="F169" s="13">
        <f t="shared" si="7"/>
        <v>7.86</v>
      </c>
      <c r="G169" s="21">
        <v>4.82</v>
      </c>
      <c r="H169" s="13">
        <f t="shared" si="8"/>
        <v>0.15</v>
      </c>
      <c r="I169" s="11" t="s">
        <v>317</v>
      </c>
    </row>
    <row r="170" spans="1:9" x14ac:dyDescent="0.15">
      <c r="C170" s="8">
        <v>2.6</v>
      </c>
      <c r="D170" s="9">
        <f>(ROUNDUP(5.65/0.5,0)-1)*4-D167</f>
        <v>32</v>
      </c>
      <c r="E170" s="8">
        <f>0.063*4</f>
        <v>0.252</v>
      </c>
      <c r="F170" s="13">
        <f t="shared" si="7"/>
        <v>20.97</v>
      </c>
      <c r="G170" s="21">
        <v>4.82</v>
      </c>
      <c r="H170" s="13">
        <f t="shared" si="8"/>
        <v>0.4</v>
      </c>
      <c r="I170" s="11" t="s">
        <v>317</v>
      </c>
    </row>
    <row r="171" spans="1:9" x14ac:dyDescent="0.15">
      <c r="A171" s="7" t="s">
        <v>325</v>
      </c>
      <c r="F171" s="13">
        <f t="shared" si="7"/>
        <v>0</v>
      </c>
      <c r="H171" s="13">
        <f t="shared" si="8"/>
        <v>0</v>
      </c>
    </row>
    <row r="172" spans="1:9" x14ac:dyDescent="0.15">
      <c r="A172" s="7" t="s">
        <v>303</v>
      </c>
      <c r="B172" s="7" t="s">
        <v>296</v>
      </c>
      <c r="C172" s="8">
        <f>15.5-13</f>
        <v>2.5</v>
      </c>
      <c r="D172" s="9">
        <v>8</v>
      </c>
      <c r="E172" s="8">
        <f>0.25*2+0.25*4</f>
        <v>1.5</v>
      </c>
      <c r="F172" s="13">
        <f t="shared" si="7"/>
        <v>30</v>
      </c>
      <c r="G172" s="21">
        <v>70.63</v>
      </c>
      <c r="H172" s="13">
        <f t="shared" si="8"/>
        <v>1.41</v>
      </c>
      <c r="I172" s="11" t="s">
        <v>342</v>
      </c>
    </row>
    <row r="173" spans="1:9" x14ac:dyDescent="0.15">
      <c r="C173" s="8">
        <f>15.3-13</f>
        <v>2.3000000000000007</v>
      </c>
      <c r="D173" s="9">
        <v>5</v>
      </c>
      <c r="E173" s="8">
        <f>0.25*2+0.25*4</f>
        <v>1.5</v>
      </c>
      <c r="F173" s="13">
        <f t="shared" si="7"/>
        <v>17.25</v>
      </c>
      <c r="G173" s="21">
        <v>70.63</v>
      </c>
      <c r="H173" s="13">
        <f t="shared" si="8"/>
        <v>0.81</v>
      </c>
      <c r="I173" s="11" t="s">
        <v>342</v>
      </c>
    </row>
    <row r="174" spans="1:9" x14ac:dyDescent="0.15">
      <c r="A174" s="7" t="s">
        <v>195</v>
      </c>
      <c r="B174" s="7" t="s">
        <v>299</v>
      </c>
      <c r="C174" s="8">
        <v>0.5</v>
      </c>
      <c r="D174" s="9">
        <f>1*13</f>
        <v>13</v>
      </c>
      <c r="E174" s="8">
        <v>0.5</v>
      </c>
      <c r="F174" s="13">
        <f t="shared" si="7"/>
        <v>3.25</v>
      </c>
      <c r="G174" s="21">
        <f>0.5*0.02*7850</f>
        <v>78.5</v>
      </c>
      <c r="H174" s="13">
        <f t="shared" si="8"/>
        <v>0.51</v>
      </c>
      <c r="I174" s="11" t="s">
        <v>342</v>
      </c>
    </row>
    <row r="175" spans="1:9" x14ac:dyDescent="0.15">
      <c r="B175" s="7" t="s">
        <v>304</v>
      </c>
      <c r="C175" s="8">
        <v>0.45</v>
      </c>
      <c r="D175" s="9">
        <f>2*13</f>
        <v>26</v>
      </c>
      <c r="E175" s="8">
        <f>0.3*2</f>
        <v>0.6</v>
      </c>
      <c r="F175" s="13">
        <f t="shared" si="7"/>
        <v>7.02</v>
      </c>
      <c r="G175" s="21">
        <f>0.3*0.012*7850</f>
        <v>28.259999999999998</v>
      </c>
      <c r="H175" s="13">
        <f t="shared" si="8"/>
        <v>0.33</v>
      </c>
      <c r="I175" s="11" t="s">
        <v>342</v>
      </c>
    </row>
    <row r="176" spans="1:9" x14ac:dyDescent="0.15">
      <c r="B176" s="7" t="s">
        <v>305</v>
      </c>
      <c r="C176" s="8">
        <v>0.1</v>
      </c>
      <c r="D176" s="9">
        <f>4*13</f>
        <v>52</v>
      </c>
      <c r="E176" s="8">
        <f>0.3*2</f>
        <v>0.6</v>
      </c>
      <c r="F176" s="13">
        <f t="shared" si="7"/>
        <v>3.12</v>
      </c>
      <c r="G176" s="21">
        <f>0.3*0.012*7850</f>
        <v>28.259999999999998</v>
      </c>
      <c r="H176" s="13">
        <f t="shared" si="8"/>
        <v>0.15</v>
      </c>
      <c r="I176" s="11" t="s">
        <v>342</v>
      </c>
    </row>
    <row r="177" spans="1:9" x14ac:dyDescent="0.15">
      <c r="A177" s="7" t="s">
        <v>330</v>
      </c>
      <c r="F177" s="13">
        <f t="shared" si="7"/>
        <v>0</v>
      </c>
      <c r="H177" s="13">
        <f t="shared" si="8"/>
        <v>0</v>
      </c>
    </row>
    <row r="178" spans="1:9" x14ac:dyDescent="0.15">
      <c r="A178" s="7" t="s">
        <v>189</v>
      </c>
      <c r="B178" s="7" t="s">
        <v>307</v>
      </c>
      <c r="C178" s="8">
        <v>2.65</v>
      </c>
      <c r="D178" s="9">
        <v>12</v>
      </c>
      <c r="E178" s="8">
        <f>0.148*2+0.1*4</f>
        <v>0.69599999999999995</v>
      </c>
      <c r="F178" s="13">
        <f t="shared" si="7"/>
        <v>22.13</v>
      </c>
      <c r="G178" s="21">
        <v>20.25</v>
      </c>
      <c r="H178" s="13">
        <f t="shared" si="8"/>
        <v>0.64</v>
      </c>
      <c r="I178" s="11" t="s">
        <v>341</v>
      </c>
    </row>
    <row r="179" spans="1:9" x14ac:dyDescent="0.15">
      <c r="A179" s="7" t="s">
        <v>199</v>
      </c>
      <c r="B179" s="7" t="s">
        <v>193</v>
      </c>
      <c r="C179" s="8">
        <f>2.65-0.125*2</f>
        <v>2.4</v>
      </c>
      <c r="D179" s="9">
        <v>4</v>
      </c>
      <c r="E179" s="8">
        <f>0.194*2+0.15*4</f>
        <v>0.98799999999999999</v>
      </c>
      <c r="F179" s="13">
        <f t="shared" si="7"/>
        <v>9.48</v>
      </c>
      <c r="G179" s="21">
        <v>29.48</v>
      </c>
      <c r="H179" s="13">
        <f t="shared" si="8"/>
        <v>0.28000000000000003</v>
      </c>
      <c r="I179" s="11" t="s">
        <v>341</v>
      </c>
    </row>
    <row r="180" spans="1:9" x14ac:dyDescent="0.15">
      <c r="A180" s="7" t="s">
        <v>213</v>
      </c>
      <c r="B180" s="7" t="s">
        <v>201</v>
      </c>
      <c r="C180" s="8">
        <f>2.65-0.125*2</f>
        <v>2.4</v>
      </c>
      <c r="D180" s="9">
        <v>1</v>
      </c>
      <c r="E180" s="8">
        <f>0.244*2+0.175*4</f>
        <v>1.1879999999999999</v>
      </c>
      <c r="F180" s="13">
        <f t="shared" si="7"/>
        <v>2.85</v>
      </c>
      <c r="G180" s="21">
        <v>42.42</v>
      </c>
      <c r="H180" s="13">
        <f t="shared" si="8"/>
        <v>0.1</v>
      </c>
      <c r="I180" s="11" t="s">
        <v>341</v>
      </c>
    </row>
    <row r="181" spans="1:9" x14ac:dyDescent="0.15">
      <c r="A181" s="7" t="s">
        <v>214</v>
      </c>
      <c r="B181" s="7" t="s">
        <v>309</v>
      </c>
      <c r="C181" s="8">
        <v>5</v>
      </c>
      <c r="D181" s="9">
        <v>2</v>
      </c>
      <c r="E181" s="8">
        <f>0.294*2+0.2*4</f>
        <v>1.3879999999999999</v>
      </c>
      <c r="F181" s="13">
        <f t="shared" si="7"/>
        <v>13.88</v>
      </c>
      <c r="G181" s="21">
        <v>54.63</v>
      </c>
      <c r="H181" s="13">
        <f t="shared" si="8"/>
        <v>0.55000000000000004</v>
      </c>
      <c r="I181" s="11" t="s">
        <v>341</v>
      </c>
    </row>
    <row r="182" spans="1:9" x14ac:dyDescent="0.15">
      <c r="C182" s="8">
        <v>6</v>
      </c>
      <c r="D182" s="9">
        <v>5</v>
      </c>
      <c r="E182" s="8">
        <f>0.294*2+0.2*4</f>
        <v>1.3879999999999999</v>
      </c>
      <c r="F182" s="13">
        <f t="shared" si="7"/>
        <v>41.64</v>
      </c>
      <c r="G182" s="21">
        <v>54.63</v>
      </c>
      <c r="H182" s="13">
        <f t="shared" si="8"/>
        <v>1.64</v>
      </c>
      <c r="I182" s="11" t="s">
        <v>341</v>
      </c>
    </row>
    <row r="183" spans="1:9" x14ac:dyDescent="0.15">
      <c r="C183" s="8">
        <v>5.4</v>
      </c>
      <c r="D183" s="9">
        <v>1</v>
      </c>
      <c r="E183" s="8">
        <f>0.294*2+0.2*4</f>
        <v>1.3879999999999999</v>
      </c>
      <c r="F183" s="13">
        <f t="shared" si="7"/>
        <v>7.5</v>
      </c>
      <c r="G183" s="21">
        <v>54.63</v>
      </c>
      <c r="H183" s="13">
        <f t="shared" si="8"/>
        <v>0.3</v>
      </c>
      <c r="I183" s="11" t="s">
        <v>341</v>
      </c>
    </row>
    <row r="184" spans="1:9" x14ac:dyDescent="0.15">
      <c r="A184" s="7" t="s">
        <v>317</v>
      </c>
      <c r="B184" s="7" t="s">
        <v>331</v>
      </c>
      <c r="C184" s="8">
        <v>2.65</v>
      </c>
      <c r="D184" s="9">
        <v>1</v>
      </c>
      <c r="E184" s="8">
        <v>22.4</v>
      </c>
      <c r="F184" s="13">
        <f t="shared" si="7"/>
        <v>59.36</v>
      </c>
      <c r="G184" s="21">
        <f>22.4*0.006*7850</f>
        <v>1055.04</v>
      </c>
      <c r="H184" s="13">
        <f t="shared" si="8"/>
        <v>2.8</v>
      </c>
      <c r="I184" s="11" t="s">
        <v>317</v>
      </c>
    </row>
    <row r="185" spans="1:9" x14ac:dyDescent="0.15">
      <c r="A185" s="7" t="s">
        <v>229</v>
      </c>
      <c r="B185" s="7" t="s">
        <v>315</v>
      </c>
      <c r="C185" s="8">
        <v>1.25</v>
      </c>
      <c r="D185" s="9">
        <f>(ROUNDUP(2.65/1.5,0)-1)*4</f>
        <v>4</v>
      </c>
      <c r="E185" s="8">
        <f>0.126*2+0.053*2</f>
        <v>0.35799999999999998</v>
      </c>
      <c r="F185" s="13">
        <f t="shared" si="7"/>
        <v>1.79</v>
      </c>
      <c r="G185" s="21">
        <v>12.4</v>
      </c>
      <c r="H185" s="13">
        <f t="shared" si="8"/>
        <v>0.06</v>
      </c>
      <c r="I185" s="11" t="s">
        <v>317</v>
      </c>
    </row>
    <row r="186" spans="1:9" x14ac:dyDescent="0.15">
      <c r="C186" s="8">
        <v>1.5</v>
      </c>
      <c r="D186" s="9">
        <f>(ROUNDUP(2.65/1.5,0)-1)*8</f>
        <v>8</v>
      </c>
      <c r="E186" s="8">
        <f>0.126*2+0.053*2</f>
        <v>0.35799999999999998</v>
      </c>
      <c r="F186" s="13">
        <f t="shared" si="7"/>
        <v>4.3</v>
      </c>
      <c r="G186" s="21">
        <v>12.4</v>
      </c>
      <c r="H186" s="13">
        <f t="shared" si="8"/>
        <v>0.15</v>
      </c>
      <c r="I186" s="11" t="s">
        <v>317</v>
      </c>
    </row>
    <row r="187" spans="1:9" x14ac:dyDescent="0.15">
      <c r="C187" s="8">
        <v>1.35</v>
      </c>
      <c r="D187" s="9">
        <f>(ROUNDUP(2.65/1.5,0)-1)*4</f>
        <v>4</v>
      </c>
      <c r="E187" s="8">
        <f>0.126*2+0.053*2</f>
        <v>0.35799999999999998</v>
      </c>
      <c r="F187" s="13">
        <f t="shared" si="7"/>
        <v>1.93</v>
      </c>
      <c r="G187" s="21">
        <v>12.4</v>
      </c>
      <c r="H187" s="13">
        <f t="shared" si="8"/>
        <v>7.0000000000000007E-2</v>
      </c>
      <c r="I187" s="11" t="s">
        <v>317</v>
      </c>
    </row>
    <row r="188" spans="1:9" x14ac:dyDescent="0.15">
      <c r="B188" s="7" t="s">
        <v>312</v>
      </c>
      <c r="C188" s="8">
        <v>1.25</v>
      </c>
      <c r="D188" s="9">
        <f>(ROUNDUP(2.65/0.5,0)-1)*4-D185</f>
        <v>16</v>
      </c>
      <c r="E188" s="8">
        <f>0.063*4</f>
        <v>0.252</v>
      </c>
      <c r="F188" s="13">
        <f t="shared" si="7"/>
        <v>5.04</v>
      </c>
      <c r="G188" s="21">
        <v>4.82</v>
      </c>
      <c r="H188" s="13">
        <f t="shared" si="8"/>
        <v>0.1</v>
      </c>
      <c r="I188" s="11" t="s">
        <v>317</v>
      </c>
    </row>
    <row r="189" spans="1:9" x14ac:dyDescent="0.15">
      <c r="C189" s="8">
        <v>1.5</v>
      </c>
      <c r="D189" s="9">
        <f>(ROUNDUP(2.65/0.5,0)-1)*8-D186</f>
        <v>32</v>
      </c>
      <c r="E189" s="8">
        <f>0.063*4</f>
        <v>0.252</v>
      </c>
      <c r="F189" s="13">
        <f t="shared" si="7"/>
        <v>12.1</v>
      </c>
      <c r="G189" s="21">
        <v>4.82</v>
      </c>
      <c r="H189" s="13">
        <f t="shared" si="8"/>
        <v>0.23</v>
      </c>
      <c r="I189" s="11" t="s">
        <v>317</v>
      </c>
    </row>
    <row r="190" spans="1:9" x14ac:dyDescent="0.15">
      <c r="C190" s="8">
        <v>1.35</v>
      </c>
      <c r="D190" s="9">
        <f>(ROUNDUP(2.65/0.5,0)-1)*4-D187</f>
        <v>16</v>
      </c>
      <c r="E190" s="8">
        <f>0.063*4</f>
        <v>0.252</v>
      </c>
      <c r="F190" s="13">
        <f t="shared" si="7"/>
        <v>5.44</v>
      </c>
      <c r="G190" s="21">
        <v>4.82</v>
      </c>
      <c r="H190" s="13">
        <f t="shared" si="8"/>
        <v>0.1</v>
      </c>
      <c r="I190" s="11" t="s">
        <v>317</v>
      </c>
    </row>
    <row r="191" spans="1:9" x14ac:dyDescent="0.15">
      <c r="A191" s="7" t="s">
        <v>332</v>
      </c>
      <c r="F191" s="13">
        <f t="shared" si="7"/>
        <v>0</v>
      </c>
      <c r="H191" s="13">
        <f t="shared" si="8"/>
        <v>0</v>
      </c>
    </row>
    <row r="192" spans="1:9" x14ac:dyDescent="0.15">
      <c r="A192" s="7" t="s">
        <v>189</v>
      </c>
      <c r="B192" s="7" t="s">
        <v>307</v>
      </c>
      <c r="C192" s="8">
        <v>2.65</v>
      </c>
      <c r="D192" s="9">
        <v>14</v>
      </c>
      <c r="E192" s="8">
        <f>0.148*2+0.1*4</f>
        <v>0.69599999999999995</v>
      </c>
      <c r="F192" s="13">
        <f t="shared" si="7"/>
        <v>25.82</v>
      </c>
      <c r="G192" s="21">
        <v>20.25</v>
      </c>
      <c r="H192" s="13">
        <f t="shared" si="8"/>
        <v>0.75</v>
      </c>
      <c r="I192" s="11" t="s">
        <v>341</v>
      </c>
    </row>
    <row r="193" spans="1:9" x14ac:dyDescent="0.15">
      <c r="A193" s="7" t="s">
        <v>199</v>
      </c>
      <c r="B193" s="7" t="s">
        <v>193</v>
      </c>
      <c r="C193" s="8">
        <f>2.65-0.125*2</f>
        <v>2.4</v>
      </c>
      <c r="D193" s="9">
        <v>6</v>
      </c>
      <c r="E193" s="8">
        <f>0.194*2+0.15*4</f>
        <v>0.98799999999999999</v>
      </c>
      <c r="F193" s="13">
        <f t="shared" si="7"/>
        <v>14.23</v>
      </c>
      <c r="G193" s="21">
        <v>29.48</v>
      </c>
      <c r="H193" s="13">
        <f t="shared" si="8"/>
        <v>0.42</v>
      </c>
      <c r="I193" s="11" t="s">
        <v>341</v>
      </c>
    </row>
    <row r="194" spans="1:9" x14ac:dyDescent="0.15">
      <c r="A194" s="7" t="s">
        <v>213</v>
      </c>
      <c r="B194" s="7" t="s">
        <v>201</v>
      </c>
      <c r="C194" s="8">
        <f>2.65-0.125*2</f>
        <v>2.4</v>
      </c>
      <c r="D194" s="9">
        <v>1</v>
      </c>
      <c r="E194" s="8">
        <f>0.244*2+0.175*4</f>
        <v>1.1879999999999999</v>
      </c>
      <c r="F194" s="13">
        <f t="shared" ref="F194:F242" si="10">ROUND(PRODUCT($C194:$E194),2)</f>
        <v>2.85</v>
      </c>
      <c r="G194" s="21">
        <v>42.42</v>
      </c>
      <c r="H194" s="13">
        <f t="shared" si="8"/>
        <v>0.1</v>
      </c>
      <c r="I194" s="11" t="s">
        <v>341</v>
      </c>
    </row>
    <row r="195" spans="1:9" x14ac:dyDescent="0.15">
      <c r="A195" s="7" t="s">
        <v>214</v>
      </c>
      <c r="B195" s="7" t="s">
        <v>309</v>
      </c>
      <c r="C195" s="8">
        <v>1.325</v>
      </c>
      <c r="D195" s="9">
        <v>2</v>
      </c>
      <c r="E195" s="8">
        <f t="shared" ref="E195:E201" si="11">0.294*2+0.2*4</f>
        <v>1.3879999999999999</v>
      </c>
      <c r="F195" s="13">
        <f t="shared" si="10"/>
        <v>3.68</v>
      </c>
      <c r="G195" s="21">
        <v>54.63</v>
      </c>
      <c r="H195" s="13">
        <f t="shared" ref="H195:H242" si="12">ROUND(PRODUCT($C195:$D195,$G195)*0.001,2)</f>
        <v>0.14000000000000001</v>
      </c>
      <c r="I195" s="11" t="s">
        <v>341</v>
      </c>
    </row>
    <row r="196" spans="1:9" x14ac:dyDescent="0.15">
      <c r="C196" s="8">
        <v>6.1749999999999998</v>
      </c>
      <c r="D196" s="9">
        <v>4</v>
      </c>
      <c r="E196" s="8">
        <f t="shared" si="11"/>
        <v>1.3879999999999999</v>
      </c>
      <c r="F196" s="13">
        <f t="shared" si="10"/>
        <v>34.28</v>
      </c>
      <c r="G196" s="21">
        <v>54.63</v>
      </c>
      <c r="H196" s="13">
        <f t="shared" si="12"/>
        <v>1.35</v>
      </c>
      <c r="I196" s="11" t="s">
        <v>341</v>
      </c>
    </row>
    <row r="197" spans="1:9" x14ac:dyDescent="0.15">
      <c r="C197" s="8">
        <v>6</v>
      </c>
      <c r="D197" s="9">
        <v>5</v>
      </c>
      <c r="E197" s="8">
        <f t="shared" si="11"/>
        <v>1.3879999999999999</v>
      </c>
      <c r="F197" s="13">
        <f t="shared" si="10"/>
        <v>41.64</v>
      </c>
      <c r="G197" s="21">
        <v>54.63</v>
      </c>
      <c r="H197" s="13">
        <f t="shared" si="12"/>
        <v>1.64</v>
      </c>
      <c r="I197" s="11" t="s">
        <v>341</v>
      </c>
    </row>
    <row r="198" spans="1:9" x14ac:dyDescent="0.15">
      <c r="C198" s="8">
        <v>5.4</v>
      </c>
      <c r="D198" s="9">
        <v>1</v>
      </c>
      <c r="E198" s="8">
        <f t="shared" si="11"/>
        <v>1.3879999999999999</v>
      </c>
      <c r="F198" s="13">
        <f t="shared" si="10"/>
        <v>7.5</v>
      </c>
      <c r="G198" s="21">
        <v>54.63</v>
      </c>
      <c r="H198" s="13">
        <f t="shared" si="12"/>
        <v>0.3</v>
      </c>
      <c r="I198" s="11" t="s">
        <v>341</v>
      </c>
    </row>
    <row r="199" spans="1:9" x14ac:dyDescent="0.15">
      <c r="C199" s="8">
        <v>2.65</v>
      </c>
      <c r="D199" s="9">
        <v>4</v>
      </c>
      <c r="E199" s="8">
        <f t="shared" si="11"/>
        <v>1.3879999999999999</v>
      </c>
      <c r="F199" s="13">
        <f t="shared" si="10"/>
        <v>14.71</v>
      </c>
      <c r="G199" s="21">
        <v>54.63</v>
      </c>
      <c r="H199" s="13">
        <f t="shared" si="12"/>
        <v>0.57999999999999996</v>
      </c>
      <c r="I199" s="11" t="s">
        <v>341</v>
      </c>
    </row>
    <row r="200" spans="1:9" x14ac:dyDescent="0.15">
      <c r="C200" s="8">
        <f>2.65-0.125*2</f>
        <v>2.4</v>
      </c>
      <c r="D200" s="9">
        <v>1</v>
      </c>
      <c r="E200" s="8">
        <f t="shared" si="11"/>
        <v>1.3879999999999999</v>
      </c>
      <c r="F200" s="13">
        <f t="shared" si="10"/>
        <v>3.33</v>
      </c>
      <c r="G200" s="21">
        <v>54.63</v>
      </c>
      <c r="H200" s="13">
        <f t="shared" si="12"/>
        <v>0.13</v>
      </c>
      <c r="I200" s="11" t="s">
        <v>341</v>
      </c>
    </row>
    <row r="201" spans="1:9" x14ac:dyDescent="0.15">
      <c r="C201" s="8">
        <v>1.145</v>
      </c>
      <c r="D201" s="9">
        <v>2</v>
      </c>
      <c r="E201" s="8">
        <f t="shared" si="11"/>
        <v>1.3879999999999999</v>
      </c>
      <c r="F201" s="13">
        <f t="shared" si="10"/>
        <v>3.18</v>
      </c>
      <c r="G201" s="21">
        <v>54.63</v>
      </c>
      <c r="H201" s="13">
        <f t="shared" si="12"/>
        <v>0.13</v>
      </c>
      <c r="I201" s="11" t="s">
        <v>341</v>
      </c>
    </row>
    <row r="202" spans="1:9" x14ac:dyDescent="0.15">
      <c r="A202" s="7" t="s">
        <v>317</v>
      </c>
      <c r="B202" s="7" t="s">
        <v>333</v>
      </c>
      <c r="C202" s="8">
        <v>2.65</v>
      </c>
      <c r="D202" s="9">
        <v>1</v>
      </c>
      <c r="E202" s="8">
        <v>13</v>
      </c>
      <c r="F202" s="13">
        <f t="shared" si="10"/>
        <v>34.450000000000003</v>
      </c>
      <c r="G202" s="21">
        <f>13*0.006*7850</f>
        <v>612.29999999999995</v>
      </c>
      <c r="H202" s="13">
        <f t="shared" si="12"/>
        <v>1.62</v>
      </c>
      <c r="I202" s="11" t="s">
        <v>317</v>
      </c>
    </row>
    <row r="203" spans="1:9" x14ac:dyDescent="0.15">
      <c r="B203" s="7" t="s">
        <v>334</v>
      </c>
      <c r="C203" s="8">
        <v>2.65</v>
      </c>
      <c r="D203" s="9">
        <v>1</v>
      </c>
      <c r="E203" s="8">
        <v>17.399999999999999</v>
      </c>
      <c r="F203" s="13">
        <f t="shared" si="10"/>
        <v>46.11</v>
      </c>
      <c r="G203" s="21">
        <f>17.4*0.006*7850</f>
        <v>819.54</v>
      </c>
      <c r="H203" s="13">
        <f t="shared" si="12"/>
        <v>2.17</v>
      </c>
      <c r="I203" s="11" t="s">
        <v>317</v>
      </c>
    </row>
    <row r="204" spans="1:9" x14ac:dyDescent="0.15">
      <c r="A204" s="7" t="s">
        <v>229</v>
      </c>
      <c r="B204" s="7" t="s">
        <v>315</v>
      </c>
      <c r="C204" s="8">
        <v>1.1000000000000001</v>
      </c>
      <c r="D204" s="9">
        <f>(ROUNDUP(2.65/1.5,0)-1)*2</f>
        <v>2</v>
      </c>
      <c r="E204" s="8">
        <f t="shared" ref="E204:E209" si="13">0.126*2+0.053*2</f>
        <v>0.35799999999999998</v>
      </c>
      <c r="F204" s="13">
        <f t="shared" si="10"/>
        <v>0.79</v>
      </c>
      <c r="G204" s="21">
        <v>12.4</v>
      </c>
      <c r="H204" s="13">
        <f t="shared" si="12"/>
        <v>0.03</v>
      </c>
      <c r="I204" s="11" t="s">
        <v>317</v>
      </c>
    </row>
    <row r="205" spans="1:9" x14ac:dyDescent="0.15">
      <c r="C205" s="8">
        <v>1.325</v>
      </c>
      <c r="D205" s="9">
        <f>ROUNDUP(1.64/1.5,0)-1</f>
        <v>1</v>
      </c>
      <c r="E205" s="8">
        <f t="shared" si="13"/>
        <v>0.35799999999999998</v>
      </c>
      <c r="F205" s="13">
        <f t="shared" si="10"/>
        <v>0.47</v>
      </c>
      <c r="G205" s="21">
        <v>12.4</v>
      </c>
      <c r="H205" s="13">
        <f t="shared" si="12"/>
        <v>0.02</v>
      </c>
      <c r="I205" s="11" t="s">
        <v>317</v>
      </c>
    </row>
    <row r="206" spans="1:9" x14ac:dyDescent="0.15">
      <c r="C206" s="8">
        <v>0.57499999999999996</v>
      </c>
      <c r="D206" s="9">
        <f>ROUNDUP(2.65/1.5,0)-1</f>
        <v>1</v>
      </c>
      <c r="E206" s="8">
        <f t="shared" si="13"/>
        <v>0.35799999999999998</v>
      </c>
      <c r="F206" s="13">
        <f t="shared" si="10"/>
        <v>0.21</v>
      </c>
      <c r="G206" s="21">
        <v>12.4</v>
      </c>
      <c r="H206" s="13">
        <f t="shared" si="12"/>
        <v>0.01</v>
      </c>
      <c r="I206" s="11" t="s">
        <v>317</v>
      </c>
    </row>
    <row r="207" spans="1:9" x14ac:dyDescent="0.15">
      <c r="C207" s="8">
        <v>1.2350000000000001</v>
      </c>
      <c r="D207" s="9">
        <f>(ROUNDUP(2.65/1.5,0)-1)*5</f>
        <v>5</v>
      </c>
      <c r="E207" s="8">
        <f t="shared" si="13"/>
        <v>0.35799999999999998</v>
      </c>
      <c r="F207" s="13">
        <f t="shared" si="10"/>
        <v>2.21</v>
      </c>
      <c r="G207" s="21">
        <v>12.4</v>
      </c>
      <c r="H207" s="13">
        <f t="shared" si="12"/>
        <v>0.08</v>
      </c>
      <c r="I207" s="11" t="s">
        <v>317</v>
      </c>
    </row>
    <row r="208" spans="1:9" x14ac:dyDescent="0.15">
      <c r="C208" s="8">
        <v>1.5</v>
      </c>
      <c r="D208" s="9">
        <f>(ROUNDUP(2.65/1.5,0)-1)*8</f>
        <v>8</v>
      </c>
      <c r="E208" s="8">
        <f t="shared" si="13"/>
        <v>0.35799999999999998</v>
      </c>
      <c r="F208" s="13">
        <f t="shared" si="10"/>
        <v>4.3</v>
      </c>
      <c r="G208" s="21">
        <v>12.4</v>
      </c>
      <c r="H208" s="13">
        <f t="shared" si="12"/>
        <v>0.15</v>
      </c>
      <c r="I208" s="11" t="s">
        <v>317</v>
      </c>
    </row>
    <row r="209" spans="1:9" x14ac:dyDescent="0.15">
      <c r="C209" s="8">
        <v>1.35</v>
      </c>
      <c r="D209" s="9">
        <f>(ROUNDUP(2.65/1.5,0)-1)*4</f>
        <v>4</v>
      </c>
      <c r="E209" s="8">
        <f t="shared" si="13"/>
        <v>0.35799999999999998</v>
      </c>
      <c r="F209" s="13">
        <f t="shared" si="10"/>
        <v>1.93</v>
      </c>
      <c r="G209" s="21">
        <v>12.4</v>
      </c>
      <c r="H209" s="13">
        <f t="shared" si="12"/>
        <v>7.0000000000000007E-2</v>
      </c>
      <c r="I209" s="11" t="s">
        <v>317</v>
      </c>
    </row>
    <row r="210" spans="1:9" x14ac:dyDescent="0.15">
      <c r="B210" s="7" t="s">
        <v>312</v>
      </c>
      <c r="C210" s="8">
        <v>1.1000000000000001</v>
      </c>
      <c r="D210" s="9">
        <f>(ROUNDUP(2.65/0.5,0)-1)*2-D204</f>
        <v>8</v>
      </c>
      <c r="E210" s="8">
        <f t="shared" ref="E210:E216" si="14">0.063*4</f>
        <v>0.252</v>
      </c>
      <c r="F210" s="13">
        <f t="shared" si="10"/>
        <v>2.2200000000000002</v>
      </c>
      <c r="G210" s="21">
        <v>4.82</v>
      </c>
      <c r="H210" s="13">
        <f t="shared" si="12"/>
        <v>0.04</v>
      </c>
      <c r="I210" s="11" t="s">
        <v>317</v>
      </c>
    </row>
    <row r="211" spans="1:9" x14ac:dyDescent="0.15">
      <c r="C211" s="8">
        <v>1.325</v>
      </c>
      <c r="D211" s="9">
        <f>ROUNDUP(1.64/0.5,0)-1-D205</f>
        <v>2</v>
      </c>
      <c r="E211" s="8">
        <f t="shared" si="14"/>
        <v>0.252</v>
      </c>
      <c r="F211" s="13">
        <f t="shared" si="10"/>
        <v>0.67</v>
      </c>
      <c r="G211" s="21">
        <v>4.82</v>
      </c>
      <c r="H211" s="13">
        <f t="shared" si="12"/>
        <v>0.01</v>
      </c>
      <c r="I211" s="11" t="s">
        <v>317</v>
      </c>
    </row>
    <row r="212" spans="1:9" x14ac:dyDescent="0.15">
      <c r="C212" s="8">
        <v>0.57499999999999996</v>
      </c>
      <c r="D212" s="9">
        <f>ROUNDUP(2.65/0.5,0)-1-D206</f>
        <v>4</v>
      </c>
      <c r="E212" s="8">
        <f t="shared" si="14"/>
        <v>0.252</v>
      </c>
      <c r="F212" s="13">
        <f t="shared" si="10"/>
        <v>0.57999999999999996</v>
      </c>
      <c r="G212" s="21">
        <v>4.82</v>
      </c>
      <c r="H212" s="13">
        <f t="shared" si="12"/>
        <v>0.01</v>
      </c>
      <c r="I212" s="11" t="s">
        <v>317</v>
      </c>
    </row>
    <row r="213" spans="1:9" x14ac:dyDescent="0.15">
      <c r="C213" s="8">
        <v>1.2350000000000001</v>
      </c>
      <c r="D213" s="9">
        <f>(ROUNDUP(2.65/0.5,0)-1)*5-D207</f>
        <v>20</v>
      </c>
      <c r="E213" s="8">
        <f t="shared" si="14"/>
        <v>0.252</v>
      </c>
      <c r="F213" s="13">
        <f t="shared" si="10"/>
        <v>6.22</v>
      </c>
      <c r="G213" s="21">
        <v>4.82</v>
      </c>
      <c r="H213" s="13">
        <f t="shared" si="12"/>
        <v>0.12</v>
      </c>
      <c r="I213" s="11" t="s">
        <v>317</v>
      </c>
    </row>
    <row r="214" spans="1:9" x14ac:dyDescent="0.15">
      <c r="C214" s="8">
        <v>1.5</v>
      </c>
      <c r="D214" s="9">
        <f>(ROUNDUP(2.65/0.5,0)-1)*8-D208</f>
        <v>32</v>
      </c>
      <c r="E214" s="8">
        <f t="shared" si="14"/>
        <v>0.252</v>
      </c>
      <c r="F214" s="13">
        <f t="shared" si="10"/>
        <v>12.1</v>
      </c>
      <c r="G214" s="21">
        <v>4.82</v>
      </c>
      <c r="H214" s="13">
        <f t="shared" si="12"/>
        <v>0.23</v>
      </c>
      <c r="I214" s="11" t="s">
        <v>317</v>
      </c>
    </row>
    <row r="215" spans="1:9" x14ac:dyDescent="0.15">
      <c r="C215" s="8">
        <v>1.35</v>
      </c>
      <c r="D215" s="9">
        <f>(ROUNDUP(2.65/0.5,0)-1)*4-D209</f>
        <v>16</v>
      </c>
      <c r="E215" s="8">
        <f t="shared" si="14"/>
        <v>0.252</v>
      </c>
      <c r="F215" s="13">
        <f t="shared" si="10"/>
        <v>5.44</v>
      </c>
      <c r="G215" s="21">
        <v>4.82</v>
      </c>
      <c r="H215" s="13">
        <f t="shared" si="12"/>
        <v>0.1</v>
      </c>
      <c r="I215" s="11" t="s">
        <v>317</v>
      </c>
    </row>
    <row r="216" spans="1:9" x14ac:dyDescent="0.15">
      <c r="C216" s="8">
        <v>0.43</v>
      </c>
      <c r="D216" s="9">
        <f>ROUNDUP(1.325/0.5,0)-1</f>
        <v>2</v>
      </c>
      <c r="E216" s="8">
        <f t="shared" si="14"/>
        <v>0.252</v>
      </c>
      <c r="F216" s="13">
        <f t="shared" si="10"/>
        <v>0.22</v>
      </c>
      <c r="G216" s="21">
        <v>4.82</v>
      </c>
      <c r="H216" s="13">
        <f t="shared" si="12"/>
        <v>0</v>
      </c>
      <c r="I216" s="11" t="s">
        <v>317</v>
      </c>
    </row>
    <row r="217" spans="1:9" x14ac:dyDescent="0.15">
      <c r="A217" s="7" t="s">
        <v>335</v>
      </c>
      <c r="F217" s="13">
        <f t="shared" si="10"/>
        <v>0</v>
      </c>
      <c r="H217" s="13">
        <f t="shared" si="12"/>
        <v>0</v>
      </c>
    </row>
    <row r="218" spans="1:9" x14ac:dyDescent="0.15">
      <c r="A218" s="7" t="s">
        <v>303</v>
      </c>
      <c r="B218" s="7" t="s">
        <v>296</v>
      </c>
      <c r="C218" s="8">
        <f>20.8-18.5</f>
        <v>2.3000000000000007</v>
      </c>
      <c r="D218" s="9">
        <v>17</v>
      </c>
      <c r="E218" s="8">
        <f>0.25*2+0.25*4</f>
        <v>1.5</v>
      </c>
      <c r="F218" s="13">
        <f t="shared" si="10"/>
        <v>58.65</v>
      </c>
      <c r="G218" s="21">
        <v>70.63</v>
      </c>
      <c r="H218" s="13">
        <f t="shared" si="12"/>
        <v>2.76</v>
      </c>
      <c r="I218" s="11" t="s">
        <v>342</v>
      </c>
    </row>
    <row r="219" spans="1:9" x14ac:dyDescent="0.15">
      <c r="A219" s="7" t="s">
        <v>195</v>
      </c>
      <c r="B219" s="7" t="s">
        <v>299</v>
      </c>
      <c r="C219" s="8">
        <v>0.5</v>
      </c>
      <c r="D219" s="9">
        <f>1*17</f>
        <v>17</v>
      </c>
      <c r="E219" s="8">
        <v>0.5</v>
      </c>
      <c r="F219" s="13">
        <f t="shared" si="10"/>
        <v>4.25</v>
      </c>
      <c r="G219" s="21">
        <f>0.5*0.02*7850</f>
        <v>78.5</v>
      </c>
      <c r="H219" s="13">
        <f t="shared" si="12"/>
        <v>0.67</v>
      </c>
      <c r="I219" s="11" t="s">
        <v>342</v>
      </c>
    </row>
    <row r="220" spans="1:9" x14ac:dyDescent="0.15">
      <c r="B220" s="7" t="s">
        <v>304</v>
      </c>
      <c r="C220" s="8">
        <v>0.45</v>
      </c>
      <c r="D220" s="9">
        <f>2*17</f>
        <v>34</v>
      </c>
      <c r="E220" s="8">
        <f>0.3*2</f>
        <v>0.6</v>
      </c>
      <c r="F220" s="13">
        <f t="shared" si="10"/>
        <v>9.18</v>
      </c>
      <c r="G220" s="21">
        <f>0.3*0.012*7850</f>
        <v>28.259999999999998</v>
      </c>
      <c r="H220" s="13">
        <f t="shared" si="12"/>
        <v>0.43</v>
      </c>
      <c r="I220" s="11" t="s">
        <v>342</v>
      </c>
    </row>
    <row r="221" spans="1:9" x14ac:dyDescent="0.15">
      <c r="B221" s="7" t="s">
        <v>305</v>
      </c>
      <c r="C221" s="8">
        <v>0.1</v>
      </c>
      <c r="D221" s="9">
        <f>4*17</f>
        <v>68</v>
      </c>
      <c r="E221" s="8">
        <f>0.3*2</f>
        <v>0.6</v>
      </c>
      <c r="F221" s="13">
        <f t="shared" si="10"/>
        <v>4.08</v>
      </c>
      <c r="G221" s="21">
        <f>0.3*0.012*7850</f>
        <v>28.259999999999998</v>
      </c>
      <c r="H221" s="13">
        <f t="shared" si="12"/>
        <v>0.19</v>
      </c>
      <c r="I221" s="11" t="s">
        <v>342</v>
      </c>
    </row>
    <row r="222" spans="1:9" x14ac:dyDescent="0.15">
      <c r="A222" s="7" t="s">
        <v>336</v>
      </c>
      <c r="F222" s="13">
        <f t="shared" si="10"/>
        <v>0</v>
      </c>
      <c r="H222" s="13">
        <f t="shared" si="12"/>
        <v>0</v>
      </c>
    </row>
    <row r="223" spans="1:9" x14ac:dyDescent="0.15">
      <c r="A223" s="7" t="s">
        <v>189</v>
      </c>
      <c r="B223" s="7" t="s">
        <v>307</v>
      </c>
      <c r="C223" s="8">
        <v>2.65</v>
      </c>
      <c r="D223" s="9">
        <v>37</v>
      </c>
      <c r="E223" s="8">
        <f>0.148*2+0.1*4</f>
        <v>0.69599999999999995</v>
      </c>
      <c r="F223" s="13">
        <f t="shared" si="10"/>
        <v>68.239999999999995</v>
      </c>
      <c r="G223" s="21">
        <v>20.25</v>
      </c>
      <c r="H223" s="13">
        <f t="shared" si="12"/>
        <v>1.99</v>
      </c>
      <c r="I223" s="11" t="s">
        <v>341</v>
      </c>
    </row>
    <row r="224" spans="1:9" x14ac:dyDescent="0.15">
      <c r="A224" s="7" t="s">
        <v>199</v>
      </c>
      <c r="B224" s="7" t="s">
        <v>193</v>
      </c>
      <c r="C224" s="8">
        <f>2.65-0.125*2</f>
        <v>2.4</v>
      </c>
      <c r="D224" s="9">
        <v>16</v>
      </c>
      <c r="E224" s="8">
        <f>0.194*2+0.15*4</f>
        <v>0.98799999999999999</v>
      </c>
      <c r="F224" s="13">
        <f t="shared" si="10"/>
        <v>37.94</v>
      </c>
      <c r="G224" s="21">
        <v>29.48</v>
      </c>
      <c r="H224" s="13">
        <f t="shared" si="12"/>
        <v>1.1299999999999999</v>
      </c>
      <c r="I224" s="11" t="s">
        <v>341</v>
      </c>
    </row>
    <row r="225" spans="1:9" x14ac:dyDescent="0.15">
      <c r="A225" s="7" t="s">
        <v>213</v>
      </c>
      <c r="B225" s="7" t="s">
        <v>201</v>
      </c>
      <c r="C225" s="8">
        <f>2.65-0.125*2</f>
        <v>2.4</v>
      </c>
      <c r="D225" s="9">
        <v>1</v>
      </c>
      <c r="E225" s="8">
        <f>0.244*2+0.175*4</f>
        <v>1.1879999999999999</v>
      </c>
      <c r="F225" s="13">
        <f t="shared" si="10"/>
        <v>2.85</v>
      </c>
      <c r="G225" s="21">
        <v>42.42</v>
      </c>
      <c r="H225" s="13">
        <f t="shared" si="12"/>
        <v>0.1</v>
      </c>
      <c r="I225" s="11" t="s">
        <v>341</v>
      </c>
    </row>
    <row r="226" spans="1:9" x14ac:dyDescent="0.15">
      <c r="A226" s="7" t="s">
        <v>214</v>
      </c>
      <c r="B226" s="7" t="s">
        <v>309</v>
      </c>
      <c r="C226" s="8">
        <f>6.05+0.125</f>
        <v>6.1749999999999998</v>
      </c>
      <c r="D226" s="9">
        <v>4</v>
      </c>
      <c r="E226" s="8">
        <f t="shared" ref="E226:E233" si="15">0.294*2+0.2*4</f>
        <v>1.3879999999999999</v>
      </c>
      <c r="F226" s="13">
        <f t="shared" si="10"/>
        <v>34.28</v>
      </c>
      <c r="G226" s="21">
        <v>54.63</v>
      </c>
      <c r="H226" s="13">
        <f t="shared" si="12"/>
        <v>1.35</v>
      </c>
      <c r="I226" s="11" t="s">
        <v>341</v>
      </c>
    </row>
    <row r="227" spans="1:9" x14ac:dyDescent="0.15">
      <c r="C227" s="8">
        <v>6</v>
      </c>
      <c r="D227" s="9">
        <v>5</v>
      </c>
      <c r="E227" s="8">
        <f t="shared" si="15"/>
        <v>1.3879999999999999</v>
      </c>
      <c r="F227" s="13">
        <f t="shared" si="10"/>
        <v>41.64</v>
      </c>
      <c r="G227" s="21">
        <v>54.63</v>
      </c>
      <c r="H227" s="13">
        <f t="shared" si="12"/>
        <v>1.64</v>
      </c>
      <c r="I227" s="11" t="s">
        <v>341</v>
      </c>
    </row>
    <row r="228" spans="1:9" x14ac:dyDescent="0.15">
      <c r="C228" s="8">
        <v>5.4</v>
      </c>
      <c r="D228" s="9">
        <v>1</v>
      </c>
      <c r="E228" s="8">
        <f t="shared" si="15"/>
        <v>1.3879999999999999</v>
      </c>
      <c r="F228" s="13">
        <f t="shared" si="10"/>
        <v>7.5</v>
      </c>
      <c r="G228" s="21">
        <v>54.63</v>
      </c>
      <c r="H228" s="13">
        <f t="shared" si="12"/>
        <v>0.3</v>
      </c>
      <c r="I228" s="11" t="s">
        <v>341</v>
      </c>
    </row>
    <row r="229" spans="1:9" x14ac:dyDescent="0.15">
      <c r="C229" s="8">
        <v>6</v>
      </c>
      <c r="D229" s="9">
        <v>1</v>
      </c>
      <c r="E229" s="8">
        <f t="shared" si="15"/>
        <v>1.3879999999999999</v>
      </c>
      <c r="F229" s="13">
        <f t="shared" si="10"/>
        <v>8.33</v>
      </c>
      <c r="G229" s="21">
        <v>54.63</v>
      </c>
      <c r="H229" s="13">
        <f t="shared" si="12"/>
        <v>0.33</v>
      </c>
      <c r="I229" s="11" t="s">
        <v>341</v>
      </c>
    </row>
    <row r="230" spans="1:9" x14ac:dyDescent="0.15">
      <c r="C230" s="8">
        <v>5.4</v>
      </c>
      <c r="D230" s="9">
        <v>1</v>
      </c>
      <c r="E230" s="8">
        <f t="shared" si="15"/>
        <v>1.3879999999999999</v>
      </c>
      <c r="F230" s="13">
        <f t="shared" si="10"/>
        <v>7.5</v>
      </c>
      <c r="G230" s="21">
        <v>54.63</v>
      </c>
      <c r="H230" s="13">
        <f t="shared" si="12"/>
        <v>0.3</v>
      </c>
      <c r="I230" s="11" t="s">
        <v>341</v>
      </c>
    </row>
    <row r="231" spans="1:9" x14ac:dyDescent="0.15">
      <c r="C231" s="8">
        <f>6.05+0.125</f>
        <v>6.1749999999999998</v>
      </c>
      <c r="D231" s="9">
        <v>4</v>
      </c>
      <c r="E231" s="8">
        <f t="shared" si="15"/>
        <v>1.3879999999999999</v>
      </c>
      <c r="F231" s="13">
        <f t="shared" si="10"/>
        <v>34.28</v>
      </c>
      <c r="G231" s="21">
        <v>54.63</v>
      </c>
      <c r="H231" s="13">
        <f t="shared" si="12"/>
        <v>1.35</v>
      </c>
      <c r="I231" s="11" t="s">
        <v>341</v>
      </c>
    </row>
    <row r="232" spans="1:9" x14ac:dyDescent="0.15">
      <c r="C232" s="8">
        <v>6</v>
      </c>
      <c r="D232" s="9">
        <v>5</v>
      </c>
      <c r="E232" s="8">
        <f t="shared" si="15"/>
        <v>1.3879999999999999</v>
      </c>
      <c r="F232" s="13">
        <f t="shared" si="10"/>
        <v>41.64</v>
      </c>
      <c r="G232" s="21">
        <v>54.63</v>
      </c>
      <c r="H232" s="13">
        <f t="shared" si="12"/>
        <v>1.64</v>
      </c>
      <c r="I232" s="11" t="s">
        <v>341</v>
      </c>
    </row>
    <row r="233" spans="1:9" x14ac:dyDescent="0.15">
      <c r="C233" s="8">
        <v>5.4</v>
      </c>
      <c r="D233" s="9">
        <v>1</v>
      </c>
      <c r="E233" s="8">
        <f t="shared" si="15"/>
        <v>1.3879999999999999</v>
      </c>
      <c r="F233" s="13">
        <f t="shared" si="10"/>
        <v>7.5</v>
      </c>
      <c r="G233" s="21">
        <v>54.63</v>
      </c>
      <c r="H233" s="13">
        <f t="shared" si="12"/>
        <v>0.3</v>
      </c>
      <c r="I233" s="11" t="s">
        <v>341</v>
      </c>
    </row>
    <row r="234" spans="1:9" x14ac:dyDescent="0.15">
      <c r="A234" s="7" t="s">
        <v>317</v>
      </c>
      <c r="B234" s="7" t="s">
        <v>337</v>
      </c>
      <c r="C234" s="8">
        <v>2.65</v>
      </c>
      <c r="D234" s="9">
        <v>4</v>
      </c>
      <c r="E234" s="8">
        <v>6.1749999999999998</v>
      </c>
      <c r="F234" s="13">
        <f t="shared" si="10"/>
        <v>65.459999999999994</v>
      </c>
      <c r="G234" s="21">
        <f>6.175*0.006*7850</f>
        <v>290.84249999999997</v>
      </c>
      <c r="H234" s="13">
        <f t="shared" si="12"/>
        <v>3.08</v>
      </c>
      <c r="I234" s="11" t="s">
        <v>317</v>
      </c>
    </row>
    <row r="235" spans="1:9" x14ac:dyDescent="0.15">
      <c r="B235" s="7" t="s">
        <v>338</v>
      </c>
      <c r="C235" s="8">
        <v>2.65</v>
      </c>
      <c r="D235" s="9">
        <v>4</v>
      </c>
      <c r="E235" s="8">
        <v>6</v>
      </c>
      <c r="F235" s="13">
        <f t="shared" si="10"/>
        <v>63.6</v>
      </c>
      <c r="G235" s="21">
        <f>6*0.006*7850</f>
        <v>282.60000000000002</v>
      </c>
      <c r="H235" s="13">
        <f t="shared" si="12"/>
        <v>3</v>
      </c>
      <c r="I235" s="11" t="s">
        <v>317</v>
      </c>
    </row>
    <row r="236" spans="1:9" x14ac:dyDescent="0.15">
      <c r="B236" s="7" t="s">
        <v>339</v>
      </c>
      <c r="C236" s="8">
        <v>2.65</v>
      </c>
      <c r="D236" s="9">
        <v>3</v>
      </c>
      <c r="E236" s="8">
        <v>5.4</v>
      </c>
      <c r="F236" s="13">
        <f t="shared" si="10"/>
        <v>42.93</v>
      </c>
      <c r="G236" s="21">
        <f>5.4*0.006*7850</f>
        <v>254.34000000000003</v>
      </c>
      <c r="H236" s="13">
        <f t="shared" si="12"/>
        <v>2.02</v>
      </c>
      <c r="I236" s="11" t="s">
        <v>317</v>
      </c>
    </row>
    <row r="237" spans="1:9" x14ac:dyDescent="0.15">
      <c r="A237" s="7" t="s">
        <v>229</v>
      </c>
      <c r="B237" s="7" t="s">
        <v>315</v>
      </c>
      <c r="C237" s="8">
        <v>1.2350000000000001</v>
      </c>
      <c r="D237" s="9">
        <f>(ROUNDUP(2.65/1.5,0)-1)*20</f>
        <v>20</v>
      </c>
      <c r="E237" s="8">
        <f>0.126*2+0.053*2</f>
        <v>0.35799999999999998</v>
      </c>
      <c r="F237" s="13">
        <f t="shared" si="10"/>
        <v>8.84</v>
      </c>
      <c r="G237" s="21">
        <v>12.4</v>
      </c>
      <c r="H237" s="13">
        <f t="shared" si="12"/>
        <v>0.31</v>
      </c>
      <c r="I237" s="11" t="s">
        <v>317</v>
      </c>
    </row>
    <row r="238" spans="1:9" x14ac:dyDescent="0.15">
      <c r="C238" s="8">
        <v>1.5</v>
      </c>
      <c r="D238" s="9">
        <f>(ROUNDUP(2.65/1.5,0)-1)*16</f>
        <v>16</v>
      </c>
      <c r="E238" s="8">
        <f>0.126*2+0.053*2</f>
        <v>0.35799999999999998</v>
      </c>
      <c r="F238" s="13">
        <f t="shared" si="10"/>
        <v>8.59</v>
      </c>
      <c r="G238" s="21">
        <v>12.4</v>
      </c>
      <c r="H238" s="13">
        <f t="shared" si="12"/>
        <v>0.3</v>
      </c>
      <c r="I238" s="11" t="s">
        <v>317</v>
      </c>
    </row>
    <row r="239" spans="1:9" x14ac:dyDescent="0.15">
      <c r="C239" s="8">
        <v>1.35</v>
      </c>
      <c r="D239" s="9">
        <f>(ROUNDUP(2.65/1.5,0)-1)*12</f>
        <v>12</v>
      </c>
      <c r="E239" s="8">
        <f>0.126*2+0.053*2</f>
        <v>0.35799999999999998</v>
      </c>
      <c r="F239" s="13">
        <f t="shared" si="10"/>
        <v>5.8</v>
      </c>
      <c r="G239" s="21">
        <v>12.4</v>
      </c>
      <c r="H239" s="13">
        <f t="shared" si="12"/>
        <v>0.2</v>
      </c>
      <c r="I239" s="11" t="s">
        <v>317</v>
      </c>
    </row>
    <row r="240" spans="1:9" x14ac:dyDescent="0.15">
      <c r="B240" s="7" t="s">
        <v>312</v>
      </c>
      <c r="C240" s="8">
        <v>1.2350000000000001</v>
      </c>
      <c r="D240" s="9">
        <f>(ROUNDUP(2.65/0.5,0)-1)*20-D237</f>
        <v>80</v>
      </c>
      <c r="E240" s="8">
        <f>0.063*4</f>
        <v>0.252</v>
      </c>
      <c r="F240" s="13">
        <f t="shared" si="10"/>
        <v>24.9</v>
      </c>
      <c r="G240" s="21">
        <v>4.82</v>
      </c>
      <c r="H240" s="13">
        <f t="shared" si="12"/>
        <v>0.48</v>
      </c>
      <c r="I240" s="11" t="s">
        <v>317</v>
      </c>
    </row>
    <row r="241" spans="1:9" x14ac:dyDescent="0.15">
      <c r="C241" s="8">
        <v>1.5</v>
      </c>
      <c r="D241" s="9">
        <f>(ROUNDUP(2.65/0.5,0)-1)*16-D238</f>
        <v>64</v>
      </c>
      <c r="E241" s="8">
        <f>0.063*4</f>
        <v>0.252</v>
      </c>
      <c r="F241" s="13">
        <f t="shared" si="10"/>
        <v>24.19</v>
      </c>
      <c r="G241" s="21">
        <v>4.82</v>
      </c>
      <c r="H241" s="13">
        <f t="shared" si="12"/>
        <v>0.46</v>
      </c>
      <c r="I241" s="11" t="s">
        <v>317</v>
      </c>
    </row>
    <row r="242" spans="1:9" x14ac:dyDescent="0.15">
      <c r="C242" s="8">
        <v>1.35</v>
      </c>
      <c r="D242" s="9">
        <f>(ROUNDUP(2.65/0.5,0)-1)*12-D239</f>
        <v>48</v>
      </c>
      <c r="E242" s="8">
        <f>0.063*4</f>
        <v>0.252</v>
      </c>
      <c r="F242" s="13">
        <f t="shared" si="10"/>
        <v>16.329999999999998</v>
      </c>
      <c r="G242" s="21">
        <v>4.82</v>
      </c>
      <c r="H242" s="13">
        <f t="shared" si="12"/>
        <v>0.31</v>
      </c>
      <c r="I242" s="11" t="s">
        <v>317</v>
      </c>
    </row>
    <row r="243" spans="1:9" x14ac:dyDescent="0.15">
      <c r="A243" s="7" t="s">
        <v>340</v>
      </c>
      <c r="F243" s="13">
        <f>SUBTOTAL(109,F2:F242)</f>
        <v>2316.1600000000003</v>
      </c>
      <c r="H243" s="13">
        <f>SUBTOTAL(109,H2:H242)</f>
        <v>94.679999999999964</v>
      </c>
    </row>
  </sheetData>
  <phoneticPr fontId="3" type="noConversion"/>
  <conditionalFormatting sqref="A1:I1048576">
    <cfRule type="expression" dxfId="24" priority="1">
      <formula>(ROW()=1)+($A1="汇总")</formula>
    </cfRule>
    <cfRule type="expression" dxfId="23" priority="2">
      <formula>(ROW()&gt;1)*($A1&lt;&gt;"汇总")*(MOD(ROW(),2)=0)*($A1&lt;&gt;"")*($B1&amp;$C1&amp;$D1&amp;$E1&amp;$G1&amp;$I1="")</formula>
    </cfRule>
    <cfRule type="expression" dxfId="22" priority="3">
      <formula>(ROW()&gt;1)*($A1&lt;&gt;"汇总")*(MOD(ROW(),2)=0)*($B1&amp;$C1&amp;$D1&amp;$E1&amp;$G1&amp;$I1&lt;&gt;"")</formula>
    </cfRule>
    <cfRule type="expression" dxfId="21" priority="4">
      <formula>(ROW()&gt;1)*($A1&lt;&gt;"汇总")*(MOD(ROW(),2)=1)*($A1&lt;&gt;"")*($B1&amp;$C1&amp;$D1&amp;$E1&amp;$G1&amp;$I1="")</formula>
    </cfRule>
    <cfRule type="expression" dxfId="2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pane ySplit="1" topLeftCell="A2" activePane="bottomLeft" state="frozen"/>
      <selection sqref="A1:F1"/>
      <selection pane="bottomLeft" activeCell="H27" sqref="H27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658</v>
      </c>
      <c r="F2" s="13">
        <f t="shared" ref="F2:F26" si="0">ROUND(PRODUCT($C2:$E2),2)</f>
        <v>0</v>
      </c>
      <c r="H2" s="13">
        <f t="shared" ref="H2:H26" si="1">ROUND(PRODUCT($C2:$D2,$G2)*0.001,2)</f>
        <v>0</v>
      </c>
    </row>
    <row r="3" spans="1:9" x14ac:dyDescent="0.15">
      <c r="A3" s="7" t="s">
        <v>659</v>
      </c>
      <c r="B3" s="7" t="s">
        <v>683</v>
      </c>
      <c r="C3" s="8">
        <f>6.5-0.58</f>
        <v>5.92</v>
      </c>
      <c r="D3" s="9">
        <v>5</v>
      </c>
      <c r="E3" s="8">
        <f>0.3*2+0.3*4</f>
        <v>1.7999999999999998</v>
      </c>
      <c r="F3" s="13">
        <f t="shared" si="0"/>
        <v>53.28</v>
      </c>
      <c r="G3" s="21">
        <v>91.84</v>
      </c>
      <c r="H3" s="13">
        <f t="shared" si="1"/>
        <v>2.72</v>
      </c>
      <c r="I3" s="11" t="s">
        <v>658</v>
      </c>
    </row>
    <row r="4" spans="1:9" x14ac:dyDescent="0.15">
      <c r="C4" s="8">
        <f>6.9-0.58</f>
        <v>6.32</v>
      </c>
      <c r="D4" s="9">
        <v>5</v>
      </c>
      <c r="E4" s="8">
        <f>0.3*2+0.3*4</f>
        <v>1.7999999999999998</v>
      </c>
      <c r="F4" s="13">
        <f t="shared" si="0"/>
        <v>56.88</v>
      </c>
      <c r="G4" s="21">
        <v>91.84</v>
      </c>
      <c r="H4" s="13">
        <f t="shared" si="1"/>
        <v>2.9</v>
      </c>
      <c r="I4" s="11" t="s">
        <v>724</v>
      </c>
    </row>
    <row r="5" spans="1:9" x14ac:dyDescent="0.15">
      <c r="A5" s="7" t="s">
        <v>343</v>
      </c>
      <c r="F5" s="13">
        <f t="shared" si="0"/>
        <v>0</v>
      </c>
      <c r="H5" s="13">
        <f t="shared" si="1"/>
        <v>0</v>
      </c>
    </row>
    <row r="6" spans="1:9" x14ac:dyDescent="0.15">
      <c r="A6" s="7" t="s">
        <v>348</v>
      </c>
      <c r="B6" s="7" t="s">
        <v>725</v>
      </c>
      <c r="C6" s="8">
        <v>6</v>
      </c>
      <c r="D6" s="9">
        <v>2</v>
      </c>
      <c r="E6" s="8">
        <f>0.194*2+0.15*4</f>
        <v>0.98799999999999999</v>
      </c>
      <c r="F6" s="13">
        <f t="shared" si="0"/>
        <v>11.86</v>
      </c>
      <c r="G6" s="21">
        <v>29.48</v>
      </c>
      <c r="H6" s="13">
        <f t="shared" si="1"/>
        <v>0.35</v>
      </c>
      <c r="I6" s="11" t="s">
        <v>666</v>
      </c>
    </row>
    <row r="7" spans="1:9" x14ac:dyDescent="0.15">
      <c r="A7" s="7" t="s">
        <v>200</v>
      </c>
      <c r="B7" s="7" t="s">
        <v>726</v>
      </c>
      <c r="C7" s="8">
        <f>6-0.15*2</f>
        <v>5.7</v>
      </c>
      <c r="D7" s="9">
        <v>5</v>
      </c>
      <c r="E7" s="8">
        <f>0.244*2+0.175*4</f>
        <v>1.1879999999999999</v>
      </c>
      <c r="F7" s="13">
        <f t="shared" si="0"/>
        <v>33.86</v>
      </c>
      <c r="G7" s="21">
        <v>42.42</v>
      </c>
      <c r="H7" s="13">
        <f t="shared" si="1"/>
        <v>1.21</v>
      </c>
      <c r="I7" s="11" t="s">
        <v>666</v>
      </c>
    </row>
    <row r="8" spans="1:9" x14ac:dyDescent="0.15">
      <c r="C8" s="8">
        <v>6</v>
      </c>
      <c r="D8" s="9">
        <v>8</v>
      </c>
      <c r="E8" s="8">
        <f>0.244*2+0.175*4</f>
        <v>1.1879999999999999</v>
      </c>
      <c r="F8" s="13">
        <f t="shared" si="0"/>
        <v>57.02</v>
      </c>
      <c r="G8" s="21">
        <v>42.42</v>
      </c>
      <c r="H8" s="13">
        <f t="shared" si="1"/>
        <v>2.04</v>
      </c>
      <c r="I8" s="11" t="s">
        <v>665</v>
      </c>
    </row>
    <row r="9" spans="1:9" x14ac:dyDescent="0.15">
      <c r="A9" s="7" t="s">
        <v>349</v>
      </c>
      <c r="F9" s="13">
        <f t="shared" si="0"/>
        <v>0</v>
      </c>
      <c r="H9" s="13">
        <f t="shared" si="1"/>
        <v>0</v>
      </c>
    </row>
    <row r="10" spans="1:9" x14ac:dyDescent="0.15">
      <c r="A10" s="7" t="s">
        <v>723</v>
      </c>
      <c r="B10" s="7" t="s">
        <v>194</v>
      </c>
      <c r="C10" s="8">
        <v>6</v>
      </c>
      <c r="D10" s="9">
        <v>1</v>
      </c>
      <c r="E10" s="8">
        <f>0.194*2+0.15*4</f>
        <v>0.98799999999999999</v>
      </c>
      <c r="F10" s="13">
        <f t="shared" si="0"/>
        <v>5.93</v>
      </c>
      <c r="G10" s="21">
        <v>29.48</v>
      </c>
      <c r="H10" s="13">
        <f t="shared" si="1"/>
        <v>0.18</v>
      </c>
      <c r="I10" s="11" t="s">
        <v>665</v>
      </c>
    </row>
    <row r="11" spans="1:9" x14ac:dyDescent="0.15">
      <c r="C11" s="8">
        <v>6</v>
      </c>
      <c r="D11" s="9">
        <v>2</v>
      </c>
      <c r="E11" s="8">
        <f>0.194*2+0.15*4</f>
        <v>0.98799999999999999</v>
      </c>
      <c r="F11" s="13">
        <f t="shared" si="0"/>
        <v>11.86</v>
      </c>
      <c r="G11" s="21">
        <v>29.48</v>
      </c>
      <c r="H11" s="13">
        <f t="shared" si="1"/>
        <v>0.35</v>
      </c>
      <c r="I11" s="11" t="s">
        <v>667</v>
      </c>
    </row>
    <row r="12" spans="1:9" x14ac:dyDescent="0.15">
      <c r="A12" s="7" t="s">
        <v>200</v>
      </c>
      <c r="B12" s="7" t="s">
        <v>700</v>
      </c>
      <c r="C12" s="8">
        <f>6-0.15*2</f>
        <v>5.7</v>
      </c>
      <c r="D12" s="9">
        <v>4</v>
      </c>
      <c r="E12" s="8">
        <f>0.244*2+0.175*4</f>
        <v>1.1879999999999999</v>
      </c>
      <c r="F12" s="13">
        <f t="shared" si="0"/>
        <v>27.09</v>
      </c>
      <c r="G12" s="21">
        <v>42.42</v>
      </c>
      <c r="H12" s="13">
        <f t="shared" si="1"/>
        <v>0.97</v>
      </c>
      <c r="I12" s="11" t="s">
        <v>667</v>
      </c>
    </row>
    <row r="13" spans="1:9" x14ac:dyDescent="0.15">
      <c r="C13" s="8">
        <v>6</v>
      </c>
      <c r="D13" s="9">
        <v>7</v>
      </c>
      <c r="E13" s="8">
        <f>0.244*2+0.175*4</f>
        <v>1.1879999999999999</v>
      </c>
      <c r="F13" s="13">
        <f t="shared" si="0"/>
        <v>49.9</v>
      </c>
      <c r="G13" s="21">
        <v>42.42</v>
      </c>
      <c r="H13" s="13">
        <f t="shared" si="1"/>
        <v>1.78</v>
      </c>
      <c r="I13" s="11" t="s">
        <v>665</v>
      </c>
    </row>
    <row r="14" spans="1:9" x14ac:dyDescent="0.15">
      <c r="A14" s="7" t="s">
        <v>350</v>
      </c>
      <c r="F14" s="13">
        <f t="shared" si="0"/>
        <v>0</v>
      </c>
      <c r="H14" s="13">
        <f t="shared" si="1"/>
        <v>0</v>
      </c>
    </row>
    <row r="15" spans="1:9" x14ac:dyDescent="0.15">
      <c r="A15" s="7" t="s">
        <v>348</v>
      </c>
      <c r="B15" s="7" t="s">
        <v>194</v>
      </c>
      <c r="C15" s="8">
        <f>6-0.15*2</f>
        <v>5.7</v>
      </c>
      <c r="D15" s="9">
        <v>5</v>
      </c>
      <c r="E15" s="8">
        <f t="shared" ref="E15:E20" si="2">0.194*2+0.15*4</f>
        <v>0.98799999999999999</v>
      </c>
      <c r="F15" s="13">
        <f t="shared" si="0"/>
        <v>28.16</v>
      </c>
      <c r="G15" s="21">
        <v>29.48</v>
      </c>
      <c r="H15" s="13">
        <f t="shared" si="1"/>
        <v>0.84</v>
      </c>
      <c r="I15" s="11" t="s">
        <v>665</v>
      </c>
    </row>
    <row r="16" spans="1:9" x14ac:dyDescent="0.15">
      <c r="C16" s="8">
        <v>7.8</v>
      </c>
      <c r="D16" s="9">
        <v>2</v>
      </c>
      <c r="E16" s="8">
        <f t="shared" si="2"/>
        <v>0.98799999999999999</v>
      </c>
      <c r="F16" s="13">
        <f t="shared" si="0"/>
        <v>15.41</v>
      </c>
      <c r="G16" s="21">
        <v>29.48</v>
      </c>
      <c r="H16" s="13">
        <f t="shared" si="1"/>
        <v>0.46</v>
      </c>
      <c r="I16" s="11" t="s">
        <v>668</v>
      </c>
    </row>
    <row r="17" spans="1:9" x14ac:dyDescent="0.15">
      <c r="C17" s="8">
        <f>0.9-0.15</f>
        <v>0.75</v>
      </c>
      <c r="D17" s="9">
        <v>10</v>
      </c>
      <c r="E17" s="8">
        <f t="shared" si="2"/>
        <v>0.98799999999999999</v>
      </c>
      <c r="F17" s="13">
        <f t="shared" si="0"/>
        <v>7.41</v>
      </c>
      <c r="G17" s="21">
        <v>29.48</v>
      </c>
      <c r="H17" s="13">
        <f t="shared" si="1"/>
        <v>0.22</v>
      </c>
      <c r="I17" s="11" t="s">
        <v>354</v>
      </c>
    </row>
    <row r="18" spans="1:9" x14ac:dyDescent="0.15">
      <c r="C18" s="8">
        <v>6</v>
      </c>
      <c r="D18" s="9">
        <v>12</v>
      </c>
      <c r="E18" s="8">
        <f t="shared" si="2"/>
        <v>0.98799999999999999</v>
      </c>
      <c r="F18" s="13">
        <f t="shared" si="0"/>
        <v>71.14</v>
      </c>
      <c r="G18" s="21">
        <v>29.48</v>
      </c>
      <c r="H18" s="13">
        <f t="shared" si="1"/>
        <v>2.12</v>
      </c>
      <c r="I18" s="11" t="s">
        <v>676</v>
      </c>
    </row>
    <row r="19" spans="1:9" x14ac:dyDescent="0.15">
      <c r="C19" s="8">
        <v>0.9</v>
      </c>
      <c r="D19" s="9">
        <v>4</v>
      </c>
      <c r="E19" s="8">
        <f t="shared" si="2"/>
        <v>0.98799999999999999</v>
      </c>
      <c r="F19" s="13">
        <f t="shared" si="0"/>
        <v>3.56</v>
      </c>
      <c r="G19" s="21">
        <v>29.48</v>
      </c>
      <c r="H19" s="13">
        <f t="shared" si="1"/>
        <v>0.11</v>
      </c>
      <c r="I19" s="11" t="s">
        <v>668</v>
      </c>
    </row>
    <row r="20" spans="1:9" x14ac:dyDescent="0.15">
      <c r="C20" s="8">
        <v>6.9</v>
      </c>
      <c r="D20" s="9">
        <v>4</v>
      </c>
      <c r="E20" s="8">
        <f t="shared" si="2"/>
        <v>0.98799999999999999</v>
      </c>
      <c r="F20" s="13">
        <f t="shared" si="0"/>
        <v>27.27</v>
      </c>
      <c r="G20" s="21">
        <v>29.48</v>
      </c>
      <c r="H20" s="13">
        <f t="shared" si="1"/>
        <v>0.81</v>
      </c>
      <c r="I20" s="11" t="s">
        <v>668</v>
      </c>
    </row>
    <row r="21" spans="1:9" x14ac:dyDescent="0.15">
      <c r="A21" s="7" t="s">
        <v>351</v>
      </c>
      <c r="B21" s="7" t="s">
        <v>727</v>
      </c>
      <c r="C21" s="8">
        <f>(6^2+6^2)^0.5</f>
        <v>8.4852813742385695</v>
      </c>
      <c r="D21" s="9">
        <v>2</v>
      </c>
      <c r="E21" s="8">
        <f>0.11*4</f>
        <v>0.44</v>
      </c>
      <c r="F21" s="13">
        <f t="shared" si="0"/>
        <v>7.47</v>
      </c>
      <c r="G21" s="21">
        <v>13.5</v>
      </c>
      <c r="H21" s="13">
        <f t="shared" si="1"/>
        <v>0.23</v>
      </c>
      <c r="I21" s="11" t="s">
        <v>728</v>
      </c>
    </row>
    <row r="22" spans="1:9" x14ac:dyDescent="0.15">
      <c r="A22" s="7" t="s">
        <v>84</v>
      </c>
      <c r="F22" s="13">
        <f t="shared" si="0"/>
        <v>0</v>
      </c>
      <c r="H22" s="13">
        <f t="shared" si="1"/>
        <v>0</v>
      </c>
    </row>
    <row r="23" spans="1:9" x14ac:dyDescent="0.15">
      <c r="A23" s="7" t="s">
        <v>191</v>
      </c>
      <c r="B23" s="7" t="s">
        <v>669</v>
      </c>
      <c r="C23" s="8">
        <v>25.8</v>
      </c>
      <c r="D23" s="9">
        <v>9</v>
      </c>
      <c r="E23" s="8">
        <f>0.25*2+0.075*4+0.02*4</f>
        <v>0.88</v>
      </c>
      <c r="F23" s="13">
        <f t="shared" si="0"/>
        <v>204.34</v>
      </c>
      <c r="G23" s="21">
        <v>8.43</v>
      </c>
      <c r="H23" s="13">
        <f t="shared" si="1"/>
        <v>1.96</v>
      </c>
      <c r="I23" s="11" t="s">
        <v>670</v>
      </c>
    </row>
    <row r="24" spans="1:9" x14ac:dyDescent="0.15">
      <c r="A24" s="7" t="s">
        <v>729</v>
      </c>
      <c r="B24" s="7" t="s">
        <v>97</v>
      </c>
      <c r="C24" s="8">
        <v>6</v>
      </c>
      <c r="D24" s="9">
        <v>4</v>
      </c>
      <c r="E24" s="8">
        <f>PI()*0.012</f>
        <v>3.7699111843077518E-2</v>
      </c>
      <c r="F24" s="13">
        <f t="shared" si="0"/>
        <v>0.9</v>
      </c>
      <c r="G24" s="21">
        <v>0.88800000000000001</v>
      </c>
      <c r="H24" s="13">
        <f t="shared" si="1"/>
        <v>0.02</v>
      </c>
      <c r="I24" s="11" t="s">
        <v>107</v>
      </c>
    </row>
    <row r="25" spans="1:9" x14ac:dyDescent="0.15">
      <c r="A25" s="7" t="s">
        <v>730</v>
      </c>
      <c r="B25" s="7" t="s">
        <v>656</v>
      </c>
      <c r="C25" s="8">
        <v>3.2</v>
      </c>
      <c r="D25" s="9">
        <v>16</v>
      </c>
      <c r="E25" s="8">
        <f>PI()*0.012</f>
        <v>3.7699111843077518E-2</v>
      </c>
      <c r="F25" s="13">
        <f t="shared" si="0"/>
        <v>1.93</v>
      </c>
      <c r="G25" s="21">
        <v>0.88800000000000001</v>
      </c>
      <c r="H25" s="13">
        <f t="shared" si="1"/>
        <v>0.05</v>
      </c>
      <c r="I25" s="11" t="s">
        <v>620</v>
      </c>
    </row>
    <row r="26" spans="1:9" x14ac:dyDescent="0.15">
      <c r="A26" s="7" t="s">
        <v>92</v>
      </c>
      <c r="B26" s="7" t="s">
        <v>99</v>
      </c>
      <c r="C26" s="8">
        <v>0.9</v>
      </c>
      <c r="D26" s="9">
        <v>8</v>
      </c>
      <c r="E26" s="8">
        <f>PI()*0.032</f>
        <v>0.10053096491487339</v>
      </c>
      <c r="F26" s="13">
        <f t="shared" si="0"/>
        <v>0.72</v>
      </c>
      <c r="G26" s="21">
        <v>1.819</v>
      </c>
      <c r="H26" s="13">
        <f t="shared" si="1"/>
        <v>0.01</v>
      </c>
      <c r="I26" s="11" t="s">
        <v>621</v>
      </c>
    </row>
    <row r="27" spans="1:9" x14ac:dyDescent="0.15">
      <c r="A27" s="7" t="s">
        <v>353</v>
      </c>
      <c r="F27" s="13">
        <f>SUBTOTAL(109,F2:F26)</f>
        <v>675.99</v>
      </c>
      <c r="H27" s="13">
        <f>SUBTOTAL(109,H2:H26)</f>
        <v>19.330000000000002</v>
      </c>
    </row>
  </sheetData>
  <phoneticPr fontId="3" type="noConversion"/>
  <conditionalFormatting sqref="A1:I1048576">
    <cfRule type="expression" dxfId="19" priority="1">
      <formula>(ROW()=1)+($A1="汇总")</formula>
    </cfRule>
    <cfRule type="expression" dxfId="18" priority="2">
      <formula>(ROW()&gt;1)*($A1&lt;&gt;"汇总")*(MOD(ROW(),2)=0)*($A1&lt;&gt;"")*($B1&amp;$C1&amp;$D1&amp;$E1&amp;$G1&amp;$I1="")</formula>
    </cfRule>
    <cfRule type="expression" dxfId="17" priority="3">
      <formula>(ROW()&gt;1)*($A1&lt;&gt;"汇总")*(MOD(ROW(),2)=0)*($B1&amp;$C1&amp;$D1&amp;$E1&amp;$G1&amp;$I1&lt;&gt;"")</formula>
    </cfRule>
    <cfRule type="expression" dxfId="16" priority="4">
      <formula>(ROW()&gt;1)*($A1&lt;&gt;"汇总")*(MOD(ROW(),2)=1)*($A1&lt;&gt;"")*($B1&amp;$C1&amp;$D1&amp;$E1&amp;$G1&amp;$I1="")</formula>
    </cfRule>
    <cfRule type="expression" dxfId="1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ySplit="1" topLeftCell="A2" activePane="bottomLeft" state="frozen"/>
      <selection sqref="A1:F1"/>
      <selection pane="bottomLeft" activeCell="H31" sqref="H31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658</v>
      </c>
      <c r="F2" s="13">
        <f t="shared" ref="F2:F30" si="0">ROUND(PRODUCT($C2:$E2),2)</f>
        <v>0</v>
      </c>
      <c r="H2" s="13">
        <f t="shared" ref="H2:H30" si="1">ROUND(PRODUCT($C2:$D2,$G2)*0.001,2)</f>
        <v>0</v>
      </c>
    </row>
    <row r="3" spans="1:9" x14ac:dyDescent="0.15">
      <c r="A3" s="7" t="s">
        <v>659</v>
      </c>
      <c r="B3" s="7" t="s">
        <v>731</v>
      </c>
      <c r="C3" s="8">
        <f>7.5-0.58</f>
        <v>6.92</v>
      </c>
      <c r="D3" s="9">
        <v>8</v>
      </c>
      <c r="E3" s="8">
        <f>0.35*2+0.35*4</f>
        <v>2.0999999999999996</v>
      </c>
      <c r="F3" s="13">
        <f t="shared" si="0"/>
        <v>116.26</v>
      </c>
      <c r="G3" s="21">
        <v>133.79</v>
      </c>
      <c r="H3" s="13">
        <f t="shared" si="1"/>
        <v>7.41</v>
      </c>
      <c r="I3" s="11" t="s">
        <v>658</v>
      </c>
    </row>
    <row r="4" spans="1:9" x14ac:dyDescent="0.15">
      <c r="C4" s="8">
        <f>7.5-0.58+0.218</f>
        <v>7.1379999999999999</v>
      </c>
      <c r="D4" s="9">
        <v>8</v>
      </c>
      <c r="E4" s="8">
        <f>0.35*2+0.35*4</f>
        <v>2.0999999999999996</v>
      </c>
      <c r="F4" s="13">
        <f t="shared" si="0"/>
        <v>119.92</v>
      </c>
      <c r="G4" s="21">
        <v>133.79</v>
      </c>
      <c r="H4" s="13">
        <f t="shared" si="1"/>
        <v>7.64</v>
      </c>
      <c r="I4" s="11" t="s">
        <v>732</v>
      </c>
    </row>
    <row r="5" spans="1:9" ht="28.5" x14ac:dyDescent="0.15">
      <c r="A5" s="7" t="s">
        <v>356</v>
      </c>
      <c r="F5" s="13">
        <f t="shared" si="0"/>
        <v>0</v>
      </c>
      <c r="H5" s="13">
        <f t="shared" si="1"/>
        <v>0</v>
      </c>
    </row>
    <row r="6" spans="1:9" x14ac:dyDescent="0.15">
      <c r="A6" s="7" t="s">
        <v>198</v>
      </c>
      <c r="B6" s="7" t="s">
        <v>733</v>
      </c>
      <c r="C6" s="8">
        <v>2</v>
      </c>
      <c r="D6" s="9">
        <v>2</v>
      </c>
      <c r="E6" s="8">
        <f>0.148*2+0.1*4</f>
        <v>0.69599999999999995</v>
      </c>
      <c r="F6" s="13">
        <f t="shared" si="0"/>
        <v>2.78</v>
      </c>
      <c r="G6" s="21">
        <v>20.25</v>
      </c>
      <c r="H6" s="13">
        <f t="shared" si="1"/>
        <v>0.08</v>
      </c>
      <c r="I6" s="11" t="s">
        <v>734</v>
      </c>
    </row>
    <row r="7" spans="1:9" x14ac:dyDescent="0.15">
      <c r="C7" s="8">
        <v>1.5</v>
      </c>
      <c r="D7" s="9">
        <v>4</v>
      </c>
      <c r="E7" s="8">
        <f>0.148*2+0.1*4</f>
        <v>0.69599999999999995</v>
      </c>
      <c r="F7" s="13">
        <f t="shared" si="0"/>
        <v>4.18</v>
      </c>
      <c r="G7" s="21">
        <v>20.25</v>
      </c>
      <c r="H7" s="13">
        <f t="shared" si="1"/>
        <v>0.12</v>
      </c>
      <c r="I7" s="11" t="s">
        <v>668</v>
      </c>
    </row>
    <row r="8" spans="1:9" x14ac:dyDescent="0.15">
      <c r="A8" s="7" t="s">
        <v>199</v>
      </c>
      <c r="B8" s="7" t="s">
        <v>735</v>
      </c>
      <c r="C8" s="8">
        <v>6</v>
      </c>
      <c r="D8" s="9">
        <v>3</v>
      </c>
      <c r="E8" s="8">
        <f>0.194*2+0.15*4</f>
        <v>0.98799999999999999</v>
      </c>
      <c r="F8" s="13">
        <f t="shared" si="0"/>
        <v>17.78</v>
      </c>
      <c r="G8" s="21">
        <v>29.48</v>
      </c>
      <c r="H8" s="13">
        <f t="shared" si="1"/>
        <v>0.53</v>
      </c>
      <c r="I8" s="11" t="s">
        <v>668</v>
      </c>
    </row>
    <row r="9" spans="1:9" x14ac:dyDescent="0.15">
      <c r="C9" s="8">
        <f>4-0.175*2</f>
        <v>3.65</v>
      </c>
      <c r="D9" s="9">
        <v>12</v>
      </c>
      <c r="E9" s="8">
        <f>0.194*2+0.15*4</f>
        <v>0.98799999999999999</v>
      </c>
      <c r="F9" s="13">
        <f t="shared" si="0"/>
        <v>43.27</v>
      </c>
      <c r="G9" s="21">
        <v>29.48</v>
      </c>
      <c r="H9" s="13">
        <f t="shared" si="1"/>
        <v>1.29</v>
      </c>
      <c r="I9" s="11" t="s">
        <v>665</v>
      </c>
    </row>
    <row r="10" spans="1:9" x14ac:dyDescent="0.15">
      <c r="A10" s="7" t="s">
        <v>736</v>
      </c>
      <c r="B10" s="7" t="s">
        <v>201</v>
      </c>
      <c r="C10" s="8">
        <v>6</v>
      </c>
      <c r="D10" s="9">
        <v>6</v>
      </c>
      <c r="E10" s="8">
        <f>0.244*2+0.175*4</f>
        <v>1.1879999999999999</v>
      </c>
      <c r="F10" s="13">
        <f t="shared" si="0"/>
        <v>42.77</v>
      </c>
      <c r="G10" s="21">
        <v>42.42</v>
      </c>
      <c r="H10" s="13">
        <f t="shared" si="1"/>
        <v>1.53</v>
      </c>
      <c r="I10" s="11" t="s">
        <v>665</v>
      </c>
    </row>
    <row r="11" spans="1:9" x14ac:dyDescent="0.15">
      <c r="A11" s="7" t="s">
        <v>214</v>
      </c>
      <c r="B11" s="7" t="s">
        <v>222</v>
      </c>
      <c r="C11" s="8">
        <v>6</v>
      </c>
      <c r="D11" s="9">
        <v>6</v>
      </c>
      <c r="E11" s="8">
        <f>0.294*2+0.2*4</f>
        <v>1.3879999999999999</v>
      </c>
      <c r="F11" s="13">
        <f t="shared" si="0"/>
        <v>49.97</v>
      </c>
      <c r="G11" s="21">
        <v>54.63</v>
      </c>
      <c r="H11" s="13">
        <f t="shared" si="1"/>
        <v>1.97</v>
      </c>
      <c r="I11" s="11" t="s">
        <v>665</v>
      </c>
    </row>
    <row r="12" spans="1:9" x14ac:dyDescent="0.15">
      <c r="A12" s="7" t="s">
        <v>357</v>
      </c>
      <c r="B12" s="7" t="s">
        <v>664</v>
      </c>
      <c r="C12" s="8">
        <v>1.35</v>
      </c>
      <c r="D12" s="9">
        <v>1</v>
      </c>
      <c r="E12" s="8">
        <f>0.194*2+0.15*4</f>
        <v>0.98799999999999999</v>
      </c>
      <c r="F12" s="13">
        <f t="shared" si="0"/>
        <v>1.33</v>
      </c>
      <c r="G12" s="21">
        <v>29.48</v>
      </c>
      <c r="H12" s="13">
        <f t="shared" si="1"/>
        <v>0.04</v>
      </c>
      <c r="I12" s="11" t="s">
        <v>665</v>
      </c>
    </row>
    <row r="13" spans="1:9" x14ac:dyDescent="0.15">
      <c r="B13" s="7" t="s">
        <v>359</v>
      </c>
      <c r="C13" s="8">
        <f>1.35*2^0.5</f>
        <v>1.9091883092036785</v>
      </c>
      <c r="D13" s="9">
        <v>1</v>
      </c>
      <c r="E13" s="8">
        <f>0.14*2+0.08*4</f>
        <v>0.60000000000000009</v>
      </c>
      <c r="F13" s="13">
        <f t="shared" si="0"/>
        <v>1.1499999999999999</v>
      </c>
      <c r="G13" s="21">
        <v>16.899999999999999</v>
      </c>
      <c r="H13" s="13">
        <f t="shared" si="1"/>
        <v>0.03</v>
      </c>
      <c r="I13" s="11" t="s">
        <v>665</v>
      </c>
    </row>
    <row r="14" spans="1:9" x14ac:dyDescent="0.15">
      <c r="A14" s="7" t="s">
        <v>350</v>
      </c>
      <c r="F14" s="13">
        <f t="shared" si="0"/>
        <v>0</v>
      </c>
      <c r="H14" s="13">
        <f t="shared" si="1"/>
        <v>0</v>
      </c>
    </row>
    <row r="15" spans="1:9" x14ac:dyDescent="0.15">
      <c r="A15" s="7" t="s">
        <v>198</v>
      </c>
      <c r="B15" s="7" t="s">
        <v>194</v>
      </c>
      <c r="C15" s="8">
        <v>0.9</v>
      </c>
      <c r="D15" s="9">
        <v>8</v>
      </c>
      <c r="E15" s="8">
        <f t="shared" ref="E15:E21" si="2">0.194*2+0.15*4</f>
        <v>0.98799999999999999</v>
      </c>
      <c r="F15" s="13">
        <f t="shared" si="0"/>
        <v>7.11</v>
      </c>
      <c r="G15" s="21">
        <v>29.48</v>
      </c>
      <c r="H15" s="13">
        <f t="shared" si="1"/>
        <v>0.21</v>
      </c>
      <c r="I15" s="11" t="s">
        <v>665</v>
      </c>
    </row>
    <row r="16" spans="1:9" x14ac:dyDescent="0.15">
      <c r="C16" s="8">
        <v>6</v>
      </c>
      <c r="D16" s="9">
        <v>2</v>
      </c>
      <c r="E16" s="8">
        <f t="shared" si="2"/>
        <v>0.98799999999999999</v>
      </c>
      <c r="F16" s="13">
        <f t="shared" si="0"/>
        <v>11.86</v>
      </c>
      <c r="G16" s="21">
        <v>29.48</v>
      </c>
      <c r="H16" s="13">
        <f t="shared" si="1"/>
        <v>0.35</v>
      </c>
      <c r="I16" s="11" t="s">
        <v>667</v>
      </c>
    </row>
    <row r="17" spans="1:9" x14ac:dyDescent="0.15">
      <c r="C17" s="8">
        <v>6.9</v>
      </c>
      <c r="D17" s="9">
        <v>4</v>
      </c>
      <c r="E17" s="8">
        <f t="shared" si="2"/>
        <v>0.98799999999999999</v>
      </c>
      <c r="F17" s="13">
        <f t="shared" si="0"/>
        <v>27.27</v>
      </c>
      <c r="G17" s="21">
        <v>29.48</v>
      </c>
      <c r="H17" s="13">
        <f t="shared" si="1"/>
        <v>0.81</v>
      </c>
      <c r="I17" s="11" t="s">
        <v>15</v>
      </c>
    </row>
    <row r="18" spans="1:9" x14ac:dyDescent="0.15">
      <c r="C18" s="8">
        <f>4-0.175*2</f>
        <v>3.65</v>
      </c>
      <c r="D18" s="9">
        <v>12</v>
      </c>
      <c r="E18" s="8">
        <f t="shared" si="2"/>
        <v>0.98799999999999999</v>
      </c>
      <c r="F18" s="13">
        <f t="shared" si="0"/>
        <v>43.27</v>
      </c>
      <c r="G18" s="21">
        <v>29.48</v>
      </c>
      <c r="H18" s="13">
        <f t="shared" si="1"/>
        <v>1.29</v>
      </c>
      <c r="I18" s="11" t="s">
        <v>665</v>
      </c>
    </row>
    <row r="19" spans="1:9" x14ac:dyDescent="0.15">
      <c r="C19" s="8">
        <v>4</v>
      </c>
      <c r="D19" s="9">
        <v>2</v>
      </c>
      <c r="E19" s="8">
        <f t="shared" si="2"/>
        <v>0.98799999999999999</v>
      </c>
      <c r="F19" s="13">
        <f t="shared" si="0"/>
        <v>7.9</v>
      </c>
      <c r="G19" s="21">
        <v>29.48</v>
      </c>
      <c r="H19" s="13">
        <f t="shared" si="1"/>
        <v>0.24</v>
      </c>
      <c r="I19" s="11" t="s">
        <v>667</v>
      </c>
    </row>
    <row r="20" spans="1:9" x14ac:dyDescent="0.15">
      <c r="C20" s="8">
        <f>0.9-0.175</f>
        <v>0.72500000000000009</v>
      </c>
      <c r="D20" s="9">
        <v>8</v>
      </c>
      <c r="E20" s="8">
        <f t="shared" si="2"/>
        <v>0.98799999999999999</v>
      </c>
      <c r="F20" s="13">
        <f t="shared" si="0"/>
        <v>5.73</v>
      </c>
      <c r="G20" s="21">
        <v>29.48</v>
      </c>
      <c r="H20" s="13">
        <f t="shared" si="1"/>
        <v>0.17</v>
      </c>
      <c r="I20" s="11" t="s">
        <v>666</v>
      </c>
    </row>
    <row r="21" spans="1:9" x14ac:dyDescent="0.15">
      <c r="C21" s="8">
        <v>4.9000000000000004</v>
      </c>
      <c r="D21" s="9">
        <v>4</v>
      </c>
      <c r="E21" s="8">
        <f t="shared" si="2"/>
        <v>0.98799999999999999</v>
      </c>
      <c r="F21" s="13">
        <f t="shared" si="0"/>
        <v>19.36</v>
      </c>
      <c r="G21" s="21">
        <v>29.48</v>
      </c>
      <c r="H21" s="13">
        <f t="shared" si="1"/>
        <v>0.57999999999999996</v>
      </c>
      <c r="I21" s="11" t="s">
        <v>668</v>
      </c>
    </row>
    <row r="22" spans="1:9" x14ac:dyDescent="0.15">
      <c r="A22" s="7" t="s">
        <v>199</v>
      </c>
      <c r="B22" s="7" t="s">
        <v>677</v>
      </c>
      <c r="C22" s="8">
        <v>6</v>
      </c>
      <c r="D22" s="9">
        <v>12</v>
      </c>
      <c r="E22" s="8">
        <f>0.244*2+0.175*4</f>
        <v>1.1879999999999999</v>
      </c>
      <c r="F22" s="13">
        <f t="shared" si="0"/>
        <v>85.54</v>
      </c>
      <c r="G22" s="21">
        <v>42.42</v>
      </c>
      <c r="H22" s="13">
        <f t="shared" si="1"/>
        <v>3.05</v>
      </c>
      <c r="I22" s="11" t="s">
        <v>668</v>
      </c>
    </row>
    <row r="23" spans="1:9" x14ac:dyDescent="0.15">
      <c r="A23" s="7" t="s">
        <v>118</v>
      </c>
      <c r="B23" s="7" t="s">
        <v>727</v>
      </c>
      <c r="C23" s="8">
        <f>(6^2+4^2)^0.5</f>
        <v>7.2111025509279782</v>
      </c>
      <c r="D23" s="9">
        <v>6</v>
      </c>
      <c r="E23" s="8">
        <f>0.11*4</f>
        <v>0.44</v>
      </c>
      <c r="F23" s="13">
        <f t="shared" si="0"/>
        <v>19.04</v>
      </c>
      <c r="G23" s="21">
        <v>13.5</v>
      </c>
      <c r="H23" s="13">
        <f t="shared" si="1"/>
        <v>0.57999999999999996</v>
      </c>
      <c r="I23" s="11" t="s">
        <v>728</v>
      </c>
    </row>
    <row r="24" spans="1:9" x14ac:dyDescent="0.15">
      <c r="A24" s="7" t="s">
        <v>737</v>
      </c>
      <c r="F24" s="13">
        <f t="shared" si="0"/>
        <v>0</v>
      </c>
      <c r="H24" s="13">
        <f t="shared" si="1"/>
        <v>0</v>
      </c>
    </row>
    <row r="25" spans="1:9" x14ac:dyDescent="0.15">
      <c r="A25" s="7" t="s">
        <v>738</v>
      </c>
      <c r="B25" s="7" t="s">
        <v>669</v>
      </c>
      <c r="C25" s="8">
        <v>19.8</v>
      </c>
      <c r="D25" s="9">
        <v>14</v>
      </c>
      <c r="E25" s="8">
        <f>0.25*2+0.075*4+0.02*4</f>
        <v>0.88</v>
      </c>
      <c r="F25" s="13">
        <f t="shared" si="0"/>
        <v>243.94</v>
      </c>
      <c r="G25" s="21">
        <v>8.43</v>
      </c>
      <c r="H25" s="13">
        <f t="shared" si="1"/>
        <v>2.34</v>
      </c>
      <c r="I25" s="11" t="s">
        <v>670</v>
      </c>
    </row>
    <row r="26" spans="1:9" x14ac:dyDescent="0.15">
      <c r="A26" s="7" t="s">
        <v>352</v>
      </c>
      <c r="B26" s="7" t="s">
        <v>97</v>
      </c>
      <c r="C26" s="8">
        <f>1.16*4</f>
        <v>4.6399999999999997</v>
      </c>
      <c r="D26" s="9">
        <v>6</v>
      </c>
      <c r="E26" s="8">
        <f>PI()*0.012</f>
        <v>3.7699111843077518E-2</v>
      </c>
      <c r="F26" s="13">
        <f t="shared" si="0"/>
        <v>1.05</v>
      </c>
      <c r="G26" s="21">
        <v>0.88800000000000001</v>
      </c>
      <c r="H26" s="13">
        <f t="shared" si="1"/>
        <v>0.02</v>
      </c>
      <c r="I26" s="11" t="s">
        <v>620</v>
      </c>
    </row>
    <row r="27" spans="1:9" x14ac:dyDescent="0.15">
      <c r="A27" s="7" t="s">
        <v>123</v>
      </c>
      <c r="B27" s="7" t="s">
        <v>97</v>
      </c>
      <c r="C27" s="8">
        <v>3.1</v>
      </c>
      <c r="D27" s="9">
        <v>24</v>
      </c>
      <c r="E27" s="8">
        <f>PI()*0.012</f>
        <v>3.7699111843077518E-2</v>
      </c>
      <c r="F27" s="13">
        <f t="shared" si="0"/>
        <v>2.8</v>
      </c>
      <c r="G27" s="21">
        <v>0.88800000000000001</v>
      </c>
      <c r="H27" s="13">
        <f t="shared" si="1"/>
        <v>7.0000000000000007E-2</v>
      </c>
      <c r="I27" s="11" t="s">
        <v>620</v>
      </c>
    </row>
    <row r="28" spans="1:9" x14ac:dyDescent="0.15">
      <c r="A28" s="7" t="s">
        <v>622</v>
      </c>
      <c r="B28" s="7" t="s">
        <v>657</v>
      </c>
      <c r="C28" s="8">
        <v>0.9</v>
      </c>
      <c r="D28" s="9">
        <v>6</v>
      </c>
      <c r="E28" s="8">
        <f>PI()*0.032</f>
        <v>0.10053096491487339</v>
      </c>
      <c r="F28" s="13">
        <f t="shared" si="0"/>
        <v>0.54</v>
      </c>
      <c r="G28" s="21">
        <v>1.819</v>
      </c>
      <c r="H28" s="13">
        <f t="shared" si="1"/>
        <v>0.01</v>
      </c>
      <c r="I28" s="11" t="s">
        <v>621</v>
      </c>
    </row>
    <row r="29" spans="1:9" x14ac:dyDescent="0.15">
      <c r="C29" s="8">
        <v>1.1599999999999999</v>
      </c>
      <c r="D29" s="9">
        <v>6</v>
      </c>
      <c r="E29" s="8">
        <f>PI()*0.032</f>
        <v>0.10053096491487339</v>
      </c>
      <c r="F29" s="13">
        <f t="shared" si="0"/>
        <v>0.7</v>
      </c>
      <c r="G29" s="21">
        <v>1.819</v>
      </c>
      <c r="H29" s="13">
        <f t="shared" si="1"/>
        <v>0.01</v>
      </c>
      <c r="I29" s="11" t="s">
        <v>621</v>
      </c>
    </row>
    <row r="30" spans="1:9" x14ac:dyDescent="0.15">
      <c r="C30" s="8">
        <v>0.4</v>
      </c>
      <c r="D30" s="9">
        <v>3</v>
      </c>
      <c r="E30" s="8">
        <f>PI()*0.032</f>
        <v>0.10053096491487339</v>
      </c>
      <c r="F30" s="13">
        <f t="shared" si="0"/>
        <v>0.12</v>
      </c>
      <c r="G30" s="21">
        <v>1.819</v>
      </c>
      <c r="H30" s="13">
        <f t="shared" si="1"/>
        <v>0</v>
      </c>
      <c r="I30" s="11" t="s">
        <v>621</v>
      </c>
    </row>
    <row r="31" spans="1:9" x14ac:dyDescent="0.15">
      <c r="A31" s="7" t="s">
        <v>739</v>
      </c>
      <c r="F31" s="13">
        <f>SUBTOTAL(109,F2:F30)</f>
        <v>875.63999999999976</v>
      </c>
      <c r="H31" s="13">
        <f>SUBTOTAL(109,H2:H30)</f>
        <v>30.37</v>
      </c>
    </row>
  </sheetData>
  <phoneticPr fontId="3" type="noConversion"/>
  <conditionalFormatting sqref="A1:I1048576">
    <cfRule type="expression" dxfId="14" priority="1">
      <formula>(ROW()=1)+($A1="汇总")</formula>
    </cfRule>
    <cfRule type="expression" dxfId="13" priority="2">
      <formula>(ROW()&gt;1)*($A1&lt;&gt;"汇总")*(MOD(ROW(),2)=0)*($A1&lt;&gt;"")*($B1&amp;$C1&amp;$D1&amp;$E1&amp;$G1&amp;$I1="")</formula>
    </cfRule>
    <cfRule type="expression" dxfId="12" priority="3">
      <formula>(ROW()&gt;1)*($A1&lt;&gt;"汇总")*(MOD(ROW(),2)=0)*($B1&amp;$C1&amp;$D1&amp;$E1&amp;$G1&amp;$I1&lt;&gt;"")</formula>
    </cfRule>
    <cfRule type="expression" dxfId="11" priority="4">
      <formula>(ROW()&gt;1)*($A1&lt;&gt;"汇总")*(MOD(ROW(),2)=1)*($A1&lt;&gt;"")*($B1&amp;$C1&amp;$D1&amp;$E1&amp;$G1&amp;$I1="")</formula>
    </cfRule>
    <cfRule type="expression" dxfId="1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Normal="100" workbookViewId="0">
      <pane ySplit="1" topLeftCell="A92" activePane="bottomLeft" state="frozen"/>
      <selection sqref="A1:F1"/>
      <selection pane="bottomLeft" activeCell="H127" sqref="H127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ht="28.5" x14ac:dyDescent="0.15">
      <c r="A2" s="7" t="s">
        <v>740</v>
      </c>
      <c r="F2" s="13">
        <f t="shared" ref="F2:F33" si="0">ROUND(PRODUCT($C2:$E2),2)</f>
        <v>0</v>
      </c>
      <c r="H2" s="13">
        <f t="shared" ref="H2:H33" si="1">ROUND(PRODUCT($C2:$D2,$G2)*0.001,2)</f>
        <v>0</v>
      </c>
    </row>
    <row r="3" spans="1:9" x14ac:dyDescent="0.15">
      <c r="A3" s="7" t="s">
        <v>741</v>
      </c>
      <c r="B3" s="7" t="s">
        <v>742</v>
      </c>
      <c r="C3" s="8">
        <v>0.3</v>
      </c>
      <c r="D3" s="9">
        <v>24</v>
      </c>
      <c r="E3" s="8">
        <v>0.25</v>
      </c>
      <c r="F3" s="13">
        <f t="shared" si="0"/>
        <v>1.8</v>
      </c>
      <c r="G3" s="21">
        <f>0.25*0.016*7850</f>
        <v>31.400000000000002</v>
      </c>
      <c r="H3" s="13">
        <f t="shared" si="1"/>
        <v>0.23</v>
      </c>
      <c r="I3" s="11" t="s">
        <v>704</v>
      </c>
    </row>
    <row r="4" spans="1:9" x14ac:dyDescent="0.15">
      <c r="A4" s="7" t="s">
        <v>361</v>
      </c>
      <c r="B4" s="7" t="s">
        <v>743</v>
      </c>
      <c r="C4" s="8">
        <v>0.35</v>
      </c>
      <c r="D4" s="9">
        <v>0</v>
      </c>
      <c r="E4" s="8">
        <v>0.3</v>
      </c>
      <c r="F4" s="13">
        <f t="shared" si="0"/>
        <v>0</v>
      </c>
      <c r="G4" s="21">
        <f>0.3*0.016*7850</f>
        <v>37.68</v>
      </c>
      <c r="H4" s="13">
        <f t="shared" si="1"/>
        <v>0</v>
      </c>
      <c r="I4" s="11" t="s">
        <v>704</v>
      </c>
    </row>
    <row r="5" spans="1:9" x14ac:dyDescent="0.15">
      <c r="A5" s="7" t="s">
        <v>362</v>
      </c>
      <c r="B5" s="7" t="s">
        <v>744</v>
      </c>
      <c r="C5" s="8">
        <v>0.4</v>
      </c>
      <c r="D5" s="9">
        <v>0</v>
      </c>
      <c r="E5" s="8">
        <v>0.3</v>
      </c>
      <c r="F5" s="13">
        <f t="shared" si="0"/>
        <v>0</v>
      </c>
      <c r="G5" s="21">
        <f>0.3*0.016*7850</f>
        <v>37.68</v>
      </c>
      <c r="H5" s="13">
        <f t="shared" si="1"/>
        <v>0</v>
      </c>
      <c r="I5" s="11" t="s">
        <v>704</v>
      </c>
    </row>
    <row r="6" spans="1:9" x14ac:dyDescent="0.15">
      <c r="A6" s="7" t="s">
        <v>363</v>
      </c>
      <c r="B6" s="7" t="s">
        <v>745</v>
      </c>
      <c r="C6" s="8">
        <v>0.45</v>
      </c>
      <c r="D6" s="9">
        <v>0</v>
      </c>
      <c r="E6" s="8">
        <v>0.35</v>
      </c>
      <c r="F6" s="13">
        <f t="shared" si="0"/>
        <v>0</v>
      </c>
      <c r="G6" s="21">
        <f>0.35*0.016*7850</f>
        <v>43.96</v>
      </c>
      <c r="H6" s="13">
        <f t="shared" si="1"/>
        <v>0</v>
      </c>
      <c r="I6" s="11" t="s">
        <v>704</v>
      </c>
    </row>
    <row r="7" spans="1:9" x14ac:dyDescent="0.15">
      <c r="A7" s="7" t="s">
        <v>364</v>
      </c>
      <c r="B7" s="7" t="s">
        <v>746</v>
      </c>
      <c r="C7" s="8">
        <v>0.5</v>
      </c>
      <c r="D7" s="9">
        <v>4</v>
      </c>
      <c r="E7" s="8">
        <v>0.4</v>
      </c>
      <c r="F7" s="13">
        <f t="shared" si="0"/>
        <v>0.8</v>
      </c>
      <c r="G7" s="21">
        <f>0.4*0.016*7850</f>
        <v>50.24</v>
      </c>
      <c r="H7" s="13">
        <f t="shared" si="1"/>
        <v>0.1</v>
      </c>
      <c r="I7" s="11" t="s">
        <v>704</v>
      </c>
    </row>
    <row r="8" spans="1:9" x14ac:dyDescent="0.15">
      <c r="A8" s="7" t="s">
        <v>370</v>
      </c>
      <c r="B8" s="7" t="s">
        <v>747</v>
      </c>
      <c r="C8" s="8">
        <v>0.25</v>
      </c>
      <c r="D8" s="9">
        <v>1</v>
      </c>
      <c r="E8" s="8">
        <v>0.2</v>
      </c>
      <c r="F8" s="13">
        <f t="shared" si="0"/>
        <v>0.05</v>
      </c>
      <c r="G8" s="21">
        <f>0.2*0.016*7850</f>
        <v>25.12</v>
      </c>
      <c r="H8" s="13">
        <f t="shared" si="1"/>
        <v>0.01</v>
      </c>
      <c r="I8" s="11" t="s">
        <v>704</v>
      </c>
    </row>
    <row r="9" spans="1:9" x14ac:dyDescent="0.15">
      <c r="A9" s="7" t="s">
        <v>372</v>
      </c>
      <c r="B9" s="7" t="s">
        <v>748</v>
      </c>
      <c r="C9" s="8">
        <v>0.2</v>
      </c>
      <c r="D9" s="9">
        <v>1</v>
      </c>
      <c r="E9" s="8">
        <v>0.2</v>
      </c>
      <c r="F9" s="13">
        <f t="shared" si="0"/>
        <v>0.04</v>
      </c>
      <c r="G9" s="21">
        <f>0.2*0.016*7850</f>
        <v>25.12</v>
      </c>
      <c r="H9" s="13">
        <f t="shared" si="1"/>
        <v>0.01</v>
      </c>
      <c r="I9" s="11" t="s">
        <v>704</v>
      </c>
    </row>
    <row r="10" spans="1:9" x14ac:dyDescent="0.15">
      <c r="A10" s="7" t="s">
        <v>749</v>
      </c>
      <c r="B10" s="7" t="s">
        <v>376</v>
      </c>
      <c r="C10" s="8">
        <v>0.3</v>
      </c>
      <c r="D10" s="9">
        <v>0</v>
      </c>
      <c r="E10" s="8">
        <v>0.2</v>
      </c>
      <c r="F10" s="13">
        <f t="shared" si="0"/>
        <v>0</v>
      </c>
      <c r="G10" s="21">
        <f>0.2*0.016*7850</f>
        <v>25.12</v>
      </c>
      <c r="H10" s="13">
        <f t="shared" si="1"/>
        <v>0</v>
      </c>
      <c r="I10" s="11" t="s">
        <v>704</v>
      </c>
    </row>
    <row r="11" spans="1:9" ht="28.5" x14ac:dyDescent="0.15">
      <c r="A11" s="7" t="s">
        <v>377</v>
      </c>
      <c r="F11" s="13">
        <f t="shared" si="0"/>
        <v>0</v>
      </c>
      <c r="H11" s="13">
        <f t="shared" si="1"/>
        <v>0</v>
      </c>
    </row>
    <row r="12" spans="1:9" x14ac:dyDescent="0.15">
      <c r="A12" s="7" t="s">
        <v>360</v>
      </c>
      <c r="B12" s="7" t="s">
        <v>742</v>
      </c>
      <c r="C12" s="8">
        <v>0.3</v>
      </c>
      <c r="D12" s="9">
        <v>20</v>
      </c>
      <c r="E12" s="8">
        <v>0.25</v>
      </c>
      <c r="F12" s="13">
        <f t="shared" si="0"/>
        <v>1.5</v>
      </c>
      <c r="G12" s="21">
        <f>0.25*0.016*7850</f>
        <v>31.400000000000002</v>
      </c>
      <c r="H12" s="13">
        <f t="shared" si="1"/>
        <v>0.19</v>
      </c>
      <c r="I12" s="11" t="s">
        <v>704</v>
      </c>
    </row>
    <row r="13" spans="1:9" x14ac:dyDescent="0.15">
      <c r="A13" s="7" t="s">
        <v>361</v>
      </c>
      <c r="B13" s="7" t="s">
        <v>366</v>
      </c>
      <c r="C13" s="8">
        <v>0.35</v>
      </c>
      <c r="D13" s="9">
        <v>4</v>
      </c>
      <c r="E13" s="8">
        <v>0.3</v>
      </c>
      <c r="F13" s="13">
        <f t="shared" si="0"/>
        <v>0.42</v>
      </c>
      <c r="G13" s="21">
        <f>0.3*0.016*7850</f>
        <v>37.68</v>
      </c>
      <c r="H13" s="13">
        <f t="shared" si="1"/>
        <v>0.05</v>
      </c>
      <c r="I13" s="11" t="s">
        <v>704</v>
      </c>
    </row>
    <row r="14" spans="1:9" x14ac:dyDescent="0.15">
      <c r="A14" s="7" t="s">
        <v>362</v>
      </c>
      <c r="B14" s="7" t="s">
        <v>744</v>
      </c>
      <c r="C14" s="8">
        <v>0.4</v>
      </c>
      <c r="D14" s="9">
        <v>6</v>
      </c>
      <c r="E14" s="8">
        <v>0.3</v>
      </c>
      <c r="F14" s="13">
        <f t="shared" si="0"/>
        <v>0.72</v>
      </c>
      <c r="G14" s="21">
        <f>0.3*0.016*7850</f>
        <v>37.68</v>
      </c>
      <c r="H14" s="13">
        <f t="shared" si="1"/>
        <v>0.09</v>
      </c>
      <c r="I14" s="11" t="s">
        <v>704</v>
      </c>
    </row>
    <row r="15" spans="1:9" x14ac:dyDescent="0.15">
      <c r="A15" s="7" t="s">
        <v>363</v>
      </c>
      <c r="B15" s="7" t="s">
        <v>367</v>
      </c>
      <c r="C15" s="8">
        <v>0.45</v>
      </c>
      <c r="D15" s="9">
        <v>4</v>
      </c>
      <c r="E15" s="8">
        <v>0.35</v>
      </c>
      <c r="F15" s="13">
        <f t="shared" si="0"/>
        <v>0.63</v>
      </c>
      <c r="G15" s="21">
        <f>0.35*0.016*7850</f>
        <v>43.96</v>
      </c>
      <c r="H15" s="13">
        <f t="shared" si="1"/>
        <v>0.08</v>
      </c>
      <c r="I15" s="11" t="s">
        <v>704</v>
      </c>
    </row>
    <row r="16" spans="1:9" x14ac:dyDescent="0.15">
      <c r="A16" s="7" t="s">
        <v>364</v>
      </c>
      <c r="B16" s="7" t="s">
        <v>368</v>
      </c>
      <c r="C16" s="8">
        <v>0.5</v>
      </c>
      <c r="D16" s="9">
        <v>4</v>
      </c>
      <c r="E16" s="8">
        <v>0.4</v>
      </c>
      <c r="F16" s="13">
        <f t="shared" si="0"/>
        <v>0.8</v>
      </c>
      <c r="G16" s="21">
        <f>0.4*0.016*7850</f>
        <v>50.24</v>
      </c>
      <c r="H16" s="13">
        <f t="shared" si="1"/>
        <v>0.1</v>
      </c>
      <c r="I16" s="11" t="s">
        <v>704</v>
      </c>
    </row>
    <row r="17" spans="1:9" x14ac:dyDescent="0.15">
      <c r="A17" s="7" t="s">
        <v>750</v>
      </c>
      <c r="B17" s="7" t="s">
        <v>374</v>
      </c>
      <c r="C17" s="8">
        <v>0.25</v>
      </c>
      <c r="D17" s="9">
        <v>1</v>
      </c>
      <c r="E17" s="8">
        <v>0.2</v>
      </c>
      <c r="F17" s="13">
        <f t="shared" si="0"/>
        <v>0.05</v>
      </c>
      <c r="G17" s="21">
        <f>0.2*0.016*7850</f>
        <v>25.12</v>
      </c>
      <c r="H17" s="13">
        <f t="shared" si="1"/>
        <v>0.01</v>
      </c>
      <c r="I17" s="11" t="s">
        <v>15</v>
      </c>
    </row>
    <row r="18" spans="1:9" x14ac:dyDescent="0.15">
      <c r="A18" s="7" t="s">
        <v>751</v>
      </c>
      <c r="B18" s="7" t="s">
        <v>748</v>
      </c>
      <c r="C18" s="8">
        <v>0.2</v>
      </c>
      <c r="D18" s="9">
        <v>2</v>
      </c>
      <c r="E18" s="8">
        <v>0.2</v>
      </c>
      <c r="F18" s="13">
        <f t="shared" si="0"/>
        <v>0.08</v>
      </c>
      <c r="G18" s="21">
        <f>0.2*0.016*7850</f>
        <v>25.12</v>
      </c>
      <c r="H18" s="13">
        <f t="shared" si="1"/>
        <v>0.01</v>
      </c>
      <c r="I18" s="11" t="s">
        <v>704</v>
      </c>
    </row>
    <row r="19" spans="1:9" x14ac:dyDescent="0.15">
      <c r="A19" s="7" t="s">
        <v>373</v>
      </c>
      <c r="B19" s="7" t="s">
        <v>752</v>
      </c>
      <c r="C19" s="8">
        <v>0.3</v>
      </c>
      <c r="D19" s="9">
        <v>1</v>
      </c>
      <c r="E19" s="8">
        <v>0.2</v>
      </c>
      <c r="F19" s="13">
        <f t="shared" si="0"/>
        <v>0.06</v>
      </c>
      <c r="G19" s="21">
        <f>0.2*0.016*7850</f>
        <v>25.12</v>
      </c>
      <c r="H19" s="13">
        <f t="shared" si="1"/>
        <v>0.01</v>
      </c>
      <c r="I19" s="11" t="s">
        <v>704</v>
      </c>
    </row>
    <row r="20" spans="1:9" ht="28.5" x14ac:dyDescent="0.15">
      <c r="A20" s="7" t="s">
        <v>378</v>
      </c>
      <c r="F20" s="13">
        <f t="shared" si="0"/>
        <v>0</v>
      </c>
      <c r="H20" s="13">
        <f t="shared" si="1"/>
        <v>0</v>
      </c>
    </row>
    <row r="21" spans="1:9" x14ac:dyDescent="0.15">
      <c r="A21" s="7" t="s">
        <v>360</v>
      </c>
      <c r="B21" s="7" t="s">
        <v>742</v>
      </c>
      <c r="C21" s="8">
        <v>0.3</v>
      </c>
      <c r="D21" s="9">
        <v>10</v>
      </c>
      <c r="E21" s="8">
        <v>0.25</v>
      </c>
      <c r="F21" s="13">
        <f t="shared" si="0"/>
        <v>0.75</v>
      </c>
      <c r="G21" s="21">
        <f>0.25*0.016*7850</f>
        <v>31.400000000000002</v>
      </c>
      <c r="H21" s="13">
        <f t="shared" si="1"/>
        <v>0.09</v>
      </c>
      <c r="I21" s="11" t="s">
        <v>704</v>
      </c>
    </row>
    <row r="22" spans="1:9" x14ac:dyDescent="0.15">
      <c r="A22" s="7" t="s">
        <v>361</v>
      </c>
      <c r="B22" s="7" t="s">
        <v>743</v>
      </c>
      <c r="C22" s="8">
        <v>0.35</v>
      </c>
      <c r="D22" s="9">
        <v>0</v>
      </c>
      <c r="E22" s="8">
        <v>0.3</v>
      </c>
      <c r="F22" s="13">
        <f t="shared" si="0"/>
        <v>0</v>
      </c>
      <c r="G22" s="21">
        <f>0.3*0.016*7850</f>
        <v>37.68</v>
      </c>
      <c r="H22" s="13">
        <f t="shared" si="1"/>
        <v>0</v>
      </c>
      <c r="I22" s="11" t="s">
        <v>704</v>
      </c>
    </row>
    <row r="23" spans="1:9" x14ac:dyDescent="0.15">
      <c r="A23" s="7" t="s">
        <v>362</v>
      </c>
      <c r="B23" s="7" t="s">
        <v>744</v>
      </c>
      <c r="C23" s="8">
        <v>0.4</v>
      </c>
      <c r="D23" s="9">
        <v>0</v>
      </c>
      <c r="E23" s="8">
        <v>0.3</v>
      </c>
      <c r="F23" s="13">
        <f t="shared" si="0"/>
        <v>0</v>
      </c>
      <c r="G23" s="21">
        <f>0.3*0.016*7850</f>
        <v>37.68</v>
      </c>
      <c r="H23" s="13">
        <f t="shared" si="1"/>
        <v>0</v>
      </c>
      <c r="I23" s="11" t="s">
        <v>704</v>
      </c>
    </row>
    <row r="24" spans="1:9" x14ac:dyDescent="0.15">
      <c r="A24" s="7" t="s">
        <v>753</v>
      </c>
      <c r="B24" s="7" t="s">
        <v>367</v>
      </c>
      <c r="C24" s="8">
        <v>0.45</v>
      </c>
      <c r="D24" s="9">
        <v>0</v>
      </c>
      <c r="E24" s="8">
        <v>0.35</v>
      </c>
      <c r="F24" s="13">
        <f t="shared" si="0"/>
        <v>0</v>
      </c>
      <c r="G24" s="21">
        <f>0.35*0.016*7850</f>
        <v>43.96</v>
      </c>
      <c r="H24" s="13">
        <f t="shared" si="1"/>
        <v>0</v>
      </c>
      <c r="I24" s="11" t="s">
        <v>15</v>
      </c>
    </row>
    <row r="25" spans="1:9" x14ac:dyDescent="0.15">
      <c r="A25" s="7" t="s">
        <v>754</v>
      </c>
      <c r="B25" s="7" t="s">
        <v>746</v>
      </c>
      <c r="C25" s="8">
        <v>0.5</v>
      </c>
      <c r="D25" s="9">
        <v>0</v>
      </c>
      <c r="E25" s="8">
        <v>0.4</v>
      </c>
      <c r="F25" s="13">
        <f t="shared" si="0"/>
        <v>0</v>
      </c>
      <c r="G25" s="21">
        <f>0.4*0.016*7850</f>
        <v>50.24</v>
      </c>
      <c r="H25" s="13">
        <f t="shared" si="1"/>
        <v>0</v>
      </c>
      <c r="I25" s="11" t="s">
        <v>704</v>
      </c>
    </row>
    <row r="26" spans="1:9" x14ac:dyDescent="0.15">
      <c r="A26" s="7" t="s">
        <v>369</v>
      </c>
      <c r="B26" s="7" t="s">
        <v>374</v>
      </c>
      <c r="C26" s="8">
        <v>0.25</v>
      </c>
      <c r="D26" s="9">
        <v>1</v>
      </c>
      <c r="E26" s="8">
        <v>0.2</v>
      </c>
      <c r="F26" s="13">
        <f t="shared" si="0"/>
        <v>0.05</v>
      </c>
      <c r="G26" s="21">
        <f>0.2*0.016*7850</f>
        <v>25.12</v>
      </c>
      <c r="H26" s="13">
        <f t="shared" si="1"/>
        <v>0.01</v>
      </c>
      <c r="I26" s="11" t="s">
        <v>704</v>
      </c>
    </row>
    <row r="27" spans="1:9" x14ac:dyDescent="0.15">
      <c r="A27" s="7" t="s">
        <v>371</v>
      </c>
      <c r="B27" s="7" t="s">
        <v>375</v>
      </c>
      <c r="C27" s="8">
        <v>0.2</v>
      </c>
      <c r="D27" s="9">
        <v>7</v>
      </c>
      <c r="E27" s="8">
        <v>0.2</v>
      </c>
      <c r="F27" s="13">
        <f t="shared" si="0"/>
        <v>0.28000000000000003</v>
      </c>
      <c r="G27" s="21">
        <f>0.2*0.016*7850</f>
        <v>25.12</v>
      </c>
      <c r="H27" s="13">
        <f t="shared" si="1"/>
        <v>0.04</v>
      </c>
      <c r="I27" s="11" t="s">
        <v>704</v>
      </c>
    </row>
    <row r="28" spans="1:9" x14ac:dyDescent="0.15">
      <c r="A28" s="7" t="s">
        <v>749</v>
      </c>
      <c r="B28" s="7" t="s">
        <v>752</v>
      </c>
      <c r="C28" s="8">
        <v>0.3</v>
      </c>
      <c r="D28" s="9">
        <v>6</v>
      </c>
      <c r="E28" s="8">
        <v>0.2</v>
      </c>
      <c r="F28" s="13">
        <f t="shared" si="0"/>
        <v>0.36</v>
      </c>
      <c r="G28" s="21">
        <f>0.2*0.016*7850</f>
        <v>25.12</v>
      </c>
      <c r="H28" s="13">
        <f t="shared" si="1"/>
        <v>0.05</v>
      </c>
      <c r="I28" s="11" t="s">
        <v>704</v>
      </c>
    </row>
    <row r="29" spans="1:9" x14ac:dyDescent="0.15">
      <c r="A29" s="7" t="s">
        <v>380</v>
      </c>
      <c r="F29" s="13">
        <f t="shared" si="0"/>
        <v>0</v>
      </c>
      <c r="H29" s="13">
        <f t="shared" si="1"/>
        <v>0</v>
      </c>
    </row>
    <row r="30" spans="1:9" x14ac:dyDescent="0.15">
      <c r="A30" s="7" t="s">
        <v>198</v>
      </c>
      <c r="B30" s="7" t="s">
        <v>220</v>
      </c>
      <c r="C30" s="8">
        <v>0.80700000000000005</v>
      </c>
      <c r="D30" s="9">
        <v>2</v>
      </c>
      <c r="E30" s="8">
        <f>0.148*2+0.1*4</f>
        <v>0.69599999999999995</v>
      </c>
      <c r="F30" s="13">
        <f t="shared" si="0"/>
        <v>1.1200000000000001</v>
      </c>
      <c r="G30" s="21">
        <v>20.25</v>
      </c>
      <c r="H30" s="13">
        <f t="shared" si="1"/>
        <v>0.03</v>
      </c>
      <c r="I30" s="11" t="s">
        <v>704</v>
      </c>
    </row>
    <row r="31" spans="1:9" x14ac:dyDescent="0.15">
      <c r="A31" s="7" t="s">
        <v>755</v>
      </c>
      <c r="B31" s="7" t="s">
        <v>194</v>
      </c>
      <c r="C31" s="8">
        <f>6-0.3*2</f>
        <v>5.4</v>
      </c>
      <c r="D31" s="9">
        <v>2</v>
      </c>
      <c r="E31" s="8">
        <f>0.194*2+0.15*4</f>
        <v>0.98799999999999999</v>
      </c>
      <c r="F31" s="13">
        <f t="shared" si="0"/>
        <v>10.67</v>
      </c>
      <c r="G31" s="21">
        <v>29.48</v>
      </c>
      <c r="H31" s="13">
        <f t="shared" si="1"/>
        <v>0.32</v>
      </c>
      <c r="I31" s="11" t="s">
        <v>15</v>
      </c>
    </row>
    <row r="32" spans="1:9" x14ac:dyDescent="0.15">
      <c r="A32" s="7" t="s">
        <v>736</v>
      </c>
      <c r="B32" s="7" t="s">
        <v>756</v>
      </c>
      <c r="D32" s="9">
        <v>0</v>
      </c>
      <c r="E32" s="8">
        <f>0.244*2+0.175*4</f>
        <v>1.1879999999999999</v>
      </c>
      <c r="F32" s="13">
        <f t="shared" si="0"/>
        <v>0</v>
      </c>
      <c r="G32" s="21">
        <v>42.42</v>
      </c>
      <c r="H32" s="13">
        <f t="shared" si="1"/>
        <v>0</v>
      </c>
      <c r="I32" s="11" t="s">
        <v>704</v>
      </c>
    </row>
    <row r="33" spans="1:9" x14ac:dyDescent="0.15">
      <c r="A33" s="7" t="s">
        <v>757</v>
      </c>
      <c r="B33" s="7" t="s">
        <v>758</v>
      </c>
      <c r="C33" s="8">
        <v>6</v>
      </c>
      <c r="D33" s="9">
        <v>2</v>
      </c>
      <c r="E33" s="8">
        <f>0.294*2+0.2*4</f>
        <v>1.3879999999999999</v>
      </c>
      <c r="F33" s="13">
        <f t="shared" si="0"/>
        <v>16.66</v>
      </c>
      <c r="G33" s="21">
        <v>54.63</v>
      </c>
      <c r="H33" s="13">
        <f t="shared" si="1"/>
        <v>0.66</v>
      </c>
      <c r="I33" s="11" t="s">
        <v>704</v>
      </c>
    </row>
    <row r="34" spans="1:9" x14ac:dyDescent="0.15">
      <c r="C34" s="8">
        <f>0.885+0.915</f>
        <v>1.8</v>
      </c>
      <c r="D34" s="9">
        <v>4</v>
      </c>
      <c r="E34" s="8">
        <f>0.294*2+0.2*4</f>
        <v>1.3879999999999999</v>
      </c>
      <c r="F34" s="13">
        <f t="shared" ref="F34:F65" si="2">ROUND(PRODUCT($C34:$E34),2)</f>
        <v>9.99</v>
      </c>
      <c r="G34" s="21">
        <v>54.63</v>
      </c>
      <c r="H34" s="13">
        <f t="shared" ref="H34:H65" si="3">ROUND(PRODUCT($C34:$D34,$G34)*0.001,2)</f>
        <v>0.39</v>
      </c>
      <c r="I34" s="11" t="s">
        <v>704</v>
      </c>
    </row>
    <row r="35" spans="1:9" x14ac:dyDescent="0.15">
      <c r="C35" s="8">
        <v>1.732</v>
      </c>
      <c r="D35" s="9">
        <v>2</v>
      </c>
      <c r="E35" s="8">
        <f>0.294*2+0.2*4</f>
        <v>1.3879999999999999</v>
      </c>
      <c r="F35" s="13">
        <f t="shared" si="2"/>
        <v>4.8099999999999996</v>
      </c>
      <c r="G35" s="21">
        <v>54.63</v>
      </c>
      <c r="H35" s="13">
        <f t="shared" si="3"/>
        <v>0.19</v>
      </c>
      <c r="I35" s="11" t="s">
        <v>665</v>
      </c>
    </row>
    <row r="36" spans="1:9" x14ac:dyDescent="0.15">
      <c r="C36" s="8">
        <v>1.01</v>
      </c>
      <c r="D36" s="9">
        <v>4</v>
      </c>
      <c r="E36" s="8">
        <f>0.294*2+0.2*4</f>
        <v>1.3879999999999999</v>
      </c>
      <c r="F36" s="13">
        <f t="shared" si="2"/>
        <v>5.61</v>
      </c>
      <c r="G36" s="21">
        <v>54.63</v>
      </c>
      <c r="H36" s="13">
        <f t="shared" si="3"/>
        <v>0.22</v>
      </c>
      <c r="I36" s="11" t="s">
        <v>628</v>
      </c>
    </row>
    <row r="37" spans="1:9" x14ac:dyDescent="0.15">
      <c r="A37" s="7" t="s">
        <v>759</v>
      </c>
      <c r="B37" s="7" t="s">
        <v>223</v>
      </c>
      <c r="C37" s="8">
        <v>6</v>
      </c>
      <c r="D37" s="9">
        <v>2</v>
      </c>
      <c r="E37" s="8">
        <f>0.34*2+0.25*4</f>
        <v>1.6800000000000002</v>
      </c>
      <c r="F37" s="13">
        <f t="shared" si="2"/>
        <v>20.16</v>
      </c>
      <c r="G37" s="21">
        <v>76.989999999999995</v>
      </c>
      <c r="H37" s="13">
        <f t="shared" si="3"/>
        <v>0.92</v>
      </c>
      <c r="I37" s="11" t="s">
        <v>15</v>
      </c>
    </row>
    <row r="38" spans="1:9" x14ac:dyDescent="0.15">
      <c r="A38" s="7" t="s">
        <v>216</v>
      </c>
      <c r="B38" s="7" t="s">
        <v>365</v>
      </c>
      <c r="C38" s="8">
        <f>7-0.35*2</f>
        <v>6.3</v>
      </c>
      <c r="D38" s="9">
        <v>2</v>
      </c>
      <c r="E38" s="8">
        <f>0.39*2+0.3*4</f>
        <v>1.98</v>
      </c>
      <c r="F38" s="13">
        <f t="shared" si="2"/>
        <v>24.95</v>
      </c>
      <c r="G38" s="21">
        <v>103.46</v>
      </c>
      <c r="H38" s="13">
        <f t="shared" si="3"/>
        <v>1.3</v>
      </c>
      <c r="I38" s="11" t="s">
        <v>15</v>
      </c>
    </row>
    <row r="39" spans="1:9" x14ac:dyDescent="0.15">
      <c r="A39" s="7" t="s">
        <v>118</v>
      </c>
      <c r="B39" s="7" t="s">
        <v>130</v>
      </c>
      <c r="C39" s="8">
        <v>5.0419999999999998</v>
      </c>
      <c r="D39" s="9">
        <v>2</v>
      </c>
      <c r="E39" s="8">
        <f>0.11*2</f>
        <v>0.22</v>
      </c>
      <c r="F39" s="13">
        <f t="shared" si="2"/>
        <v>2.2200000000000002</v>
      </c>
      <c r="G39" s="21">
        <v>11.9</v>
      </c>
      <c r="H39" s="13">
        <f t="shared" si="3"/>
        <v>0.12</v>
      </c>
      <c r="I39" s="11" t="s">
        <v>15</v>
      </c>
    </row>
    <row r="40" spans="1:9" x14ac:dyDescent="0.15">
      <c r="A40" s="7" t="s">
        <v>46</v>
      </c>
      <c r="B40" s="7" t="s">
        <v>381</v>
      </c>
      <c r="C40" s="8">
        <v>7</v>
      </c>
      <c r="D40" s="9">
        <v>1</v>
      </c>
      <c r="E40" s="8">
        <v>6</v>
      </c>
      <c r="F40" s="13">
        <f t="shared" si="2"/>
        <v>42</v>
      </c>
      <c r="G40" s="21">
        <f>6*0.006*7850</f>
        <v>282.60000000000002</v>
      </c>
      <c r="H40" s="13">
        <f t="shared" si="3"/>
        <v>1.98</v>
      </c>
      <c r="I40" s="11" t="s">
        <v>46</v>
      </c>
    </row>
    <row r="41" spans="1:9" x14ac:dyDescent="0.15">
      <c r="A41" s="7" t="s">
        <v>229</v>
      </c>
      <c r="B41" s="7" t="s">
        <v>312</v>
      </c>
      <c r="C41" s="8">
        <v>1.2350000000000001</v>
      </c>
      <c r="D41" s="9">
        <f>ROUNDUP(6/0.5,0)-1</f>
        <v>11</v>
      </c>
      <c r="E41" s="8">
        <f>0.063*4</f>
        <v>0.252</v>
      </c>
      <c r="F41" s="13">
        <f t="shared" si="2"/>
        <v>3.42</v>
      </c>
      <c r="G41" s="21">
        <v>4.82</v>
      </c>
      <c r="H41" s="13">
        <f t="shared" si="3"/>
        <v>7.0000000000000007E-2</v>
      </c>
      <c r="I41" s="11" t="s">
        <v>46</v>
      </c>
    </row>
    <row r="42" spans="1:9" x14ac:dyDescent="0.15">
      <c r="C42" s="8">
        <v>1.35</v>
      </c>
      <c r="D42" s="9">
        <f>ROUNDUP(6/0.5,0)-1</f>
        <v>11</v>
      </c>
      <c r="E42" s="8">
        <f>0.063*4</f>
        <v>0.252</v>
      </c>
      <c r="F42" s="13">
        <f t="shared" si="2"/>
        <v>3.74</v>
      </c>
      <c r="G42" s="21">
        <v>4.82</v>
      </c>
      <c r="H42" s="13">
        <f t="shared" si="3"/>
        <v>7.0000000000000007E-2</v>
      </c>
      <c r="I42" s="11" t="s">
        <v>46</v>
      </c>
    </row>
    <row r="43" spans="1:9" x14ac:dyDescent="0.15">
      <c r="C43" s="8">
        <v>1.115</v>
      </c>
      <c r="D43" s="9">
        <f>ROUNDUP(6/0.5,0)-1</f>
        <v>11</v>
      </c>
      <c r="E43" s="8">
        <f>0.063*4</f>
        <v>0.252</v>
      </c>
      <c r="F43" s="13">
        <f t="shared" si="2"/>
        <v>3.09</v>
      </c>
      <c r="G43" s="21">
        <v>4.82</v>
      </c>
      <c r="H43" s="13">
        <f t="shared" si="3"/>
        <v>0.06</v>
      </c>
      <c r="I43" s="11" t="s">
        <v>46</v>
      </c>
    </row>
    <row r="44" spans="1:9" x14ac:dyDescent="0.15">
      <c r="A44" s="7" t="s">
        <v>379</v>
      </c>
      <c r="F44" s="13">
        <f t="shared" si="2"/>
        <v>0</v>
      </c>
      <c r="H44" s="13">
        <f t="shared" si="3"/>
        <v>0</v>
      </c>
    </row>
    <row r="45" spans="1:9" x14ac:dyDescent="0.15">
      <c r="A45" s="7" t="s">
        <v>189</v>
      </c>
      <c r="B45" s="7" t="s">
        <v>307</v>
      </c>
      <c r="C45" s="8">
        <v>4</v>
      </c>
      <c r="D45" s="9">
        <v>2</v>
      </c>
      <c r="E45" s="8">
        <f>0.148*2+0.1*4</f>
        <v>0.69599999999999995</v>
      </c>
      <c r="F45" s="13">
        <f t="shared" si="2"/>
        <v>5.57</v>
      </c>
      <c r="G45" s="21">
        <v>20.25</v>
      </c>
      <c r="H45" s="13">
        <f t="shared" si="3"/>
        <v>0.16</v>
      </c>
      <c r="I45" s="11" t="s">
        <v>15</v>
      </c>
    </row>
    <row r="46" spans="1:9" x14ac:dyDescent="0.15">
      <c r="A46" s="7" t="s">
        <v>199</v>
      </c>
      <c r="B46" s="7" t="s">
        <v>193</v>
      </c>
      <c r="C46" s="8">
        <v>3.4</v>
      </c>
      <c r="D46" s="9">
        <v>7</v>
      </c>
      <c r="E46" s="8">
        <f>0.194*2+0.15*4</f>
        <v>0.98799999999999999</v>
      </c>
      <c r="F46" s="13">
        <f t="shared" si="2"/>
        <v>23.51</v>
      </c>
      <c r="G46" s="21">
        <v>29.48</v>
      </c>
      <c r="H46" s="13">
        <f t="shared" si="3"/>
        <v>0.7</v>
      </c>
      <c r="I46" s="11" t="s">
        <v>15</v>
      </c>
    </row>
    <row r="47" spans="1:9" x14ac:dyDescent="0.15">
      <c r="C47" s="8">
        <f>6-0.3*2</f>
        <v>5.4</v>
      </c>
      <c r="D47" s="9">
        <v>2</v>
      </c>
      <c r="E47" s="8">
        <f>0.194*2+0.15*4</f>
        <v>0.98799999999999999</v>
      </c>
      <c r="F47" s="13">
        <f t="shared" si="2"/>
        <v>10.67</v>
      </c>
      <c r="G47" s="21">
        <v>29.48</v>
      </c>
      <c r="H47" s="13">
        <f t="shared" si="3"/>
        <v>0.32</v>
      </c>
      <c r="I47" s="11" t="s">
        <v>15</v>
      </c>
    </row>
    <row r="48" spans="1:9" x14ac:dyDescent="0.15">
      <c r="C48" s="8">
        <f>4-0.35*2</f>
        <v>3.3</v>
      </c>
      <c r="D48" s="9">
        <v>1</v>
      </c>
      <c r="E48" s="8">
        <f>0.194*2+0.15*4</f>
        <v>0.98799999999999999</v>
      </c>
      <c r="F48" s="13">
        <f t="shared" si="2"/>
        <v>3.26</v>
      </c>
      <c r="G48" s="21">
        <v>29.48</v>
      </c>
      <c r="H48" s="13">
        <f t="shared" si="3"/>
        <v>0.1</v>
      </c>
      <c r="I48" s="11" t="s">
        <v>15</v>
      </c>
    </row>
    <row r="49" spans="1:9" x14ac:dyDescent="0.15">
      <c r="C49" s="8">
        <v>4</v>
      </c>
      <c r="D49" s="9">
        <v>1</v>
      </c>
      <c r="E49" s="8">
        <f>0.194*2+0.15*4</f>
        <v>0.98799999999999999</v>
      </c>
      <c r="F49" s="13">
        <f t="shared" si="2"/>
        <v>3.95</v>
      </c>
      <c r="G49" s="21">
        <v>29.48</v>
      </c>
      <c r="H49" s="13">
        <f t="shared" si="3"/>
        <v>0.12</v>
      </c>
      <c r="I49" s="11" t="s">
        <v>15</v>
      </c>
    </row>
    <row r="50" spans="1:9" ht="28.5" x14ac:dyDescent="0.15">
      <c r="A50" s="7" t="s">
        <v>46</v>
      </c>
      <c r="B50" s="7" t="s">
        <v>382</v>
      </c>
      <c r="D50" s="9">
        <v>1</v>
      </c>
      <c r="E50" s="8">
        <f>3*4-1*2.8</f>
        <v>9.1999999999999993</v>
      </c>
      <c r="F50" s="13">
        <f t="shared" si="2"/>
        <v>9.1999999999999993</v>
      </c>
      <c r="G50" s="21">
        <f>(3*0.006*4-1*0.006*2.8)*7850</f>
        <v>433.32000000000011</v>
      </c>
      <c r="H50" s="13">
        <f t="shared" si="3"/>
        <v>0.43</v>
      </c>
      <c r="I50" s="11" t="s">
        <v>46</v>
      </c>
    </row>
    <row r="51" spans="1:9" x14ac:dyDescent="0.15">
      <c r="A51" s="7" t="s">
        <v>229</v>
      </c>
      <c r="B51" s="7" t="s">
        <v>312</v>
      </c>
      <c r="C51" s="8">
        <v>1.1499999999999999</v>
      </c>
      <c r="D51" s="9">
        <f>ROUNDUP(4/0.5,0)-1</f>
        <v>7</v>
      </c>
      <c r="E51" s="8">
        <f>0.063*4</f>
        <v>0.252</v>
      </c>
      <c r="F51" s="13">
        <f t="shared" si="2"/>
        <v>2.0299999999999998</v>
      </c>
      <c r="G51" s="21">
        <v>4.82</v>
      </c>
      <c r="H51" s="13">
        <f t="shared" si="3"/>
        <v>0.04</v>
      </c>
      <c r="I51" s="11" t="s">
        <v>46</v>
      </c>
    </row>
    <row r="52" spans="1:9" x14ac:dyDescent="0.15">
      <c r="C52" s="8">
        <v>0.75</v>
      </c>
      <c r="D52" s="9">
        <f>ROUNDUP(4/0.5,0)-1</f>
        <v>7</v>
      </c>
      <c r="E52" s="8">
        <f>0.063*4</f>
        <v>0.252</v>
      </c>
      <c r="F52" s="13">
        <f t="shared" si="2"/>
        <v>1.32</v>
      </c>
      <c r="G52" s="21">
        <v>4.82</v>
      </c>
      <c r="H52" s="13">
        <f t="shared" si="3"/>
        <v>0.03</v>
      </c>
      <c r="I52" s="11" t="s">
        <v>46</v>
      </c>
    </row>
    <row r="53" spans="1:9" x14ac:dyDescent="0.15">
      <c r="A53" s="7" t="s">
        <v>383</v>
      </c>
      <c r="F53" s="13">
        <f t="shared" si="2"/>
        <v>0</v>
      </c>
      <c r="H53" s="13">
        <f t="shared" si="3"/>
        <v>0</v>
      </c>
    </row>
    <row r="54" spans="1:9" x14ac:dyDescent="0.15">
      <c r="A54" s="7" t="s">
        <v>188</v>
      </c>
      <c r="B54" s="7" t="s">
        <v>219</v>
      </c>
      <c r="C54" s="8">
        <f>10-6.45-0.25</f>
        <v>3.3</v>
      </c>
      <c r="D54" s="9">
        <v>3</v>
      </c>
      <c r="E54" s="8">
        <f>0.2*2+0.2*4</f>
        <v>1.2000000000000002</v>
      </c>
      <c r="F54" s="13">
        <f t="shared" si="2"/>
        <v>11.88</v>
      </c>
      <c r="G54" s="21">
        <v>48.73</v>
      </c>
      <c r="H54" s="13">
        <f t="shared" si="3"/>
        <v>0.48</v>
      </c>
      <c r="I54" s="11" t="s">
        <v>40</v>
      </c>
    </row>
    <row r="55" spans="1:9" x14ac:dyDescent="0.15">
      <c r="A55" s="7" t="s">
        <v>384</v>
      </c>
      <c r="F55" s="13">
        <f t="shared" si="2"/>
        <v>0</v>
      </c>
      <c r="H55" s="13">
        <f t="shared" si="3"/>
        <v>0</v>
      </c>
    </row>
    <row r="56" spans="1:9" x14ac:dyDescent="0.15">
      <c r="A56" s="7" t="s">
        <v>189</v>
      </c>
      <c r="B56" s="7" t="s">
        <v>307</v>
      </c>
      <c r="C56" s="8">
        <v>1.4</v>
      </c>
      <c r="D56" s="9">
        <v>12</v>
      </c>
      <c r="E56" s="8">
        <f>0.148*2+0.1*4</f>
        <v>0.69599999999999995</v>
      </c>
      <c r="F56" s="13">
        <f t="shared" si="2"/>
        <v>11.69</v>
      </c>
      <c r="G56" s="21">
        <v>20.25</v>
      </c>
      <c r="H56" s="13">
        <f t="shared" si="3"/>
        <v>0.34</v>
      </c>
      <c r="I56" s="11" t="s">
        <v>15</v>
      </c>
    </row>
    <row r="57" spans="1:9" x14ac:dyDescent="0.15">
      <c r="C57" s="8">
        <v>0.9</v>
      </c>
      <c r="D57" s="9">
        <v>6</v>
      </c>
      <c r="E57" s="8">
        <f>0.148*2+0.1*4</f>
        <v>0.69599999999999995</v>
      </c>
      <c r="F57" s="13">
        <f t="shared" si="2"/>
        <v>3.76</v>
      </c>
      <c r="G57" s="21">
        <v>20.25</v>
      </c>
      <c r="H57" s="13">
        <f t="shared" si="3"/>
        <v>0.11</v>
      </c>
      <c r="I57" s="11" t="s">
        <v>15</v>
      </c>
    </row>
    <row r="58" spans="1:9" x14ac:dyDescent="0.15">
      <c r="C58" s="8">
        <v>0.55400000000000005</v>
      </c>
      <c r="D58" s="9">
        <v>12</v>
      </c>
      <c r="E58" s="8">
        <f>0.148*2+0.1*4</f>
        <v>0.69599999999999995</v>
      </c>
      <c r="F58" s="13">
        <f t="shared" si="2"/>
        <v>4.63</v>
      </c>
      <c r="G58" s="21">
        <v>20.25</v>
      </c>
      <c r="H58" s="13">
        <f t="shared" si="3"/>
        <v>0.13</v>
      </c>
      <c r="I58" s="11" t="s">
        <v>15</v>
      </c>
    </row>
    <row r="59" spans="1:9" x14ac:dyDescent="0.15">
      <c r="A59" s="7" t="s">
        <v>199</v>
      </c>
      <c r="B59" s="7" t="s">
        <v>193</v>
      </c>
      <c r="C59" s="8">
        <v>5.4</v>
      </c>
      <c r="D59" s="9">
        <v>2</v>
      </c>
      <c r="E59" s="8">
        <f>0.194*2+0.15*4</f>
        <v>0.98799999999999999</v>
      </c>
      <c r="F59" s="13">
        <f t="shared" si="2"/>
        <v>10.67</v>
      </c>
      <c r="G59" s="21">
        <v>29.48</v>
      </c>
      <c r="H59" s="13">
        <f t="shared" si="3"/>
        <v>0.32</v>
      </c>
      <c r="I59" s="11" t="s">
        <v>15</v>
      </c>
    </row>
    <row r="60" spans="1:9" x14ac:dyDescent="0.15">
      <c r="C60" s="8">
        <v>6</v>
      </c>
      <c r="D60" s="9">
        <v>2</v>
      </c>
      <c r="E60" s="8">
        <f>0.194*2+0.15*4</f>
        <v>0.98799999999999999</v>
      </c>
      <c r="F60" s="13">
        <f t="shared" si="2"/>
        <v>11.86</v>
      </c>
      <c r="G60" s="21">
        <v>29.48</v>
      </c>
      <c r="H60" s="13">
        <f t="shared" si="3"/>
        <v>0.35</v>
      </c>
      <c r="I60" s="11" t="s">
        <v>15</v>
      </c>
    </row>
    <row r="61" spans="1:9" x14ac:dyDescent="0.15">
      <c r="A61" s="7" t="s">
        <v>385</v>
      </c>
      <c r="B61" s="7" t="s">
        <v>201</v>
      </c>
      <c r="C61" s="8">
        <v>1.1000000000000001</v>
      </c>
      <c r="D61" s="9">
        <v>3</v>
      </c>
      <c r="E61" s="8">
        <f>0.244*2+0.175*4</f>
        <v>1.1879999999999999</v>
      </c>
      <c r="F61" s="13">
        <f t="shared" si="2"/>
        <v>3.92</v>
      </c>
      <c r="G61" s="21">
        <v>42.42</v>
      </c>
      <c r="H61" s="13">
        <f t="shared" si="3"/>
        <v>0.14000000000000001</v>
      </c>
      <c r="I61" s="11" t="s">
        <v>15</v>
      </c>
    </row>
    <row r="62" spans="1:9" x14ac:dyDescent="0.15">
      <c r="B62" s="7" t="s">
        <v>386</v>
      </c>
      <c r="C62" s="8">
        <v>0.222</v>
      </c>
      <c r="D62" s="9">
        <f>2*3</f>
        <v>6</v>
      </c>
      <c r="E62" s="8">
        <f>0.084*2</f>
        <v>0.16800000000000001</v>
      </c>
      <c r="F62" s="13">
        <f t="shared" si="2"/>
        <v>0.22</v>
      </c>
      <c r="G62" s="21">
        <f>0.084*0.008*7850</f>
        <v>5.2752000000000008</v>
      </c>
      <c r="H62" s="13">
        <f t="shared" si="3"/>
        <v>0.01</v>
      </c>
      <c r="I62" s="11" t="s">
        <v>15</v>
      </c>
    </row>
    <row r="63" spans="1:9" x14ac:dyDescent="0.15">
      <c r="B63" s="7" t="s">
        <v>359</v>
      </c>
      <c r="C63" s="8">
        <f>0.8*2^0.5</f>
        <v>1.1313708498984762</v>
      </c>
      <c r="D63" s="9">
        <v>3</v>
      </c>
      <c r="E63" s="8">
        <f>0.14*2+0.08*4</f>
        <v>0.60000000000000009</v>
      </c>
      <c r="F63" s="13">
        <f t="shared" si="2"/>
        <v>2.04</v>
      </c>
      <c r="G63" s="21">
        <v>16.899999999999999</v>
      </c>
      <c r="H63" s="13">
        <f t="shared" si="3"/>
        <v>0.06</v>
      </c>
      <c r="I63" s="11" t="s">
        <v>15</v>
      </c>
    </row>
    <row r="64" spans="1:9" x14ac:dyDescent="0.15">
      <c r="A64" s="7" t="s">
        <v>46</v>
      </c>
      <c r="B64" s="7" t="s">
        <v>387</v>
      </c>
      <c r="C64" s="8">
        <v>1.4</v>
      </c>
      <c r="D64" s="9">
        <v>1</v>
      </c>
      <c r="E64" s="8">
        <v>12</v>
      </c>
      <c r="F64" s="13">
        <f t="shared" si="2"/>
        <v>16.8</v>
      </c>
      <c r="G64" s="21">
        <f>12*0.006*7850</f>
        <v>565.20000000000005</v>
      </c>
      <c r="H64" s="13">
        <f t="shared" si="3"/>
        <v>0.79</v>
      </c>
      <c r="I64" s="11" t="s">
        <v>46</v>
      </c>
    </row>
    <row r="65" spans="1:9" x14ac:dyDescent="0.15">
      <c r="A65" s="7" t="s">
        <v>229</v>
      </c>
      <c r="B65" s="7" t="s">
        <v>312</v>
      </c>
      <c r="C65" s="8">
        <v>0.75</v>
      </c>
      <c r="D65" s="9">
        <f>(ROUNDUP(1.4/0.5,0)-1)*4</f>
        <v>8</v>
      </c>
      <c r="E65" s="8">
        <f>0.063*4</f>
        <v>0.252</v>
      </c>
      <c r="F65" s="13">
        <f t="shared" si="2"/>
        <v>1.51</v>
      </c>
      <c r="G65" s="21">
        <v>4.82</v>
      </c>
      <c r="H65" s="13">
        <f t="shared" si="3"/>
        <v>0.03</v>
      </c>
      <c r="I65" s="11" t="s">
        <v>46</v>
      </c>
    </row>
    <row r="66" spans="1:9" x14ac:dyDescent="0.15">
      <c r="C66" s="8">
        <v>0.9</v>
      </c>
      <c r="D66" s="9">
        <f>(ROUNDUP(1.4/0.5,0)-1)*4</f>
        <v>8</v>
      </c>
      <c r="E66" s="8">
        <f>0.063*4</f>
        <v>0.252</v>
      </c>
      <c r="F66" s="13">
        <f t="shared" ref="F66:F97" si="4">ROUND(PRODUCT($C66:$E66),2)</f>
        <v>1.81</v>
      </c>
      <c r="G66" s="21">
        <v>4.82</v>
      </c>
      <c r="H66" s="13">
        <f t="shared" ref="H66:H97" si="5">ROUND(PRODUCT($C66:$D66,$G66)*0.001,2)</f>
        <v>0.03</v>
      </c>
      <c r="I66" s="11" t="s">
        <v>46</v>
      </c>
    </row>
    <row r="67" spans="1:9" x14ac:dyDescent="0.15">
      <c r="A67" s="7" t="s">
        <v>388</v>
      </c>
      <c r="F67" s="13">
        <f t="shared" si="4"/>
        <v>0</v>
      </c>
      <c r="H67" s="13">
        <f t="shared" si="5"/>
        <v>0</v>
      </c>
    </row>
    <row r="68" spans="1:9" x14ac:dyDescent="0.15">
      <c r="A68" s="7" t="s">
        <v>189</v>
      </c>
      <c r="B68" s="7" t="s">
        <v>307</v>
      </c>
      <c r="C68" s="8">
        <v>2.2000000000000002</v>
      </c>
      <c r="D68" s="9">
        <v>1</v>
      </c>
      <c r="E68" s="8">
        <f t="shared" ref="E68:E73" si="6">0.148*2+0.1*4</f>
        <v>0.69599999999999995</v>
      </c>
      <c r="F68" s="13">
        <f t="shared" si="4"/>
        <v>1.53</v>
      </c>
      <c r="G68" s="21">
        <v>20.25</v>
      </c>
      <c r="H68" s="13">
        <f t="shared" si="5"/>
        <v>0.04</v>
      </c>
      <c r="I68" s="11" t="s">
        <v>15</v>
      </c>
    </row>
    <row r="69" spans="1:9" x14ac:dyDescent="0.15">
      <c r="C69" s="8">
        <v>3.8</v>
      </c>
      <c r="D69" s="9">
        <v>3</v>
      </c>
      <c r="E69" s="8">
        <f t="shared" si="6"/>
        <v>0.69599999999999995</v>
      </c>
      <c r="F69" s="13">
        <f t="shared" si="4"/>
        <v>7.93</v>
      </c>
      <c r="G69" s="21">
        <v>20.25</v>
      </c>
      <c r="H69" s="13">
        <f t="shared" si="5"/>
        <v>0.23</v>
      </c>
      <c r="I69" s="11" t="s">
        <v>15</v>
      </c>
    </row>
    <row r="70" spans="1:9" x14ac:dyDescent="0.15">
      <c r="C70" s="8">
        <v>4.2</v>
      </c>
      <c r="D70" s="9">
        <v>3</v>
      </c>
      <c r="E70" s="8">
        <f t="shared" si="6"/>
        <v>0.69599999999999995</v>
      </c>
      <c r="F70" s="13">
        <f t="shared" si="4"/>
        <v>8.77</v>
      </c>
      <c r="G70" s="21">
        <v>20.25</v>
      </c>
      <c r="H70" s="13">
        <f t="shared" si="5"/>
        <v>0.26</v>
      </c>
      <c r="I70" s="11" t="s">
        <v>15</v>
      </c>
    </row>
    <row r="71" spans="1:9" x14ac:dyDescent="0.15">
      <c r="C71" s="8">
        <v>1.8</v>
      </c>
      <c r="D71" s="9">
        <v>1</v>
      </c>
      <c r="E71" s="8">
        <f t="shared" si="6"/>
        <v>0.69599999999999995</v>
      </c>
      <c r="F71" s="13">
        <f t="shared" si="4"/>
        <v>1.25</v>
      </c>
      <c r="G71" s="21">
        <v>20.25</v>
      </c>
      <c r="H71" s="13">
        <f t="shared" si="5"/>
        <v>0.04</v>
      </c>
      <c r="I71" s="11" t="s">
        <v>15</v>
      </c>
    </row>
    <row r="72" spans="1:9" x14ac:dyDescent="0.15">
      <c r="C72" s="8">
        <v>3.6</v>
      </c>
      <c r="D72" s="9">
        <v>3</v>
      </c>
      <c r="E72" s="8">
        <f t="shared" si="6"/>
        <v>0.69599999999999995</v>
      </c>
      <c r="F72" s="13">
        <f t="shared" si="4"/>
        <v>7.52</v>
      </c>
      <c r="G72" s="21">
        <v>20.25</v>
      </c>
      <c r="H72" s="13">
        <f t="shared" si="5"/>
        <v>0.22</v>
      </c>
      <c r="I72" s="11" t="s">
        <v>15</v>
      </c>
    </row>
    <row r="73" spans="1:9" x14ac:dyDescent="0.15">
      <c r="C73" s="8">
        <v>1.8</v>
      </c>
      <c r="D73" s="9">
        <v>1</v>
      </c>
      <c r="E73" s="8">
        <f t="shared" si="6"/>
        <v>0.69599999999999995</v>
      </c>
      <c r="F73" s="13">
        <f t="shared" si="4"/>
        <v>1.25</v>
      </c>
      <c r="G73" s="21">
        <v>20.25</v>
      </c>
      <c r="H73" s="13">
        <f t="shared" si="5"/>
        <v>0.04</v>
      </c>
      <c r="I73" s="11" t="s">
        <v>15</v>
      </c>
    </row>
    <row r="74" spans="1:9" x14ac:dyDescent="0.15">
      <c r="A74" s="7" t="s">
        <v>214</v>
      </c>
      <c r="B74" s="7" t="s">
        <v>222</v>
      </c>
      <c r="C74" s="8">
        <v>2.2000000000000002</v>
      </c>
      <c r="D74" s="9">
        <v>2</v>
      </c>
      <c r="E74" s="8">
        <f t="shared" ref="E74:E81" si="7">0.294*2+0.2*4</f>
        <v>1.3879999999999999</v>
      </c>
      <c r="F74" s="13">
        <f t="shared" si="4"/>
        <v>6.11</v>
      </c>
      <c r="G74" s="21">
        <v>54.63</v>
      </c>
      <c r="H74" s="13">
        <f t="shared" si="5"/>
        <v>0.24</v>
      </c>
      <c r="I74" s="11" t="s">
        <v>15</v>
      </c>
    </row>
    <row r="75" spans="1:9" x14ac:dyDescent="0.15">
      <c r="C75" s="8">
        <v>5.4</v>
      </c>
      <c r="D75" s="9">
        <v>1</v>
      </c>
      <c r="E75" s="8">
        <f t="shared" si="7"/>
        <v>1.3879999999999999</v>
      </c>
      <c r="F75" s="13">
        <f t="shared" si="4"/>
        <v>7.5</v>
      </c>
      <c r="G75" s="21">
        <v>54.63</v>
      </c>
      <c r="H75" s="13">
        <f t="shared" si="5"/>
        <v>0.3</v>
      </c>
      <c r="I75" s="11" t="s">
        <v>15</v>
      </c>
    </row>
    <row r="76" spans="1:9" x14ac:dyDescent="0.15">
      <c r="C76" s="8">
        <v>1.8</v>
      </c>
      <c r="D76" s="9">
        <v>2</v>
      </c>
      <c r="E76" s="8">
        <f t="shared" si="7"/>
        <v>1.3879999999999999</v>
      </c>
      <c r="F76" s="13">
        <f t="shared" si="4"/>
        <v>5</v>
      </c>
      <c r="G76" s="21">
        <v>54.63</v>
      </c>
      <c r="H76" s="13">
        <f t="shared" si="5"/>
        <v>0.2</v>
      </c>
      <c r="I76" s="11" t="s">
        <v>15</v>
      </c>
    </row>
    <row r="77" spans="1:9" x14ac:dyDescent="0.15">
      <c r="C77" s="8">
        <v>5.4</v>
      </c>
      <c r="D77" s="9">
        <v>1</v>
      </c>
      <c r="E77" s="8">
        <f t="shared" si="7"/>
        <v>1.3879999999999999</v>
      </c>
      <c r="F77" s="13">
        <f t="shared" si="4"/>
        <v>7.5</v>
      </c>
      <c r="G77" s="21">
        <v>54.63</v>
      </c>
      <c r="H77" s="13">
        <f t="shared" si="5"/>
        <v>0.3</v>
      </c>
      <c r="I77" s="11" t="s">
        <v>15</v>
      </c>
    </row>
    <row r="78" spans="1:9" x14ac:dyDescent="0.15">
      <c r="C78" s="8">
        <v>1.8</v>
      </c>
      <c r="D78" s="9">
        <v>2</v>
      </c>
      <c r="E78" s="8">
        <f t="shared" si="7"/>
        <v>1.3879999999999999</v>
      </c>
      <c r="F78" s="13">
        <f t="shared" si="4"/>
        <v>5</v>
      </c>
      <c r="G78" s="21">
        <v>54.63</v>
      </c>
      <c r="H78" s="13">
        <f t="shared" si="5"/>
        <v>0.2</v>
      </c>
      <c r="I78" s="11" t="s">
        <v>15</v>
      </c>
    </row>
    <row r="79" spans="1:9" x14ac:dyDescent="0.15">
      <c r="C79" s="8">
        <v>5.4</v>
      </c>
      <c r="D79" s="9">
        <v>1</v>
      </c>
      <c r="E79" s="8">
        <f t="shared" si="7"/>
        <v>1.3879999999999999</v>
      </c>
      <c r="F79" s="13">
        <f t="shared" si="4"/>
        <v>7.5</v>
      </c>
      <c r="G79" s="21">
        <v>54.63</v>
      </c>
      <c r="H79" s="13">
        <f t="shared" si="5"/>
        <v>0.3</v>
      </c>
      <c r="I79" s="11" t="s">
        <v>15</v>
      </c>
    </row>
    <row r="80" spans="1:9" x14ac:dyDescent="0.15">
      <c r="C80" s="8">
        <v>1.8</v>
      </c>
      <c r="D80" s="9">
        <v>1</v>
      </c>
      <c r="E80" s="8">
        <f t="shared" si="7"/>
        <v>1.3879999999999999</v>
      </c>
      <c r="F80" s="13">
        <f t="shared" si="4"/>
        <v>2.5</v>
      </c>
      <c r="G80" s="21">
        <v>54.63</v>
      </c>
      <c r="H80" s="13">
        <f t="shared" si="5"/>
        <v>0.1</v>
      </c>
      <c r="I80" s="11" t="s">
        <v>15</v>
      </c>
    </row>
    <row r="81" spans="1:9" x14ac:dyDescent="0.15">
      <c r="C81" s="8">
        <v>5</v>
      </c>
      <c r="D81" s="9">
        <v>4</v>
      </c>
      <c r="E81" s="8">
        <f t="shared" si="7"/>
        <v>1.3879999999999999</v>
      </c>
      <c r="F81" s="13">
        <f t="shared" si="4"/>
        <v>27.76</v>
      </c>
      <c r="G81" s="21">
        <v>54.63</v>
      </c>
      <c r="H81" s="13">
        <f t="shared" si="5"/>
        <v>1.0900000000000001</v>
      </c>
      <c r="I81" s="11" t="s">
        <v>15</v>
      </c>
    </row>
    <row r="82" spans="1:9" x14ac:dyDescent="0.15">
      <c r="A82" s="7" t="s">
        <v>215</v>
      </c>
      <c r="B82" s="7" t="s">
        <v>223</v>
      </c>
      <c r="C82" s="8">
        <v>6</v>
      </c>
      <c r="D82" s="9">
        <v>3</v>
      </c>
      <c r="E82" s="8">
        <f>0.34*2+0.25*4</f>
        <v>1.6800000000000002</v>
      </c>
      <c r="F82" s="13">
        <f t="shared" si="4"/>
        <v>30.24</v>
      </c>
      <c r="G82" s="21">
        <v>76.989999999999995</v>
      </c>
      <c r="H82" s="13">
        <f t="shared" si="5"/>
        <v>1.39</v>
      </c>
      <c r="I82" s="11" t="s">
        <v>15</v>
      </c>
    </row>
    <row r="83" spans="1:9" x14ac:dyDescent="0.15">
      <c r="C83" s="8">
        <v>6.2</v>
      </c>
      <c r="D83" s="9">
        <v>2</v>
      </c>
      <c r="E83" s="8">
        <f>0.34*2+0.25*4</f>
        <v>1.6800000000000002</v>
      </c>
      <c r="F83" s="13">
        <f t="shared" si="4"/>
        <v>20.83</v>
      </c>
      <c r="G83" s="21">
        <v>76.989999999999995</v>
      </c>
      <c r="H83" s="13">
        <f t="shared" si="5"/>
        <v>0.95</v>
      </c>
      <c r="I83" s="11" t="s">
        <v>15</v>
      </c>
    </row>
    <row r="84" spans="1:9" x14ac:dyDescent="0.15">
      <c r="A84" s="7" t="s">
        <v>216</v>
      </c>
      <c r="B84" s="7" t="s">
        <v>365</v>
      </c>
      <c r="C84" s="8">
        <v>6.2</v>
      </c>
      <c r="D84" s="9">
        <v>2</v>
      </c>
      <c r="E84" s="8">
        <f>0.39*2+0.3*4</f>
        <v>1.98</v>
      </c>
      <c r="F84" s="13">
        <f t="shared" si="4"/>
        <v>24.55</v>
      </c>
      <c r="G84" s="21">
        <v>103.46</v>
      </c>
      <c r="H84" s="13">
        <f t="shared" si="5"/>
        <v>1.28</v>
      </c>
      <c r="I84" s="11" t="s">
        <v>15</v>
      </c>
    </row>
    <row r="85" spans="1:9" x14ac:dyDescent="0.15">
      <c r="A85" s="7" t="s">
        <v>118</v>
      </c>
      <c r="B85" s="7" t="s">
        <v>130</v>
      </c>
      <c r="C85" s="8">
        <v>8.4030000000000005</v>
      </c>
      <c r="D85" s="9">
        <v>6</v>
      </c>
      <c r="E85" s="8">
        <f>0.11*2</f>
        <v>0.22</v>
      </c>
      <c r="F85" s="13">
        <f t="shared" si="4"/>
        <v>11.09</v>
      </c>
      <c r="G85" s="21">
        <v>11.9</v>
      </c>
      <c r="H85" s="13">
        <f t="shared" si="5"/>
        <v>0.6</v>
      </c>
      <c r="I85" s="11" t="s">
        <v>15</v>
      </c>
    </row>
    <row r="86" spans="1:9" x14ac:dyDescent="0.15">
      <c r="A86" s="7" t="s">
        <v>46</v>
      </c>
      <c r="B86" s="7" t="s">
        <v>389</v>
      </c>
      <c r="C86" s="8">
        <v>5</v>
      </c>
      <c r="D86" s="9">
        <v>1</v>
      </c>
      <c r="E86" s="8">
        <v>18</v>
      </c>
      <c r="F86" s="13">
        <f t="shared" si="4"/>
        <v>90</v>
      </c>
      <c r="G86" s="21">
        <f>18*0.006*7850</f>
        <v>847.8</v>
      </c>
      <c r="H86" s="13">
        <f t="shared" si="5"/>
        <v>4.24</v>
      </c>
      <c r="I86" s="11" t="s">
        <v>46</v>
      </c>
    </row>
    <row r="87" spans="1:9" x14ac:dyDescent="0.15">
      <c r="A87" s="7" t="s">
        <v>229</v>
      </c>
      <c r="B87" s="7" t="s">
        <v>312</v>
      </c>
      <c r="C87" s="8">
        <v>0.6</v>
      </c>
      <c r="D87" s="9">
        <f>ROUNDUP(2.2/0.5,0)-1</f>
        <v>4</v>
      </c>
      <c r="E87" s="8">
        <f t="shared" ref="E87:E99" si="8">0.063*4</f>
        <v>0.252</v>
      </c>
      <c r="F87" s="13">
        <f t="shared" si="4"/>
        <v>0.6</v>
      </c>
      <c r="G87" s="21">
        <v>4.82</v>
      </c>
      <c r="H87" s="13">
        <f t="shared" si="5"/>
        <v>0.01</v>
      </c>
      <c r="I87" s="11" t="s">
        <v>46</v>
      </c>
    </row>
    <row r="88" spans="1:9" x14ac:dyDescent="0.15">
      <c r="C88" s="8">
        <v>1.3</v>
      </c>
      <c r="D88" s="9">
        <f>(ROUNDUP(2.2/0.5,0)-1)*2</f>
        <v>8</v>
      </c>
      <c r="E88" s="8">
        <f t="shared" si="8"/>
        <v>0.252</v>
      </c>
      <c r="F88" s="13">
        <f t="shared" si="4"/>
        <v>2.62</v>
      </c>
      <c r="G88" s="21">
        <v>4.82</v>
      </c>
      <c r="H88" s="13">
        <f t="shared" si="5"/>
        <v>0.05</v>
      </c>
      <c r="I88" s="11" t="s">
        <v>46</v>
      </c>
    </row>
    <row r="89" spans="1:9" x14ac:dyDescent="0.15">
      <c r="C89" s="8">
        <v>1.2</v>
      </c>
      <c r="D89" s="9">
        <f>(ROUNDUP(3.8/0.5,0)-1)*2</f>
        <v>14</v>
      </c>
      <c r="E89" s="8">
        <f t="shared" si="8"/>
        <v>0.252</v>
      </c>
      <c r="F89" s="13">
        <f t="shared" si="4"/>
        <v>4.2300000000000004</v>
      </c>
      <c r="G89" s="21">
        <v>4.82</v>
      </c>
      <c r="H89" s="13">
        <f t="shared" si="5"/>
        <v>0.08</v>
      </c>
      <c r="I89" s="11" t="s">
        <v>46</v>
      </c>
    </row>
    <row r="90" spans="1:9" x14ac:dyDescent="0.15">
      <c r="C90" s="8">
        <v>1.3</v>
      </c>
      <c r="D90" s="9">
        <f>(ROUNDUP(3.8/0.5,0)-1)*2</f>
        <v>14</v>
      </c>
      <c r="E90" s="8">
        <f t="shared" si="8"/>
        <v>0.252</v>
      </c>
      <c r="F90" s="13">
        <f t="shared" si="4"/>
        <v>4.59</v>
      </c>
      <c r="G90" s="21">
        <v>4.82</v>
      </c>
      <c r="H90" s="13">
        <f t="shared" si="5"/>
        <v>0.09</v>
      </c>
      <c r="I90" s="11" t="s">
        <v>46</v>
      </c>
    </row>
    <row r="91" spans="1:9" x14ac:dyDescent="0.15">
      <c r="C91" s="8">
        <v>1.2</v>
      </c>
      <c r="D91" s="9">
        <f>(ROUNDUP(4.2/0.5,0)-1)*2</f>
        <v>16</v>
      </c>
      <c r="E91" s="8">
        <f t="shared" si="8"/>
        <v>0.252</v>
      </c>
      <c r="F91" s="13">
        <f t="shared" si="4"/>
        <v>4.84</v>
      </c>
      <c r="G91" s="21">
        <v>4.82</v>
      </c>
      <c r="H91" s="13">
        <f t="shared" si="5"/>
        <v>0.09</v>
      </c>
      <c r="I91" s="11" t="s">
        <v>46</v>
      </c>
    </row>
    <row r="92" spans="1:9" x14ac:dyDescent="0.15">
      <c r="C92" s="8">
        <v>1.3</v>
      </c>
      <c r="D92" s="9">
        <f>(ROUNDUP(4.2/0.5,0)-1)*2</f>
        <v>16</v>
      </c>
      <c r="E92" s="8">
        <f t="shared" si="8"/>
        <v>0.252</v>
      </c>
      <c r="F92" s="13">
        <f t="shared" si="4"/>
        <v>5.24</v>
      </c>
      <c r="G92" s="21">
        <v>4.82</v>
      </c>
      <c r="H92" s="13">
        <f t="shared" si="5"/>
        <v>0.1</v>
      </c>
      <c r="I92" s="11" t="s">
        <v>46</v>
      </c>
    </row>
    <row r="93" spans="1:9" x14ac:dyDescent="0.15">
      <c r="C93" s="8">
        <v>0.6</v>
      </c>
      <c r="D93" s="9">
        <f>ROUNDUP(1.8/0.5,0)-1</f>
        <v>3</v>
      </c>
      <c r="E93" s="8">
        <f t="shared" si="8"/>
        <v>0.252</v>
      </c>
      <c r="F93" s="13">
        <f t="shared" si="4"/>
        <v>0.45</v>
      </c>
      <c r="G93" s="21">
        <v>4.82</v>
      </c>
      <c r="H93" s="13">
        <f t="shared" si="5"/>
        <v>0.01</v>
      </c>
      <c r="I93" s="11" t="s">
        <v>46</v>
      </c>
    </row>
    <row r="94" spans="1:9" x14ac:dyDescent="0.15">
      <c r="C94" s="8">
        <v>1.3</v>
      </c>
      <c r="D94" s="9">
        <f>(ROUNDUP(1.8/0.5,0)-1)*2</f>
        <v>6</v>
      </c>
      <c r="E94" s="8">
        <f t="shared" si="8"/>
        <v>0.252</v>
      </c>
      <c r="F94" s="13">
        <f t="shared" si="4"/>
        <v>1.97</v>
      </c>
      <c r="G94" s="21">
        <v>4.82</v>
      </c>
      <c r="H94" s="13">
        <f t="shared" si="5"/>
        <v>0.04</v>
      </c>
      <c r="I94" s="11" t="s">
        <v>46</v>
      </c>
    </row>
    <row r="95" spans="1:9" x14ac:dyDescent="0.15">
      <c r="C95" s="8">
        <v>1.2</v>
      </c>
      <c r="D95" s="9">
        <f>(ROUNDUP(3.6/0.5,0)-1)*2</f>
        <v>14</v>
      </c>
      <c r="E95" s="8">
        <f t="shared" si="8"/>
        <v>0.252</v>
      </c>
      <c r="F95" s="13">
        <f t="shared" si="4"/>
        <v>4.2300000000000004</v>
      </c>
      <c r="G95" s="21">
        <v>4.82</v>
      </c>
      <c r="H95" s="13">
        <f t="shared" si="5"/>
        <v>0.08</v>
      </c>
      <c r="I95" s="11" t="s">
        <v>46</v>
      </c>
    </row>
    <row r="96" spans="1:9" x14ac:dyDescent="0.15">
      <c r="C96" s="8">
        <v>1.3</v>
      </c>
      <c r="D96" s="9">
        <f>(ROUNDUP(3.6/0.5,0)-1)*2</f>
        <v>14</v>
      </c>
      <c r="E96" s="8">
        <f t="shared" si="8"/>
        <v>0.252</v>
      </c>
      <c r="F96" s="13">
        <f t="shared" si="4"/>
        <v>4.59</v>
      </c>
      <c r="G96" s="21">
        <v>4.82</v>
      </c>
      <c r="H96" s="13">
        <f t="shared" si="5"/>
        <v>0.09</v>
      </c>
      <c r="I96" s="11" t="s">
        <v>46</v>
      </c>
    </row>
    <row r="97" spans="1:9" x14ac:dyDescent="0.15">
      <c r="C97" s="8">
        <v>0.6</v>
      </c>
      <c r="D97" s="9">
        <f>ROUNDUP(1.8/0.5,0)-1</f>
        <v>3</v>
      </c>
      <c r="E97" s="8">
        <f t="shared" si="8"/>
        <v>0.252</v>
      </c>
      <c r="F97" s="13">
        <f t="shared" si="4"/>
        <v>0.45</v>
      </c>
      <c r="G97" s="21">
        <v>4.82</v>
      </c>
      <c r="H97" s="13">
        <f t="shared" si="5"/>
        <v>0.01</v>
      </c>
      <c r="I97" s="11" t="s">
        <v>46</v>
      </c>
    </row>
    <row r="98" spans="1:9" x14ac:dyDescent="0.15">
      <c r="C98" s="8">
        <v>1.3</v>
      </c>
      <c r="D98" s="9">
        <f>(ROUNDUP(1.8/0.5,0)-1)*2</f>
        <v>6</v>
      </c>
      <c r="E98" s="8">
        <f t="shared" si="8"/>
        <v>0.252</v>
      </c>
      <c r="F98" s="13">
        <f t="shared" ref="F98:F126" si="9">ROUND(PRODUCT($C98:$E98),2)</f>
        <v>1.97</v>
      </c>
      <c r="G98" s="21">
        <v>4.82</v>
      </c>
      <c r="H98" s="13">
        <f t="shared" ref="H98:H126" si="10">ROUND(PRODUCT($C98:$D98,$G98)*0.001,2)</f>
        <v>0.04</v>
      </c>
      <c r="I98" s="11" t="s">
        <v>46</v>
      </c>
    </row>
    <row r="99" spans="1:9" x14ac:dyDescent="0.15">
      <c r="C99" s="8">
        <v>0.6</v>
      </c>
      <c r="D99" s="9">
        <f>ROUNDUP(5/0.5,0)-1</f>
        <v>9</v>
      </c>
      <c r="E99" s="8">
        <f t="shared" si="8"/>
        <v>0.252</v>
      </c>
      <c r="F99" s="13">
        <f t="shared" si="9"/>
        <v>1.36</v>
      </c>
      <c r="G99" s="21">
        <v>4.82</v>
      </c>
      <c r="H99" s="13">
        <f t="shared" si="10"/>
        <v>0.03</v>
      </c>
      <c r="I99" s="11" t="s">
        <v>46</v>
      </c>
    </row>
    <row r="100" spans="1:9" x14ac:dyDescent="0.15">
      <c r="A100" s="7" t="s">
        <v>390</v>
      </c>
      <c r="F100" s="13">
        <f t="shared" si="9"/>
        <v>0</v>
      </c>
      <c r="H100" s="13">
        <f t="shared" si="10"/>
        <v>0</v>
      </c>
    </row>
    <row r="101" spans="1:9" x14ac:dyDescent="0.15">
      <c r="A101" s="7" t="s">
        <v>189</v>
      </c>
      <c r="B101" s="7" t="s">
        <v>307</v>
      </c>
      <c r="C101" s="8">
        <v>4</v>
      </c>
      <c r="D101" s="9">
        <v>5</v>
      </c>
      <c r="E101" s="8">
        <f>0.148*2+0.1*4</f>
        <v>0.69599999999999995</v>
      </c>
      <c r="F101" s="13">
        <f t="shared" si="9"/>
        <v>13.92</v>
      </c>
      <c r="G101" s="21">
        <v>20.25</v>
      </c>
      <c r="H101" s="13">
        <f t="shared" si="10"/>
        <v>0.41</v>
      </c>
      <c r="I101" s="11" t="s">
        <v>15</v>
      </c>
    </row>
    <row r="102" spans="1:9" x14ac:dyDescent="0.15">
      <c r="A102" s="7" t="s">
        <v>199</v>
      </c>
      <c r="B102" s="7" t="s">
        <v>193</v>
      </c>
      <c r="C102" s="8">
        <v>4</v>
      </c>
      <c r="D102" s="9">
        <v>1</v>
      </c>
      <c r="E102" s="8">
        <f>0.194*2+0.15*4</f>
        <v>0.98799999999999999</v>
      </c>
      <c r="F102" s="13">
        <f t="shared" si="9"/>
        <v>3.95</v>
      </c>
      <c r="G102" s="21">
        <v>29.48</v>
      </c>
      <c r="H102" s="13">
        <f t="shared" si="10"/>
        <v>0.12</v>
      </c>
      <c r="I102" s="11" t="s">
        <v>15</v>
      </c>
    </row>
    <row r="103" spans="1:9" x14ac:dyDescent="0.15">
      <c r="C103" s="8">
        <v>6</v>
      </c>
      <c r="D103" s="9">
        <v>1</v>
      </c>
      <c r="E103" s="8">
        <f>0.194*2+0.15*4</f>
        <v>0.98799999999999999</v>
      </c>
      <c r="F103" s="13">
        <f t="shared" si="9"/>
        <v>5.93</v>
      </c>
      <c r="G103" s="21">
        <v>29.48</v>
      </c>
      <c r="H103" s="13">
        <f t="shared" si="10"/>
        <v>0.18</v>
      </c>
      <c r="I103" s="11" t="s">
        <v>15</v>
      </c>
    </row>
    <row r="104" spans="1:9" x14ac:dyDescent="0.15">
      <c r="C104" s="8">
        <f>4-0.1</f>
        <v>3.9</v>
      </c>
      <c r="D104" s="9">
        <v>1</v>
      </c>
      <c r="E104" s="8">
        <f>0.194*2+0.15*4</f>
        <v>0.98799999999999999</v>
      </c>
      <c r="F104" s="13">
        <f t="shared" si="9"/>
        <v>3.85</v>
      </c>
      <c r="G104" s="21">
        <v>29.48</v>
      </c>
      <c r="H104" s="13">
        <f t="shared" si="10"/>
        <v>0.11</v>
      </c>
      <c r="I104" s="11" t="s">
        <v>15</v>
      </c>
    </row>
    <row r="105" spans="1:9" x14ac:dyDescent="0.15">
      <c r="C105" s="8">
        <v>3.5</v>
      </c>
      <c r="D105" s="9">
        <v>2</v>
      </c>
      <c r="E105" s="8">
        <f>0.194*2+0.15*4</f>
        <v>0.98799999999999999</v>
      </c>
      <c r="F105" s="13">
        <f t="shared" si="9"/>
        <v>6.92</v>
      </c>
      <c r="G105" s="21">
        <v>29.48</v>
      </c>
      <c r="H105" s="13">
        <f t="shared" si="10"/>
        <v>0.21</v>
      </c>
      <c r="I105" s="11" t="s">
        <v>15</v>
      </c>
    </row>
    <row r="106" spans="1:9" x14ac:dyDescent="0.15">
      <c r="A106" s="7" t="s">
        <v>213</v>
      </c>
      <c r="B106" s="7" t="s">
        <v>201</v>
      </c>
      <c r="C106" s="8">
        <v>5.4</v>
      </c>
      <c r="D106" s="9">
        <v>2</v>
      </c>
      <c r="E106" s="8">
        <f>0.244*2+0.175*4</f>
        <v>1.1879999999999999</v>
      </c>
      <c r="F106" s="13">
        <f t="shared" si="9"/>
        <v>12.83</v>
      </c>
      <c r="G106" s="21">
        <v>42.42</v>
      </c>
      <c r="H106" s="13">
        <f t="shared" si="10"/>
        <v>0.46</v>
      </c>
      <c r="I106" s="11" t="s">
        <v>15</v>
      </c>
    </row>
    <row r="107" spans="1:9" x14ac:dyDescent="0.15">
      <c r="A107" s="7" t="s">
        <v>46</v>
      </c>
      <c r="B107" s="7" t="s">
        <v>391</v>
      </c>
      <c r="C107" s="8">
        <v>4</v>
      </c>
      <c r="D107" s="9">
        <v>1</v>
      </c>
      <c r="E107" s="8">
        <v>10</v>
      </c>
      <c r="F107" s="13">
        <f t="shared" si="9"/>
        <v>40</v>
      </c>
      <c r="G107" s="21">
        <f>10*0.006*7850</f>
        <v>471</v>
      </c>
      <c r="H107" s="13">
        <f t="shared" si="10"/>
        <v>1.88</v>
      </c>
      <c r="I107" s="11" t="s">
        <v>46</v>
      </c>
    </row>
    <row r="108" spans="1:9" x14ac:dyDescent="0.15">
      <c r="A108" s="7" t="s">
        <v>229</v>
      </c>
      <c r="B108" s="7" t="s">
        <v>312</v>
      </c>
      <c r="C108" s="8">
        <v>1.2</v>
      </c>
      <c r="D108" s="9">
        <f>ROUNDUP(4/0.5,0)-1</f>
        <v>7</v>
      </c>
      <c r="E108" s="8">
        <f>0.063*4</f>
        <v>0.252</v>
      </c>
      <c r="F108" s="13">
        <f t="shared" si="9"/>
        <v>2.12</v>
      </c>
      <c r="G108" s="21">
        <v>4.82</v>
      </c>
      <c r="H108" s="13">
        <f t="shared" si="10"/>
        <v>0.04</v>
      </c>
      <c r="I108" s="11" t="s">
        <v>46</v>
      </c>
    </row>
    <row r="109" spans="1:9" x14ac:dyDescent="0.15">
      <c r="C109" s="8">
        <v>1.4</v>
      </c>
      <c r="D109" s="9">
        <f>(ROUNDUP(4/0.5,0)-1)*2</f>
        <v>14</v>
      </c>
      <c r="E109" s="8">
        <f>0.063*4</f>
        <v>0.252</v>
      </c>
      <c r="F109" s="13">
        <f t="shared" si="9"/>
        <v>4.9400000000000004</v>
      </c>
      <c r="G109" s="21">
        <v>4.82</v>
      </c>
      <c r="H109" s="13">
        <f t="shared" si="10"/>
        <v>0.09</v>
      </c>
      <c r="I109" s="11" t="s">
        <v>46</v>
      </c>
    </row>
    <row r="110" spans="1:9" x14ac:dyDescent="0.15">
      <c r="C110" s="8">
        <v>1.5</v>
      </c>
      <c r="D110" s="9">
        <f>(ROUNDUP(4/0.5,0)-1)*4</f>
        <v>28</v>
      </c>
      <c r="E110" s="8">
        <f>0.063*4</f>
        <v>0.252</v>
      </c>
      <c r="F110" s="13">
        <f t="shared" si="9"/>
        <v>10.58</v>
      </c>
      <c r="G110" s="21">
        <v>4.82</v>
      </c>
      <c r="H110" s="13">
        <f t="shared" si="10"/>
        <v>0.2</v>
      </c>
      <c r="I110" s="11" t="s">
        <v>46</v>
      </c>
    </row>
    <row r="111" spans="1:9" x14ac:dyDescent="0.15">
      <c r="A111" s="7" t="s">
        <v>392</v>
      </c>
      <c r="F111" s="13">
        <f t="shared" si="9"/>
        <v>0</v>
      </c>
      <c r="H111" s="13">
        <f t="shared" si="10"/>
        <v>0</v>
      </c>
    </row>
    <row r="112" spans="1:9" x14ac:dyDescent="0.15">
      <c r="A112" s="7" t="s">
        <v>199</v>
      </c>
      <c r="B112" s="7" t="s">
        <v>193</v>
      </c>
      <c r="C112" s="8">
        <v>3.4</v>
      </c>
      <c r="D112" s="9">
        <v>8</v>
      </c>
      <c r="E112" s="8">
        <f>0.194*2+0.15*4</f>
        <v>0.98799999999999999</v>
      </c>
      <c r="F112" s="13">
        <f t="shared" si="9"/>
        <v>26.87</v>
      </c>
      <c r="G112" s="21">
        <v>29.48</v>
      </c>
      <c r="H112" s="13">
        <f t="shared" si="10"/>
        <v>0.8</v>
      </c>
      <c r="I112" s="11" t="s">
        <v>15</v>
      </c>
    </row>
    <row r="113" spans="1:9" x14ac:dyDescent="0.15">
      <c r="A113" s="7" t="s">
        <v>393</v>
      </c>
      <c r="F113" s="13">
        <f t="shared" si="9"/>
        <v>0</v>
      </c>
      <c r="H113" s="13">
        <f t="shared" si="10"/>
        <v>0</v>
      </c>
    </row>
    <row r="114" spans="1:9" x14ac:dyDescent="0.15">
      <c r="A114" s="7" t="s">
        <v>189</v>
      </c>
      <c r="B114" s="7" t="s">
        <v>307</v>
      </c>
      <c r="C114" s="8">
        <v>3.5</v>
      </c>
      <c r="D114" s="9">
        <v>1</v>
      </c>
      <c r="E114" s="8">
        <f>0.148*2+0.1*4</f>
        <v>0.69599999999999995</v>
      </c>
      <c r="F114" s="13">
        <f t="shared" si="9"/>
        <v>2.44</v>
      </c>
      <c r="G114" s="21">
        <v>20.25</v>
      </c>
      <c r="H114" s="13">
        <f t="shared" si="10"/>
        <v>7.0000000000000007E-2</v>
      </c>
      <c r="I114" s="11" t="s">
        <v>15</v>
      </c>
    </row>
    <row r="115" spans="1:9" x14ac:dyDescent="0.15">
      <c r="C115" s="8">
        <v>2</v>
      </c>
      <c r="D115" s="9">
        <v>12</v>
      </c>
      <c r="E115" s="8">
        <f>0.148*2+0.1*4</f>
        <v>0.69599999999999995</v>
      </c>
      <c r="F115" s="13">
        <f t="shared" si="9"/>
        <v>16.7</v>
      </c>
      <c r="G115" s="21">
        <v>20.25</v>
      </c>
      <c r="H115" s="13">
        <f t="shared" si="10"/>
        <v>0.49</v>
      </c>
      <c r="I115" s="11" t="s">
        <v>15</v>
      </c>
    </row>
    <row r="116" spans="1:9" x14ac:dyDescent="0.15">
      <c r="A116" s="7" t="s">
        <v>199</v>
      </c>
      <c r="B116" s="7" t="s">
        <v>193</v>
      </c>
      <c r="C116" s="8">
        <v>3</v>
      </c>
      <c r="D116" s="9">
        <v>1</v>
      </c>
      <c r="E116" s="8">
        <f>0.194*2+0.15*4</f>
        <v>0.98799999999999999</v>
      </c>
      <c r="F116" s="13">
        <f t="shared" si="9"/>
        <v>2.96</v>
      </c>
      <c r="G116" s="21">
        <v>29.48</v>
      </c>
      <c r="H116" s="13">
        <f t="shared" si="10"/>
        <v>0.09</v>
      </c>
      <c r="I116" s="11" t="s">
        <v>15</v>
      </c>
    </row>
    <row r="117" spans="1:9" x14ac:dyDescent="0.15">
      <c r="C117" s="8">
        <v>5.55</v>
      </c>
      <c r="D117" s="9">
        <v>1</v>
      </c>
      <c r="E117" s="8">
        <f>0.194*2+0.15*4</f>
        <v>0.98799999999999999</v>
      </c>
      <c r="F117" s="13">
        <f t="shared" si="9"/>
        <v>5.48</v>
      </c>
      <c r="G117" s="21">
        <v>29.48</v>
      </c>
      <c r="H117" s="13">
        <f t="shared" si="10"/>
        <v>0.16</v>
      </c>
      <c r="I117" s="11" t="s">
        <v>15</v>
      </c>
    </row>
    <row r="118" spans="1:9" x14ac:dyDescent="0.15">
      <c r="C118" s="8">
        <v>5.5</v>
      </c>
      <c r="D118" s="9">
        <v>3</v>
      </c>
      <c r="E118" s="8">
        <f>0.194*2+0.15*4</f>
        <v>0.98799999999999999</v>
      </c>
      <c r="F118" s="13">
        <f t="shared" si="9"/>
        <v>16.3</v>
      </c>
      <c r="G118" s="21">
        <v>29.48</v>
      </c>
      <c r="H118" s="13">
        <f t="shared" si="10"/>
        <v>0.49</v>
      </c>
      <c r="I118" s="11" t="s">
        <v>15</v>
      </c>
    </row>
    <row r="119" spans="1:9" x14ac:dyDescent="0.15">
      <c r="C119" s="8">
        <v>3.5</v>
      </c>
      <c r="D119" s="9">
        <v>1</v>
      </c>
      <c r="E119" s="8">
        <f>0.194*2+0.15*4</f>
        <v>0.98799999999999999</v>
      </c>
      <c r="F119" s="13">
        <f t="shared" si="9"/>
        <v>3.46</v>
      </c>
      <c r="G119" s="21">
        <v>29.48</v>
      </c>
      <c r="H119" s="13">
        <f t="shared" si="10"/>
        <v>0.1</v>
      </c>
      <c r="I119" s="11" t="s">
        <v>15</v>
      </c>
    </row>
    <row r="120" spans="1:9" x14ac:dyDescent="0.15">
      <c r="C120" s="8">
        <v>6</v>
      </c>
      <c r="D120" s="9">
        <v>4</v>
      </c>
      <c r="E120" s="8">
        <f>0.194*2+0.15*4</f>
        <v>0.98799999999999999</v>
      </c>
      <c r="F120" s="13">
        <f t="shared" si="9"/>
        <v>23.71</v>
      </c>
      <c r="G120" s="21">
        <v>29.48</v>
      </c>
      <c r="H120" s="13">
        <f t="shared" si="10"/>
        <v>0.71</v>
      </c>
      <c r="I120" s="11" t="s">
        <v>15</v>
      </c>
    </row>
    <row r="121" spans="1:9" x14ac:dyDescent="0.15">
      <c r="A121" s="7" t="s">
        <v>394</v>
      </c>
      <c r="B121" s="7" t="s">
        <v>201</v>
      </c>
      <c r="C121" s="8">
        <v>1.7</v>
      </c>
      <c r="D121" s="9">
        <v>6</v>
      </c>
      <c r="E121" s="8">
        <f>0.244*2+0.175*4</f>
        <v>1.1879999999999999</v>
      </c>
      <c r="F121" s="13">
        <f t="shared" si="9"/>
        <v>12.12</v>
      </c>
      <c r="G121" s="21">
        <v>42.42</v>
      </c>
      <c r="H121" s="13">
        <f t="shared" si="10"/>
        <v>0.43</v>
      </c>
      <c r="I121" s="11" t="s">
        <v>15</v>
      </c>
    </row>
    <row r="122" spans="1:9" x14ac:dyDescent="0.15">
      <c r="B122" s="7" t="s">
        <v>386</v>
      </c>
      <c r="C122" s="8">
        <v>0.222</v>
      </c>
      <c r="D122" s="9">
        <f>2*6</f>
        <v>12</v>
      </c>
      <c r="E122" s="8">
        <f>0.084*2</f>
        <v>0.16800000000000001</v>
      </c>
      <c r="F122" s="13">
        <f t="shared" si="9"/>
        <v>0.45</v>
      </c>
      <c r="G122" s="21">
        <f>0.084*0.008*7850</f>
        <v>5.2752000000000008</v>
      </c>
      <c r="H122" s="13">
        <f t="shared" si="10"/>
        <v>0.01</v>
      </c>
      <c r="I122" s="11" t="s">
        <v>15</v>
      </c>
    </row>
    <row r="123" spans="1:9" x14ac:dyDescent="0.15">
      <c r="B123" s="7" t="s">
        <v>359</v>
      </c>
      <c r="C123" s="8">
        <f>1.4*2^0.5</f>
        <v>1.9798989873223332</v>
      </c>
      <c r="D123" s="9">
        <v>6</v>
      </c>
      <c r="E123" s="8">
        <f>0.14*2+0.08*4</f>
        <v>0.60000000000000009</v>
      </c>
      <c r="F123" s="13">
        <f t="shared" si="9"/>
        <v>7.13</v>
      </c>
      <c r="G123" s="21">
        <v>16.899999999999999</v>
      </c>
      <c r="H123" s="13">
        <f t="shared" si="10"/>
        <v>0.2</v>
      </c>
      <c r="I123" s="11" t="s">
        <v>15</v>
      </c>
    </row>
    <row r="124" spans="1:9" x14ac:dyDescent="0.15">
      <c r="A124" s="7" t="s">
        <v>46</v>
      </c>
      <c r="B124" s="7" t="s">
        <v>786</v>
      </c>
      <c r="C124" s="8">
        <v>2</v>
      </c>
      <c r="D124" s="9">
        <v>1</v>
      </c>
      <c r="E124" s="8">
        <v>27.5</v>
      </c>
      <c r="F124" s="13">
        <f t="shared" si="9"/>
        <v>55</v>
      </c>
      <c r="G124" s="21">
        <f>27.5*0.006*7850</f>
        <v>1295.25</v>
      </c>
      <c r="H124" s="13">
        <f t="shared" si="10"/>
        <v>2.59</v>
      </c>
      <c r="I124" s="11" t="s">
        <v>46</v>
      </c>
    </row>
    <row r="125" spans="1:9" x14ac:dyDescent="0.15">
      <c r="A125" s="7" t="s">
        <v>229</v>
      </c>
      <c r="B125" s="7" t="s">
        <v>312</v>
      </c>
      <c r="C125" s="8">
        <v>1</v>
      </c>
      <c r="D125" s="9">
        <f>(ROUNDUP(3.5/0.5,0)-1)*2</f>
        <v>12</v>
      </c>
      <c r="E125" s="8">
        <f>0.063*4</f>
        <v>0.252</v>
      </c>
      <c r="F125" s="13">
        <f t="shared" si="9"/>
        <v>3.02</v>
      </c>
      <c r="G125" s="21">
        <v>4.82</v>
      </c>
      <c r="H125" s="13">
        <f t="shared" si="10"/>
        <v>0.06</v>
      </c>
      <c r="I125" s="11" t="s">
        <v>46</v>
      </c>
    </row>
    <row r="126" spans="1:9" x14ac:dyDescent="0.15">
      <c r="C126" s="8">
        <v>1.5</v>
      </c>
      <c r="D126" s="9">
        <f>(ROUNDUP(2/0.5,0)-1)*16</f>
        <v>48</v>
      </c>
      <c r="E126" s="8">
        <f>0.063*4</f>
        <v>0.252</v>
      </c>
      <c r="F126" s="13">
        <f t="shared" si="9"/>
        <v>18.14</v>
      </c>
      <c r="G126" s="21">
        <v>4.82</v>
      </c>
      <c r="H126" s="13">
        <f t="shared" si="10"/>
        <v>0.35</v>
      </c>
      <c r="I126" s="11" t="s">
        <v>46</v>
      </c>
    </row>
    <row r="127" spans="1:9" x14ac:dyDescent="0.15">
      <c r="A127" s="7" t="s">
        <v>102</v>
      </c>
      <c r="F127" s="13">
        <f>SUBTOTAL(109,F2:F126)</f>
        <v>906.92000000000053</v>
      </c>
      <c r="H127" s="13">
        <f>SUBTOTAL(109,H2:H126)</f>
        <v>35.090000000000011</v>
      </c>
    </row>
  </sheetData>
  <phoneticPr fontId="3" type="noConversion"/>
  <conditionalFormatting sqref="A1:I1048576">
    <cfRule type="expression" dxfId="9" priority="1">
      <formula>(ROW()=1)+($A1="汇总")</formula>
    </cfRule>
    <cfRule type="expression" dxfId="8" priority="2">
      <formula>(ROW()&gt;1)*($A1&lt;&gt;"汇总")*(MOD(ROW(),2)=0)*($A1&lt;&gt;"")*($B1&amp;$C1&amp;$D1&amp;$E1&amp;$G1&amp;$I1="")</formula>
    </cfRule>
    <cfRule type="expression" dxfId="7" priority="3">
      <formula>(ROW()&gt;1)*($A1&lt;&gt;"汇总")*(MOD(ROW(),2)=0)*($B1&amp;$C1&amp;$D1&amp;$E1&amp;$G1&amp;$I1&lt;&gt;"")</formula>
    </cfRule>
    <cfRule type="expression" dxfId="6" priority="4">
      <formula>(ROW()&gt;1)*($A1&lt;&gt;"汇总")*(MOD(ROW(),2)=1)*($A1&lt;&gt;"")*($B1&amp;$C1&amp;$D1&amp;$E1&amp;$G1&amp;$I1="")</formula>
    </cfRule>
    <cfRule type="expression" dxfId="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zoomScaleNormal="100" workbookViewId="0">
      <pane ySplit="1" topLeftCell="A584" activePane="bottomLeft" state="frozen"/>
      <selection sqref="A1:F1"/>
      <selection pane="bottomLeft" activeCell="H619" sqref="H619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ht="28.5" x14ac:dyDescent="0.15">
      <c r="A2" s="7" t="s">
        <v>760</v>
      </c>
      <c r="F2" s="13">
        <f t="shared" ref="F2:F65" si="0">ROUND(PRODUCT($C2:$E2),2)</f>
        <v>0</v>
      </c>
      <c r="H2" s="13">
        <f t="shared" ref="H2:H65" si="1">ROUND(PRODUCT($C2:$D2,$G2)*0.001,2)</f>
        <v>0</v>
      </c>
    </row>
    <row r="3" spans="1:9" x14ac:dyDescent="0.15">
      <c r="A3" s="7" t="s">
        <v>658</v>
      </c>
      <c r="F3" s="13">
        <f t="shared" si="0"/>
        <v>0</v>
      </c>
      <c r="H3" s="13">
        <f t="shared" si="1"/>
        <v>0</v>
      </c>
    </row>
    <row r="4" spans="1:9" x14ac:dyDescent="0.15">
      <c r="A4" s="7" t="s">
        <v>395</v>
      </c>
      <c r="B4" s="7" t="s">
        <v>731</v>
      </c>
      <c r="C4" s="8">
        <f>4.5-0.53</f>
        <v>3.9699999999999998</v>
      </c>
      <c r="D4" s="9">
        <v>2</v>
      </c>
      <c r="E4" s="8">
        <f>0.35*2+0.35*4</f>
        <v>2.0999999999999996</v>
      </c>
      <c r="F4" s="13">
        <f t="shared" si="0"/>
        <v>16.670000000000002</v>
      </c>
      <c r="G4" s="21">
        <v>133.79</v>
      </c>
      <c r="H4" s="13">
        <f t="shared" si="1"/>
        <v>1.06</v>
      </c>
      <c r="I4" s="11" t="s">
        <v>761</v>
      </c>
    </row>
    <row r="5" spans="1:9" x14ac:dyDescent="0.15">
      <c r="C5" s="8">
        <f>67.1-60.6-0.53</f>
        <v>5.9699999999999926</v>
      </c>
      <c r="D5" s="9">
        <v>10</v>
      </c>
      <c r="E5" s="8">
        <f>0.35*2+0.35*4</f>
        <v>2.0999999999999996</v>
      </c>
      <c r="F5" s="13">
        <f t="shared" si="0"/>
        <v>125.37</v>
      </c>
      <c r="G5" s="21">
        <v>133.79</v>
      </c>
      <c r="H5" s="13">
        <f t="shared" si="1"/>
        <v>7.99</v>
      </c>
      <c r="I5" s="11" t="s">
        <v>761</v>
      </c>
    </row>
    <row r="6" spans="1:9" x14ac:dyDescent="0.15">
      <c r="C6" s="8">
        <f>67.1-60.65-0.53</f>
        <v>5.9199999999999955</v>
      </c>
      <c r="D6" s="9">
        <v>2</v>
      </c>
      <c r="E6" s="8">
        <f>0.35*2+0.35*4</f>
        <v>2.0999999999999996</v>
      </c>
      <c r="F6" s="13">
        <f t="shared" si="0"/>
        <v>24.86</v>
      </c>
      <c r="G6" s="21">
        <v>133.79</v>
      </c>
      <c r="H6" s="13">
        <f t="shared" si="1"/>
        <v>1.58</v>
      </c>
      <c r="I6" s="11" t="s">
        <v>762</v>
      </c>
    </row>
    <row r="7" spans="1:9" x14ac:dyDescent="0.15">
      <c r="C7" s="8">
        <f>73.1-67.1</f>
        <v>6</v>
      </c>
      <c r="D7" s="9">
        <v>10</v>
      </c>
      <c r="E7" s="8">
        <f>0.35*2+0.35*4</f>
        <v>2.0999999999999996</v>
      </c>
      <c r="F7" s="13">
        <f t="shared" si="0"/>
        <v>126</v>
      </c>
      <c r="G7" s="21">
        <v>133.79</v>
      </c>
      <c r="H7" s="13">
        <f t="shared" si="1"/>
        <v>8.0299999999999994</v>
      </c>
      <c r="I7" s="11" t="s">
        <v>763</v>
      </c>
    </row>
    <row r="8" spans="1:9" x14ac:dyDescent="0.15">
      <c r="C8" s="8">
        <f>70.1-67.1</f>
        <v>3</v>
      </c>
      <c r="D8" s="9">
        <v>2</v>
      </c>
      <c r="E8" s="8">
        <f>0.35*2+0.35*4</f>
        <v>2.0999999999999996</v>
      </c>
      <c r="F8" s="13">
        <f t="shared" si="0"/>
        <v>12.6</v>
      </c>
      <c r="G8" s="21">
        <v>133.79</v>
      </c>
      <c r="H8" s="13">
        <f t="shared" si="1"/>
        <v>0.8</v>
      </c>
      <c r="I8" s="11" t="s">
        <v>764</v>
      </c>
    </row>
    <row r="9" spans="1:9" x14ac:dyDescent="0.15">
      <c r="A9" s="7" t="s">
        <v>396</v>
      </c>
      <c r="B9" s="7" t="s">
        <v>765</v>
      </c>
      <c r="C9" s="8">
        <f>67.1-60.65-0.53</f>
        <v>5.9199999999999955</v>
      </c>
      <c r="D9" s="9">
        <v>2</v>
      </c>
      <c r="E9" s="8">
        <f>0.4*2+0.4*4</f>
        <v>2.4000000000000004</v>
      </c>
      <c r="F9" s="13">
        <f t="shared" si="0"/>
        <v>28.42</v>
      </c>
      <c r="G9" s="21">
        <v>168.41</v>
      </c>
      <c r="H9" s="13">
        <f t="shared" si="1"/>
        <v>1.99</v>
      </c>
      <c r="I9" s="11" t="s">
        <v>766</v>
      </c>
    </row>
    <row r="10" spans="1:9" x14ac:dyDescent="0.15">
      <c r="C10" s="8">
        <f>67.1-60.6-0.53</f>
        <v>5.9699999999999926</v>
      </c>
      <c r="D10" s="9">
        <v>2</v>
      </c>
      <c r="E10" s="8">
        <f>0.4*2+0.4*4</f>
        <v>2.4000000000000004</v>
      </c>
      <c r="F10" s="13">
        <f t="shared" si="0"/>
        <v>28.66</v>
      </c>
      <c r="G10" s="21">
        <v>168.41</v>
      </c>
      <c r="H10" s="13">
        <f t="shared" si="1"/>
        <v>2.0099999999999998</v>
      </c>
      <c r="I10" s="11" t="s">
        <v>766</v>
      </c>
    </row>
    <row r="11" spans="1:9" x14ac:dyDescent="0.15">
      <c r="C11" s="8">
        <f>73.1-67.1</f>
        <v>6</v>
      </c>
      <c r="D11" s="9">
        <v>4</v>
      </c>
      <c r="E11" s="8">
        <f>0.4*2+0.4*4</f>
        <v>2.4000000000000004</v>
      </c>
      <c r="F11" s="13">
        <f t="shared" si="0"/>
        <v>57.6</v>
      </c>
      <c r="G11" s="21">
        <v>168.41</v>
      </c>
      <c r="H11" s="13">
        <f t="shared" si="1"/>
        <v>4.04</v>
      </c>
      <c r="I11" s="11" t="s">
        <v>767</v>
      </c>
    </row>
    <row r="12" spans="1:9" x14ac:dyDescent="0.15">
      <c r="A12" s="7" t="s">
        <v>398</v>
      </c>
      <c r="F12" s="13">
        <f t="shared" si="0"/>
        <v>0</v>
      </c>
      <c r="H12" s="13">
        <f t="shared" si="1"/>
        <v>0</v>
      </c>
    </row>
    <row r="13" spans="1:9" x14ac:dyDescent="0.15">
      <c r="A13" s="7" t="s">
        <v>400</v>
      </c>
      <c r="B13" s="7" t="s">
        <v>201</v>
      </c>
      <c r="C13" s="8">
        <f>4-0.175</f>
        <v>3.8250000000000002</v>
      </c>
      <c r="D13" s="9">
        <v>2</v>
      </c>
      <c r="E13" s="8">
        <f>0.244*2+0.175*4</f>
        <v>1.1879999999999999</v>
      </c>
      <c r="F13" s="13">
        <f t="shared" si="0"/>
        <v>9.09</v>
      </c>
      <c r="G13" s="21">
        <v>42.42</v>
      </c>
      <c r="H13" s="13">
        <f t="shared" si="1"/>
        <v>0.32</v>
      </c>
      <c r="I13" s="11" t="s">
        <v>768</v>
      </c>
    </row>
    <row r="14" spans="1:9" x14ac:dyDescent="0.15">
      <c r="A14" s="7" t="s">
        <v>402</v>
      </c>
      <c r="B14" s="7" t="s">
        <v>769</v>
      </c>
      <c r="C14" s="8">
        <v>2.5</v>
      </c>
      <c r="D14" s="9">
        <v>1</v>
      </c>
      <c r="E14" s="8">
        <f>0.14*2+0.058*4</f>
        <v>0.51200000000000001</v>
      </c>
      <c r="F14" s="13">
        <f t="shared" si="0"/>
        <v>1.28</v>
      </c>
      <c r="G14" s="21">
        <v>14.5</v>
      </c>
      <c r="H14" s="13">
        <f t="shared" si="1"/>
        <v>0.04</v>
      </c>
      <c r="I14" s="11" t="s">
        <v>768</v>
      </c>
    </row>
    <row r="15" spans="1:9" x14ac:dyDescent="0.15">
      <c r="C15" s="8">
        <f>2.5-0.175*2</f>
        <v>2.15</v>
      </c>
      <c r="D15" s="9">
        <v>1</v>
      </c>
      <c r="E15" s="8">
        <f>0.14*2+0.058*4</f>
        <v>0.51200000000000001</v>
      </c>
      <c r="F15" s="13">
        <f t="shared" si="0"/>
        <v>1.1000000000000001</v>
      </c>
      <c r="G15" s="21">
        <v>14.5</v>
      </c>
      <c r="H15" s="13">
        <f t="shared" si="1"/>
        <v>0.03</v>
      </c>
      <c r="I15" s="11" t="s">
        <v>770</v>
      </c>
    </row>
    <row r="16" spans="1:9" x14ac:dyDescent="0.15">
      <c r="A16" s="7" t="s">
        <v>409</v>
      </c>
      <c r="F16" s="13">
        <f t="shared" si="0"/>
        <v>0</v>
      </c>
      <c r="H16" s="13">
        <f t="shared" si="1"/>
        <v>0</v>
      </c>
    </row>
    <row r="17" spans="1:9" x14ac:dyDescent="0.15">
      <c r="A17" s="7" t="s">
        <v>771</v>
      </c>
      <c r="B17" s="7" t="s">
        <v>308</v>
      </c>
      <c r="C17" s="8">
        <f>4-0.175</f>
        <v>3.8250000000000002</v>
      </c>
      <c r="D17" s="9">
        <v>2</v>
      </c>
      <c r="E17" s="8">
        <f>0.244*2+0.175*4</f>
        <v>1.1879999999999999</v>
      </c>
      <c r="F17" s="13">
        <f t="shared" si="0"/>
        <v>9.09</v>
      </c>
      <c r="G17" s="21">
        <v>42.42</v>
      </c>
      <c r="H17" s="13">
        <f t="shared" si="1"/>
        <v>0.32</v>
      </c>
      <c r="I17" s="11" t="s">
        <v>411</v>
      </c>
    </row>
    <row r="18" spans="1:9" x14ac:dyDescent="0.15">
      <c r="A18" s="7" t="s">
        <v>772</v>
      </c>
      <c r="B18" s="7" t="s">
        <v>773</v>
      </c>
      <c r="C18" s="8">
        <v>2.5</v>
      </c>
      <c r="D18" s="9">
        <v>1</v>
      </c>
      <c r="E18" s="8">
        <f>0.14*2+0.058*4</f>
        <v>0.51200000000000001</v>
      </c>
      <c r="F18" s="13">
        <f t="shared" si="0"/>
        <v>1.28</v>
      </c>
      <c r="G18" s="21">
        <v>14.5</v>
      </c>
      <c r="H18" s="13">
        <f t="shared" si="1"/>
        <v>0.04</v>
      </c>
      <c r="I18" s="11" t="s">
        <v>774</v>
      </c>
    </row>
    <row r="19" spans="1:9" x14ac:dyDescent="0.15">
      <c r="C19" s="8">
        <f>2.5-0.175*2</f>
        <v>2.15</v>
      </c>
      <c r="D19" s="9">
        <v>1</v>
      </c>
      <c r="E19" s="8">
        <f>0.14*2+0.058*4</f>
        <v>0.51200000000000001</v>
      </c>
      <c r="F19" s="13">
        <f t="shared" si="0"/>
        <v>1.1000000000000001</v>
      </c>
      <c r="G19" s="21">
        <v>14.5</v>
      </c>
      <c r="H19" s="13">
        <f t="shared" si="1"/>
        <v>0.03</v>
      </c>
      <c r="I19" s="11" t="s">
        <v>775</v>
      </c>
    </row>
    <row r="20" spans="1:9" x14ac:dyDescent="0.15">
      <c r="A20" s="7" t="s">
        <v>412</v>
      </c>
      <c r="F20" s="13">
        <f t="shared" si="0"/>
        <v>0</v>
      </c>
      <c r="H20" s="13">
        <f t="shared" si="1"/>
        <v>0</v>
      </c>
    </row>
    <row r="21" spans="1:9" x14ac:dyDescent="0.15">
      <c r="A21" s="7" t="s">
        <v>345</v>
      </c>
      <c r="B21" s="7" t="s">
        <v>695</v>
      </c>
      <c r="C21" s="8">
        <v>3</v>
      </c>
      <c r="D21" s="9">
        <v>5</v>
      </c>
      <c r="E21" s="8">
        <f>0.148*2+0.1*4</f>
        <v>0.69599999999999995</v>
      </c>
      <c r="F21" s="13">
        <f t="shared" si="0"/>
        <v>10.44</v>
      </c>
      <c r="G21" s="21">
        <v>20.25</v>
      </c>
      <c r="H21" s="13">
        <f t="shared" si="1"/>
        <v>0.3</v>
      </c>
      <c r="I21" s="11" t="s">
        <v>776</v>
      </c>
    </row>
    <row r="22" spans="1:9" x14ac:dyDescent="0.15">
      <c r="A22" s="7" t="s">
        <v>347</v>
      </c>
      <c r="B22" s="7" t="s">
        <v>664</v>
      </c>
      <c r="C22" s="8">
        <v>4</v>
      </c>
      <c r="D22" s="9">
        <v>7</v>
      </c>
      <c r="E22" s="8">
        <f t="shared" ref="E22:E29" si="2">0.194*2+0.15*4</f>
        <v>0.98799999999999999</v>
      </c>
      <c r="F22" s="13">
        <f t="shared" si="0"/>
        <v>27.66</v>
      </c>
      <c r="G22" s="21">
        <v>29.48</v>
      </c>
      <c r="H22" s="13">
        <f t="shared" si="1"/>
        <v>0.83</v>
      </c>
      <c r="I22" s="11" t="s">
        <v>776</v>
      </c>
    </row>
    <row r="23" spans="1:9" x14ac:dyDescent="0.15">
      <c r="C23" s="8">
        <v>3</v>
      </c>
      <c r="D23" s="9">
        <v>2</v>
      </c>
      <c r="E23" s="8">
        <f t="shared" si="2"/>
        <v>0.98799999999999999</v>
      </c>
      <c r="F23" s="13">
        <f t="shared" si="0"/>
        <v>5.93</v>
      </c>
      <c r="G23" s="21">
        <v>29.48</v>
      </c>
      <c r="H23" s="13">
        <f t="shared" si="1"/>
        <v>0.18</v>
      </c>
      <c r="I23" s="11" t="s">
        <v>776</v>
      </c>
    </row>
    <row r="24" spans="1:9" x14ac:dyDescent="0.15">
      <c r="C24" s="8">
        <f>3-0.175</f>
        <v>2.8250000000000002</v>
      </c>
      <c r="D24" s="9">
        <v>1</v>
      </c>
      <c r="E24" s="8">
        <f t="shared" si="2"/>
        <v>0.98799999999999999</v>
      </c>
      <c r="F24" s="13">
        <f t="shared" si="0"/>
        <v>2.79</v>
      </c>
      <c r="G24" s="21">
        <v>29.48</v>
      </c>
      <c r="H24" s="13">
        <f t="shared" si="1"/>
        <v>0.08</v>
      </c>
      <c r="I24" s="11" t="s">
        <v>408</v>
      </c>
    </row>
    <row r="25" spans="1:9" x14ac:dyDescent="0.15">
      <c r="C25" s="8">
        <f>3-0.175*2</f>
        <v>2.65</v>
      </c>
      <c r="D25" s="9">
        <v>1</v>
      </c>
      <c r="E25" s="8">
        <f t="shared" si="2"/>
        <v>0.98799999999999999</v>
      </c>
      <c r="F25" s="13">
        <f t="shared" si="0"/>
        <v>2.62</v>
      </c>
      <c r="G25" s="21">
        <v>29.48</v>
      </c>
      <c r="H25" s="13">
        <f t="shared" si="1"/>
        <v>0.08</v>
      </c>
      <c r="I25" s="11" t="s">
        <v>777</v>
      </c>
    </row>
    <row r="26" spans="1:9" x14ac:dyDescent="0.15">
      <c r="C26" s="8">
        <f>2.603-0.175-0.2</f>
        <v>2.2280000000000002</v>
      </c>
      <c r="D26" s="9">
        <v>2</v>
      </c>
      <c r="E26" s="8">
        <f t="shared" si="2"/>
        <v>0.98799999999999999</v>
      </c>
      <c r="F26" s="13">
        <f t="shared" si="0"/>
        <v>4.4000000000000004</v>
      </c>
      <c r="G26" s="21">
        <v>29.48</v>
      </c>
      <c r="H26" s="13">
        <f t="shared" si="1"/>
        <v>0.13</v>
      </c>
      <c r="I26" s="11" t="s">
        <v>776</v>
      </c>
    </row>
    <row r="27" spans="1:9" x14ac:dyDescent="0.15">
      <c r="C27" s="8">
        <v>3</v>
      </c>
      <c r="D27" s="9">
        <v>2</v>
      </c>
      <c r="E27" s="8">
        <f t="shared" si="2"/>
        <v>0.98799999999999999</v>
      </c>
      <c r="F27" s="13">
        <f t="shared" si="0"/>
        <v>5.93</v>
      </c>
      <c r="G27" s="21">
        <v>29.48</v>
      </c>
      <c r="H27" s="13">
        <f t="shared" si="1"/>
        <v>0.18</v>
      </c>
      <c r="I27" s="11" t="s">
        <v>778</v>
      </c>
    </row>
    <row r="28" spans="1:9" x14ac:dyDescent="0.15">
      <c r="C28" s="8">
        <f>3-0.2</f>
        <v>2.8</v>
      </c>
      <c r="D28" s="9">
        <v>1</v>
      </c>
      <c r="E28" s="8">
        <f t="shared" si="2"/>
        <v>0.98799999999999999</v>
      </c>
      <c r="F28" s="13">
        <f t="shared" si="0"/>
        <v>2.77</v>
      </c>
      <c r="G28" s="21">
        <v>29.48</v>
      </c>
      <c r="H28" s="13">
        <f t="shared" si="1"/>
        <v>0.08</v>
      </c>
      <c r="I28" s="11" t="s">
        <v>779</v>
      </c>
    </row>
    <row r="29" spans="1:9" x14ac:dyDescent="0.15">
      <c r="C29" s="8">
        <f>3-0.2-0.175</f>
        <v>2.625</v>
      </c>
      <c r="D29" s="9">
        <v>1</v>
      </c>
      <c r="E29" s="8">
        <f t="shared" si="2"/>
        <v>0.98799999999999999</v>
      </c>
      <c r="F29" s="13">
        <f t="shared" si="0"/>
        <v>2.59</v>
      </c>
      <c r="G29" s="21">
        <v>29.48</v>
      </c>
      <c r="H29" s="13">
        <f t="shared" si="1"/>
        <v>0.08</v>
      </c>
      <c r="I29" s="11" t="s">
        <v>780</v>
      </c>
    </row>
    <row r="30" spans="1:9" x14ac:dyDescent="0.15">
      <c r="A30" s="7" t="s">
        <v>400</v>
      </c>
      <c r="B30" s="7" t="s">
        <v>201</v>
      </c>
      <c r="C30" s="8">
        <v>4</v>
      </c>
      <c r="D30" s="9">
        <v>4</v>
      </c>
      <c r="E30" s="8">
        <f>0.244*2+0.175*4</f>
        <v>1.1879999999999999</v>
      </c>
      <c r="F30" s="13">
        <f t="shared" si="0"/>
        <v>19.010000000000002</v>
      </c>
      <c r="G30" s="21">
        <v>42.42</v>
      </c>
      <c r="H30" s="13">
        <f t="shared" si="1"/>
        <v>0.68</v>
      </c>
      <c r="I30" s="11" t="s">
        <v>777</v>
      </c>
    </row>
    <row r="31" spans="1:9" x14ac:dyDescent="0.15">
      <c r="C31" s="8">
        <f>4-0.175</f>
        <v>3.8250000000000002</v>
      </c>
      <c r="D31" s="9">
        <v>1</v>
      </c>
      <c r="E31" s="8">
        <f>0.244*2+0.175*4</f>
        <v>1.1879999999999999</v>
      </c>
      <c r="F31" s="13">
        <f t="shared" si="0"/>
        <v>4.54</v>
      </c>
      <c r="G31" s="21">
        <v>42.42</v>
      </c>
      <c r="H31" s="13">
        <f t="shared" si="1"/>
        <v>0.16</v>
      </c>
      <c r="I31" s="11" t="s">
        <v>408</v>
      </c>
    </row>
    <row r="32" spans="1:9" x14ac:dyDescent="0.15">
      <c r="A32" s="7" t="s">
        <v>781</v>
      </c>
      <c r="B32" s="7" t="s">
        <v>782</v>
      </c>
      <c r="C32" s="8">
        <f>9.5-0.175*2</f>
        <v>9.15</v>
      </c>
      <c r="D32" s="9">
        <v>2</v>
      </c>
      <c r="E32" s="8">
        <f>0.294*2+0.2*4</f>
        <v>1.3879999999999999</v>
      </c>
      <c r="F32" s="13">
        <f t="shared" si="0"/>
        <v>25.4</v>
      </c>
      <c r="G32" s="21">
        <v>54.63</v>
      </c>
      <c r="H32" s="13">
        <f t="shared" si="1"/>
        <v>1</v>
      </c>
      <c r="I32" s="11" t="s">
        <v>777</v>
      </c>
    </row>
    <row r="33" spans="1:9" x14ac:dyDescent="0.15">
      <c r="C33" s="8">
        <f>11-0.175</f>
        <v>10.824999999999999</v>
      </c>
      <c r="D33" s="9">
        <v>1</v>
      </c>
      <c r="E33" s="8">
        <f>0.294*2+0.2*4</f>
        <v>1.3879999999999999</v>
      </c>
      <c r="F33" s="13">
        <f t="shared" si="0"/>
        <v>15.03</v>
      </c>
      <c r="G33" s="21">
        <v>54.63</v>
      </c>
      <c r="H33" s="13">
        <f t="shared" si="1"/>
        <v>0.59</v>
      </c>
      <c r="I33" s="11" t="s">
        <v>777</v>
      </c>
    </row>
    <row r="34" spans="1:9" x14ac:dyDescent="0.15">
      <c r="C34" s="8">
        <f>11-0.175*2</f>
        <v>10.65</v>
      </c>
      <c r="D34" s="9">
        <v>1</v>
      </c>
      <c r="E34" s="8">
        <f>0.294*2+0.2*4</f>
        <v>1.3879999999999999</v>
      </c>
      <c r="F34" s="13">
        <f t="shared" si="0"/>
        <v>14.78</v>
      </c>
      <c r="G34" s="21">
        <v>54.63</v>
      </c>
      <c r="H34" s="13">
        <f t="shared" si="1"/>
        <v>0.57999999999999996</v>
      </c>
      <c r="I34" s="11" t="s">
        <v>770</v>
      </c>
    </row>
    <row r="35" spans="1:9" x14ac:dyDescent="0.15">
      <c r="C35" s="8">
        <f>10.75-0.175*2</f>
        <v>10.4</v>
      </c>
      <c r="D35" s="9">
        <v>2</v>
      </c>
      <c r="E35" s="8">
        <f>0.294*2+0.2*4</f>
        <v>1.3879999999999999</v>
      </c>
      <c r="F35" s="13">
        <f t="shared" si="0"/>
        <v>28.87</v>
      </c>
      <c r="G35" s="21">
        <v>54.63</v>
      </c>
      <c r="H35" s="13">
        <f t="shared" si="1"/>
        <v>1.1399999999999999</v>
      </c>
      <c r="I35" s="11" t="s">
        <v>777</v>
      </c>
    </row>
    <row r="36" spans="1:9" x14ac:dyDescent="0.15">
      <c r="A36" s="7" t="s">
        <v>783</v>
      </c>
      <c r="B36" s="7" t="s">
        <v>784</v>
      </c>
      <c r="C36" s="8">
        <f>19.5-0.2*2</f>
        <v>19.100000000000001</v>
      </c>
      <c r="D36" s="9">
        <v>2</v>
      </c>
      <c r="E36" s="8">
        <f>0.6*2+0.2*4</f>
        <v>2</v>
      </c>
      <c r="F36" s="13">
        <f t="shared" si="0"/>
        <v>76.400000000000006</v>
      </c>
      <c r="G36" s="21">
        <v>102.25</v>
      </c>
      <c r="H36" s="13">
        <f t="shared" si="1"/>
        <v>3.91</v>
      </c>
      <c r="I36" s="11" t="s">
        <v>770</v>
      </c>
    </row>
    <row r="37" spans="1:9" x14ac:dyDescent="0.15">
      <c r="A37" s="7" t="s">
        <v>785</v>
      </c>
      <c r="B37" s="7" t="s">
        <v>403</v>
      </c>
      <c r="C37" s="8">
        <f>1.2*2^0.5</f>
        <v>1.697056274847714</v>
      </c>
      <c r="D37" s="9">
        <v>16</v>
      </c>
      <c r="E37" s="8">
        <f>0.14*2+0.058*4</f>
        <v>0.51200000000000001</v>
      </c>
      <c r="F37" s="13">
        <f t="shared" si="0"/>
        <v>13.9</v>
      </c>
      <c r="G37" s="21">
        <v>14.5</v>
      </c>
      <c r="H37" s="13">
        <f t="shared" si="1"/>
        <v>0.39</v>
      </c>
      <c r="I37" s="11" t="s">
        <v>408</v>
      </c>
    </row>
    <row r="38" spans="1:9" x14ac:dyDescent="0.15">
      <c r="A38" s="7" t="s">
        <v>421</v>
      </c>
      <c r="F38" s="13">
        <f t="shared" si="0"/>
        <v>0</v>
      </c>
      <c r="H38" s="13">
        <f t="shared" si="1"/>
        <v>0</v>
      </c>
    </row>
    <row r="39" spans="1:9" x14ac:dyDescent="0.15">
      <c r="A39" s="7" t="s">
        <v>399</v>
      </c>
      <c r="B39" s="7" t="s">
        <v>308</v>
      </c>
      <c r="C39" s="8">
        <f>4-0.175</f>
        <v>3.8250000000000002</v>
      </c>
      <c r="D39" s="9">
        <v>2</v>
      </c>
      <c r="E39" s="8">
        <f>0.244*2+0.175*4</f>
        <v>1.1879999999999999</v>
      </c>
      <c r="F39" s="13">
        <f t="shared" si="0"/>
        <v>9.09</v>
      </c>
      <c r="G39" s="21">
        <v>42.42</v>
      </c>
      <c r="H39" s="13">
        <f t="shared" si="1"/>
        <v>0.32</v>
      </c>
      <c r="I39" s="11" t="s">
        <v>410</v>
      </c>
    </row>
    <row r="40" spans="1:9" x14ac:dyDescent="0.15">
      <c r="A40" s="7" t="s">
        <v>401</v>
      </c>
      <c r="B40" s="7" t="s">
        <v>403</v>
      </c>
      <c r="C40" s="8">
        <v>2.5</v>
      </c>
      <c r="D40" s="9">
        <v>1</v>
      </c>
      <c r="E40" s="8">
        <f>0.14*2+0.058*4</f>
        <v>0.51200000000000001</v>
      </c>
      <c r="F40" s="13">
        <f t="shared" si="0"/>
        <v>1.28</v>
      </c>
      <c r="G40" s="21">
        <v>14.5</v>
      </c>
      <c r="H40" s="13">
        <f t="shared" si="1"/>
        <v>0.04</v>
      </c>
      <c r="I40" s="11" t="s">
        <v>410</v>
      </c>
    </row>
    <row r="41" spans="1:9" x14ac:dyDescent="0.15">
      <c r="C41" s="8">
        <f>2.5-0.175*2</f>
        <v>2.15</v>
      </c>
      <c r="D41" s="9">
        <v>1</v>
      </c>
      <c r="E41" s="8">
        <f>0.14*2+0.058*4</f>
        <v>0.51200000000000001</v>
      </c>
      <c r="F41" s="13">
        <f t="shared" si="0"/>
        <v>1.1000000000000001</v>
      </c>
      <c r="G41" s="21">
        <v>14.5</v>
      </c>
      <c r="H41" s="13">
        <f t="shared" si="1"/>
        <v>0.03</v>
      </c>
      <c r="I41" s="11" t="s">
        <v>410</v>
      </c>
    </row>
    <row r="42" spans="1:9" x14ac:dyDescent="0.15">
      <c r="A42" s="7" t="s">
        <v>419</v>
      </c>
      <c r="F42" s="13">
        <f t="shared" si="0"/>
        <v>0</v>
      </c>
      <c r="H42" s="13">
        <f t="shared" si="1"/>
        <v>0</v>
      </c>
    </row>
    <row r="43" spans="1:9" x14ac:dyDescent="0.15">
      <c r="A43" s="7" t="s">
        <v>344</v>
      </c>
      <c r="B43" s="7" t="s">
        <v>307</v>
      </c>
      <c r="C43" s="8">
        <v>3</v>
      </c>
      <c r="D43" s="9">
        <v>5</v>
      </c>
      <c r="E43" s="8">
        <f>0.148*2+0.1*4</f>
        <v>0.69599999999999995</v>
      </c>
      <c r="F43" s="13">
        <f t="shared" si="0"/>
        <v>10.44</v>
      </c>
      <c r="G43" s="21">
        <v>20.25</v>
      </c>
      <c r="H43" s="13">
        <f t="shared" si="1"/>
        <v>0.3</v>
      </c>
      <c r="I43" s="11" t="s">
        <v>411</v>
      </c>
    </row>
    <row r="44" spans="1:9" x14ac:dyDescent="0.15">
      <c r="A44" s="7" t="s">
        <v>346</v>
      </c>
      <c r="B44" s="7" t="s">
        <v>193</v>
      </c>
      <c r="C44" s="8">
        <v>4</v>
      </c>
      <c r="D44" s="9">
        <v>7</v>
      </c>
      <c r="E44" s="8">
        <f t="shared" ref="E44:E51" si="3">0.194*2+0.15*4</f>
        <v>0.98799999999999999</v>
      </c>
      <c r="F44" s="13">
        <f t="shared" si="0"/>
        <v>27.66</v>
      </c>
      <c r="G44" s="21">
        <v>29.48</v>
      </c>
      <c r="H44" s="13">
        <f t="shared" si="1"/>
        <v>0.83</v>
      </c>
      <c r="I44" s="11" t="s">
        <v>411</v>
      </c>
    </row>
    <row r="45" spans="1:9" x14ac:dyDescent="0.15">
      <c r="C45" s="8">
        <v>3</v>
      </c>
      <c r="D45" s="9">
        <v>2</v>
      </c>
      <c r="E45" s="8">
        <f t="shared" si="3"/>
        <v>0.98799999999999999</v>
      </c>
      <c r="F45" s="13">
        <f t="shared" si="0"/>
        <v>5.93</v>
      </c>
      <c r="G45" s="21">
        <v>29.48</v>
      </c>
      <c r="H45" s="13">
        <f t="shared" si="1"/>
        <v>0.18</v>
      </c>
      <c r="I45" s="11" t="s">
        <v>411</v>
      </c>
    </row>
    <row r="46" spans="1:9" x14ac:dyDescent="0.15">
      <c r="C46" s="8">
        <f>3-0.175</f>
        <v>2.8250000000000002</v>
      </c>
      <c r="D46" s="9">
        <v>1</v>
      </c>
      <c r="E46" s="8">
        <f t="shared" si="3"/>
        <v>0.98799999999999999</v>
      </c>
      <c r="F46" s="13">
        <f t="shared" si="0"/>
        <v>2.79</v>
      </c>
      <c r="G46" s="21">
        <v>29.48</v>
      </c>
      <c r="H46" s="13">
        <f t="shared" si="1"/>
        <v>0.08</v>
      </c>
      <c r="I46" s="11" t="s">
        <v>411</v>
      </c>
    </row>
    <row r="47" spans="1:9" x14ac:dyDescent="0.15">
      <c r="C47" s="8">
        <f>3-0.175*2</f>
        <v>2.65</v>
      </c>
      <c r="D47" s="9">
        <v>1</v>
      </c>
      <c r="E47" s="8">
        <f t="shared" si="3"/>
        <v>0.98799999999999999</v>
      </c>
      <c r="F47" s="13">
        <f t="shared" si="0"/>
        <v>2.62</v>
      </c>
      <c r="G47" s="21">
        <v>29.48</v>
      </c>
      <c r="H47" s="13">
        <f t="shared" si="1"/>
        <v>0.08</v>
      </c>
      <c r="I47" s="11" t="s">
        <v>411</v>
      </c>
    </row>
    <row r="48" spans="1:9" x14ac:dyDescent="0.15">
      <c r="C48" s="8">
        <f>2.603-0.175-0.2</f>
        <v>2.2280000000000002</v>
      </c>
      <c r="D48" s="9">
        <v>2</v>
      </c>
      <c r="E48" s="8">
        <f t="shared" si="3"/>
        <v>0.98799999999999999</v>
      </c>
      <c r="F48" s="13">
        <f t="shared" si="0"/>
        <v>4.4000000000000004</v>
      </c>
      <c r="G48" s="21">
        <v>29.48</v>
      </c>
      <c r="H48" s="13">
        <f t="shared" si="1"/>
        <v>0.13</v>
      </c>
      <c r="I48" s="11" t="s">
        <v>411</v>
      </c>
    </row>
    <row r="49" spans="1:9" x14ac:dyDescent="0.15">
      <c r="C49" s="8">
        <v>3</v>
      </c>
      <c r="D49" s="9">
        <v>2</v>
      </c>
      <c r="E49" s="8">
        <f t="shared" si="3"/>
        <v>0.98799999999999999</v>
      </c>
      <c r="F49" s="13">
        <f t="shared" si="0"/>
        <v>5.93</v>
      </c>
      <c r="G49" s="21">
        <v>29.48</v>
      </c>
      <c r="H49" s="13">
        <f t="shared" si="1"/>
        <v>0.18</v>
      </c>
      <c r="I49" s="11" t="s">
        <v>411</v>
      </c>
    </row>
    <row r="50" spans="1:9" x14ac:dyDescent="0.15">
      <c r="C50" s="8">
        <f>3-0.2</f>
        <v>2.8</v>
      </c>
      <c r="D50" s="9">
        <v>1</v>
      </c>
      <c r="E50" s="8">
        <f t="shared" si="3"/>
        <v>0.98799999999999999</v>
      </c>
      <c r="F50" s="13">
        <f t="shared" si="0"/>
        <v>2.77</v>
      </c>
      <c r="G50" s="21">
        <v>29.48</v>
      </c>
      <c r="H50" s="13">
        <f t="shared" si="1"/>
        <v>0.08</v>
      </c>
      <c r="I50" s="11" t="s">
        <v>411</v>
      </c>
    </row>
    <row r="51" spans="1:9" x14ac:dyDescent="0.15">
      <c r="C51" s="8">
        <f>3-0.2-0.175</f>
        <v>2.625</v>
      </c>
      <c r="D51" s="9">
        <v>1</v>
      </c>
      <c r="E51" s="8">
        <f t="shared" si="3"/>
        <v>0.98799999999999999</v>
      </c>
      <c r="F51" s="13">
        <f t="shared" si="0"/>
        <v>2.59</v>
      </c>
      <c r="G51" s="21">
        <v>29.48</v>
      </c>
      <c r="H51" s="13">
        <f t="shared" si="1"/>
        <v>0.08</v>
      </c>
      <c r="I51" s="11" t="s">
        <v>411</v>
      </c>
    </row>
    <row r="52" spans="1:9" x14ac:dyDescent="0.15">
      <c r="A52" s="7" t="s">
        <v>399</v>
      </c>
      <c r="B52" s="7" t="s">
        <v>308</v>
      </c>
      <c r="C52" s="8">
        <v>4</v>
      </c>
      <c r="D52" s="9">
        <v>4</v>
      </c>
      <c r="E52" s="8">
        <f>0.244*2+0.175*4</f>
        <v>1.1879999999999999</v>
      </c>
      <c r="F52" s="13">
        <f t="shared" si="0"/>
        <v>19.010000000000002</v>
      </c>
      <c r="G52" s="21">
        <v>42.42</v>
      </c>
      <c r="H52" s="13">
        <f t="shared" si="1"/>
        <v>0.68</v>
      </c>
      <c r="I52" s="11" t="s">
        <v>411</v>
      </c>
    </row>
    <row r="53" spans="1:9" x14ac:dyDescent="0.15">
      <c r="C53" s="8">
        <f>4-0.175</f>
        <v>3.8250000000000002</v>
      </c>
      <c r="D53" s="9">
        <v>1</v>
      </c>
      <c r="E53" s="8">
        <f>0.244*2+0.175*4</f>
        <v>1.1879999999999999</v>
      </c>
      <c r="F53" s="13">
        <f t="shared" si="0"/>
        <v>4.54</v>
      </c>
      <c r="G53" s="21">
        <v>42.42</v>
      </c>
      <c r="H53" s="13">
        <f t="shared" si="1"/>
        <v>0.16</v>
      </c>
      <c r="I53" s="11" t="s">
        <v>411</v>
      </c>
    </row>
    <row r="54" spans="1:9" x14ac:dyDescent="0.15">
      <c r="A54" s="7" t="s">
        <v>413</v>
      </c>
      <c r="B54" s="7" t="s">
        <v>309</v>
      </c>
      <c r="C54" s="8">
        <f>9.5-0.175*2</f>
        <v>9.15</v>
      </c>
      <c r="D54" s="9">
        <v>2</v>
      </c>
      <c r="E54" s="8">
        <f>0.294*2+0.2*4</f>
        <v>1.3879999999999999</v>
      </c>
      <c r="F54" s="13">
        <f t="shared" si="0"/>
        <v>25.4</v>
      </c>
      <c r="G54" s="21">
        <v>54.63</v>
      </c>
      <c r="H54" s="13">
        <f t="shared" si="1"/>
        <v>1</v>
      </c>
      <c r="I54" s="11" t="s">
        <v>411</v>
      </c>
    </row>
    <row r="55" spans="1:9" x14ac:dyDescent="0.15">
      <c r="C55" s="8">
        <f>11-0.175</f>
        <v>10.824999999999999</v>
      </c>
      <c r="D55" s="9">
        <v>1</v>
      </c>
      <c r="E55" s="8">
        <f>0.294*2+0.2*4</f>
        <v>1.3879999999999999</v>
      </c>
      <c r="F55" s="13">
        <f t="shared" si="0"/>
        <v>15.03</v>
      </c>
      <c r="G55" s="21">
        <v>54.63</v>
      </c>
      <c r="H55" s="13">
        <f t="shared" si="1"/>
        <v>0.59</v>
      </c>
      <c r="I55" s="11" t="s">
        <v>411</v>
      </c>
    </row>
    <row r="56" spans="1:9" x14ac:dyDescent="0.15">
      <c r="C56" s="8">
        <f>11-0.175*2</f>
        <v>10.65</v>
      </c>
      <c r="D56" s="9">
        <v>1</v>
      </c>
      <c r="E56" s="8">
        <f>0.294*2+0.2*4</f>
        <v>1.3879999999999999</v>
      </c>
      <c r="F56" s="13">
        <f t="shared" si="0"/>
        <v>14.78</v>
      </c>
      <c r="G56" s="21">
        <v>54.63</v>
      </c>
      <c r="H56" s="13">
        <f t="shared" si="1"/>
        <v>0.57999999999999996</v>
      </c>
      <c r="I56" s="11" t="s">
        <v>411</v>
      </c>
    </row>
    <row r="57" spans="1:9" x14ac:dyDescent="0.15">
      <c r="C57" s="8">
        <f>10.75-0.175*2</f>
        <v>10.4</v>
      </c>
      <c r="D57" s="9">
        <v>2</v>
      </c>
      <c r="E57" s="8">
        <f>0.294*2+0.2*4</f>
        <v>1.3879999999999999</v>
      </c>
      <c r="F57" s="13">
        <f t="shared" si="0"/>
        <v>28.87</v>
      </c>
      <c r="G57" s="21">
        <v>54.63</v>
      </c>
      <c r="H57" s="13">
        <f t="shared" si="1"/>
        <v>1.1399999999999999</v>
      </c>
      <c r="I57" s="11" t="s">
        <v>411</v>
      </c>
    </row>
    <row r="58" spans="1:9" x14ac:dyDescent="0.15">
      <c r="A58" s="7" t="s">
        <v>415</v>
      </c>
      <c r="B58" s="7" t="s">
        <v>417</v>
      </c>
      <c r="C58" s="8">
        <f>19.5-0.2*2</f>
        <v>19.100000000000001</v>
      </c>
      <c r="D58" s="9">
        <v>2</v>
      </c>
      <c r="E58" s="8">
        <f>0.6*2+0.2*4</f>
        <v>2</v>
      </c>
      <c r="F58" s="13">
        <f t="shared" si="0"/>
        <v>76.400000000000006</v>
      </c>
      <c r="G58" s="21">
        <v>102.25</v>
      </c>
      <c r="H58" s="13">
        <f t="shared" si="1"/>
        <v>3.91</v>
      </c>
      <c r="I58" s="11" t="s">
        <v>411</v>
      </c>
    </row>
    <row r="59" spans="1:9" x14ac:dyDescent="0.15">
      <c r="A59" s="7" t="s">
        <v>440</v>
      </c>
      <c r="B59" s="7" t="s">
        <v>403</v>
      </c>
      <c r="C59" s="8">
        <f>1.2*2^0.5</f>
        <v>1.697056274847714</v>
      </c>
      <c r="D59" s="9">
        <v>16</v>
      </c>
      <c r="E59" s="8">
        <f>0.14*2+0.058*4</f>
        <v>0.51200000000000001</v>
      </c>
      <c r="F59" s="13">
        <f t="shared" si="0"/>
        <v>13.9</v>
      </c>
      <c r="G59" s="21">
        <v>14.5</v>
      </c>
      <c r="H59" s="13">
        <f t="shared" si="1"/>
        <v>0.39</v>
      </c>
      <c r="I59" s="11" t="s">
        <v>411</v>
      </c>
    </row>
    <row r="60" spans="1:9" x14ac:dyDescent="0.15">
      <c r="A60" s="7" t="s">
        <v>420</v>
      </c>
      <c r="F60" s="13">
        <f t="shared" si="0"/>
        <v>0</v>
      </c>
      <c r="H60" s="13">
        <f t="shared" si="1"/>
        <v>0</v>
      </c>
    </row>
    <row r="61" spans="1:9" x14ac:dyDescent="0.15">
      <c r="A61" s="7" t="s">
        <v>344</v>
      </c>
      <c r="B61" s="7" t="s">
        <v>307</v>
      </c>
      <c r="C61" s="8">
        <v>3</v>
      </c>
      <c r="D61" s="9">
        <v>5</v>
      </c>
      <c r="E61" s="8">
        <f>0.148*2+0.1*4</f>
        <v>0.69599999999999995</v>
      </c>
      <c r="F61" s="13">
        <f t="shared" si="0"/>
        <v>10.44</v>
      </c>
      <c r="G61" s="21">
        <v>20.25</v>
      </c>
      <c r="H61" s="13">
        <f t="shared" si="1"/>
        <v>0.3</v>
      </c>
      <c r="I61" s="11" t="s">
        <v>410</v>
      </c>
    </row>
    <row r="62" spans="1:9" x14ac:dyDescent="0.15">
      <c r="A62" s="7" t="s">
        <v>346</v>
      </c>
      <c r="B62" s="7" t="s">
        <v>193</v>
      </c>
      <c r="C62" s="8">
        <v>4</v>
      </c>
      <c r="D62" s="9">
        <v>7</v>
      </c>
      <c r="E62" s="8">
        <f t="shared" ref="E62:E69" si="4">0.194*2+0.15*4</f>
        <v>0.98799999999999999</v>
      </c>
      <c r="F62" s="13">
        <f t="shared" si="0"/>
        <v>27.66</v>
      </c>
      <c r="G62" s="21">
        <v>29.48</v>
      </c>
      <c r="H62" s="13">
        <f t="shared" si="1"/>
        <v>0.83</v>
      </c>
      <c r="I62" s="11" t="s">
        <v>410</v>
      </c>
    </row>
    <row r="63" spans="1:9" x14ac:dyDescent="0.15">
      <c r="C63" s="8">
        <v>3</v>
      </c>
      <c r="D63" s="9">
        <v>2</v>
      </c>
      <c r="E63" s="8">
        <f t="shared" si="4"/>
        <v>0.98799999999999999</v>
      </c>
      <c r="F63" s="13">
        <f t="shared" si="0"/>
        <v>5.93</v>
      </c>
      <c r="G63" s="21">
        <v>29.48</v>
      </c>
      <c r="H63" s="13">
        <f t="shared" si="1"/>
        <v>0.18</v>
      </c>
      <c r="I63" s="11" t="s">
        <v>410</v>
      </c>
    </row>
    <row r="64" spans="1:9" x14ac:dyDescent="0.15">
      <c r="C64" s="8">
        <f>3-0.175</f>
        <v>2.8250000000000002</v>
      </c>
      <c r="D64" s="9">
        <v>1</v>
      </c>
      <c r="E64" s="8">
        <f t="shared" si="4"/>
        <v>0.98799999999999999</v>
      </c>
      <c r="F64" s="13">
        <f t="shared" si="0"/>
        <v>2.79</v>
      </c>
      <c r="G64" s="21">
        <v>29.48</v>
      </c>
      <c r="H64" s="13">
        <f t="shared" si="1"/>
        <v>0.08</v>
      </c>
      <c r="I64" s="11" t="s">
        <v>410</v>
      </c>
    </row>
    <row r="65" spans="1:9" x14ac:dyDescent="0.15">
      <c r="C65" s="8">
        <f>3-0.175*2</f>
        <v>2.65</v>
      </c>
      <c r="D65" s="9">
        <v>1</v>
      </c>
      <c r="E65" s="8">
        <f t="shared" si="4"/>
        <v>0.98799999999999999</v>
      </c>
      <c r="F65" s="13">
        <f t="shared" si="0"/>
        <v>2.62</v>
      </c>
      <c r="G65" s="21">
        <v>29.48</v>
      </c>
      <c r="H65" s="13">
        <f t="shared" si="1"/>
        <v>0.08</v>
      </c>
      <c r="I65" s="11" t="s">
        <v>410</v>
      </c>
    </row>
    <row r="66" spans="1:9" x14ac:dyDescent="0.15">
      <c r="C66" s="8">
        <f>2.603-0.175-0.2</f>
        <v>2.2280000000000002</v>
      </c>
      <c r="D66" s="9">
        <v>2</v>
      </c>
      <c r="E66" s="8">
        <f t="shared" si="4"/>
        <v>0.98799999999999999</v>
      </c>
      <c r="F66" s="13">
        <f t="shared" ref="F66:F129" si="5">ROUND(PRODUCT($C66:$E66),2)</f>
        <v>4.4000000000000004</v>
      </c>
      <c r="G66" s="21">
        <v>29.48</v>
      </c>
      <c r="H66" s="13">
        <f t="shared" ref="H66:H129" si="6">ROUND(PRODUCT($C66:$D66,$G66)*0.001,2)</f>
        <v>0.13</v>
      </c>
      <c r="I66" s="11" t="s">
        <v>410</v>
      </c>
    </row>
    <row r="67" spans="1:9" x14ac:dyDescent="0.15">
      <c r="C67" s="8">
        <v>3</v>
      </c>
      <c r="D67" s="9">
        <v>2</v>
      </c>
      <c r="E67" s="8">
        <f t="shared" si="4"/>
        <v>0.98799999999999999</v>
      </c>
      <c r="F67" s="13">
        <f t="shared" si="5"/>
        <v>5.93</v>
      </c>
      <c r="G67" s="21">
        <v>29.48</v>
      </c>
      <c r="H67" s="13">
        <f t="shared" si="6"/>
        <v>0.18</v>
      </c>
      <c r="I67" s="11" t="s">
        <v>410</v>
      </c>
    </row>
    <row r="68" spans="1:9" x14ac:dyDescent="0.15">
      <c r="C68" s="8">
        <f>3-0.2</f>
        <v>2.8</v>
      </c>
      <c r="D68" s="9">
        <v>1</v>
      </c>
      <c r="E68" s="8">
        <f t="shared" si="4"/>
        <v>0.98799999999999999</v>
      </c>
      <c r="F68" s="13">
        <f t="shared" si="5"/>
        <v>2.77</v>
      </c>
      <c r="G68" s="21">
        <v>29.48</v>
      </c>
      <c r="H68" s="13">
        <f t="shared" si="6"/>
        <v>0.08</v>
      </c>
      <c r="I68" s="11" t="s">
        <v>410</v>
      </c>
    </row>
    <row r="69" spans="1:9" x14ac:dyDescent="0.15">
      <c r="C69" s="8">
        <f>3-0.2-0.175</f>
        <v>2.625</v>
      </c>
      <c r="D69" s="9">
        <v>1</v>
      </c>
      <c r="E69" s="8">
        <f t="shared" si="4"/>
        <v>0.98799999999999999</v>
      </c>
      <c r="F69" s="13">
        <f t="shared" si="5"/>
        <v>2.59</v>
      </c>
      <c r="G69" s="21">
        <v>29.48</v>
      </c>
      <c r="H69" s="13">
        <f t="shared" si="6"/>
        <v>0.08</v>
      </c>
      <c r="I69" s="11" t="s">
        <v>410</v>
      </c>
    </row>
    <row r="70" spans="1:9" x14ac:dyDescent="0.15">
      <c r="A70" s="7" t="s">
        <v>399</v>
      </c>
      <c r="B70" s="7" t="s">
        <v>308</v>
      </c>
      <c r="C70" s="8">
        <v>4</v>
      </c>
      <c r="D70" s="9">
        <v>4</v>
      </c>
      <c r="E70" s="8">
        <f>0.244*2+0.175*4</f>
        <v>1.1879999999999999</v>
      </c>
      <c r="F70" s="13">
        <f t="shared" si="5"/>
        <v>19.010000000000002</v>
      </c>
      <c r="G70" s="21">
        <v>42.42</v>
      </c>
      <c r="H70" s="13">
        <f t="shared" si="6"/>
        <v>0.68</v>
      </c>
      <c r="I70" s="11" t="s">
        <v>410</v>
      </c>
    </row>
    <row r="71" spans="1:9" x14ac:dyDescent="0.15">
      <c r="C71" s="8">
        <f>4-0.175</f>
        <v>3.8250000000000002</v>
      </c>
      <c r="D71" s="9">
        <v>1</v>
      </c>
      <c r="E71" s="8">
        <f>0.244*2+0.175*4</f>
        <v>1.1879999999999999</v>
      </c>
      <c r="F71" s="13">
        <f t="shared" si="5"/>
        <v>4.54</v>
      </c>
      <c r="G71" s="21">
        <v>42.42</v>
      </c>
      <c r="H71" s="13">
        <f t="shared" si="6"/>
        <v>0.16</v>
      </c>
      <c r="I71" s="11" t="s">
        <v>410</v>
      </c>
    </row>
    <row r="72" spans="1:9" x14ac:dyDescent="0.15">
      <c r="A72" s="7" t="s">
        <v>413</v>
      </c>
      <c r="B72" s="7" t="s">
        <v>309</v>
      </c>
      <c r="C72" s="8">
        <f>9.5-0.175*2</f>
        <v>9.15</v>
      </c>
      <c r="D72" s="9">
        <v>2</v>
      </c>
      <c r="E72" s="8">
        <f>0.294*2+0.2*4</f>
        <v>1.3879999999999999</v>
      </c>
      <c r="F72" s="13">
        <f t="shared" si="5"/>
        <v>25.4</v>
      </c>
      <c r="G72" s="21">
        <v>54.63</v>
      </c>
      <c r="H72" s="13">
        <f t="shared" si="6"/>
        <v>1</v>
      </c>
      <c r="I72" s="11" t="s">
        <v>410</v>
      </c>
    </row>
    <row r="73" spans="1:9" x14ac:dyDescent="0.15">
      <c r="C73" s="8">
        <f>11-0.175</f>
        <v>10.824999999999999</v>
      </c>
      <c r="D73" s="9">
        <v>1</v>
      </c>
      <c r="E73" s="8">
        <f>0.294*2+0.2*4</f>
        <v>1.3879999999999999</v>
      </c>
      <c r="F73" s="13">
        <f t="shared" si="5"/>
        <v>15.03</v>
      </c>
      <c r="G73" s="21">
        <v>54.63</v>
      </c>
      <c r="H73" s="13">
        <f t="shared" si="6"/>
        <v>0.59</v>
      </c>
      <c r="I73" s="11" t="s">
        <v>410</v>
      </c>
    </row>
    <row r="74" spans="1:9" x14ac:dyDescent="0.15">
      <c r="C74" s="8">
        <f>11-0.175*2</f>
        <v>10.65</v>
      </c>
      <c r="D74" s="9">
        <v>1</v>
      </c>
      <c r="E74" s="8">
        <f>0.294*2+0.2*4</f>
        <v>1.3879999999999999</v>
      </c>
      <c r="F74" s="13">
        <f t="shared" si="5"/>
        <v>14.78</v>
      </c>
      <c r="G74" s="21">
        <v>54.63</v>
      </c>
      <c r="H74" s="13">
        <f t="shared" si="6"/>
        <v>0.57999999999999996</v>
      </c>
      <c r="I74" s="11" t="s">
        <v>410</v>
      </c>
    </row>
    <row r="75" spans="1:9" x14ac:dyDescent="0.15">
      <c r="C75" s="8">
        <f>10.75-0.175*2</f>
        <v>10.4</v>
      </c>
      <c r="D75" s="9">
        <v>2</v>
      </c>
      <c r="E75" s="8">
        <f>0.294*2+0.2*4</f>
        <v>1.3879999999999999</v>
      </c>
      <c r="F75" s="13">
        <f t="shared" si="5"/>
        <v>28.87</v>
      </c>
      <c r="G75" s="21">
        <v>54.63</v>
      </c>
      <c r="H75" s="13">
        <f t="shared" si="6"/>
        <v>1.1399999999999999</v>
      </c>
      <c r="I75" s="11" t="s">
        <v>410</v>
      </c>
    </row>
    <row r="76" spans="1:9" x14ac:dyDescent="0.15">
      <c r="A76" s="7" t="s">
        <v>415</v>
      </c>
      <c r="B76" s="7" t="s">
        <v>417</v>
      </c>
      <c r="C76" s="8">
        <f>19.5-0.2*2</f>
        <v>19.100000000000001</v>
      </c>
      <c r="D76" s="9">
        <v>2</v>
      </c>
      <c r="E76" s="8">
        <f>0.6*2+0.2*4</f>
        <v>2</v>
      </c>
      <c r="F76" s="13">
        <f t="shared" si="5"/>
        <v>76.400000000000006</v>
      </c>
      <c r="G76" s="21">
        <v>102.25</v>
      </c>
      <c r="H76" s="13">
        <f t="shared" si="6"/>
        <v>3.91</v>
      </c>
      <c r="I76" s="11" t="s">
        <v>410</v>
      </c>
    </row>
    <row r="77" spans="1:9" x14ac:dyDescent="0.15">
      <c r="A77" s="7" t="s">
        <v>402</v>
      </c>
      <c r="B77" s="7" t="s">
        <v>403</v>
      </c>
      <c r="C77" s="8">
        <f>1.2*2^0.5</f>
        <v>1.697056274847714</v>
      </c>
      <c r="D77" s="9">
        <v>16</v>
      </c>
      <c r="E77" s="8">
        <f>0.14*2+0.058*4</f>
        <v>0.51200000000000001</v>
      </c>
      <c r="F77" s="13">
        <f t="shared" si="5"/>
        <v>13.9</v>
      </c>
      <c r="G77" s="21">
        <v>14.5</v>
      </c>
      <c r="H77" s="13">
        <f t="shared" si="6"/>
        <v>0.39</v>
      </c>
      <c r="I77" s="11" t="s">
        <v>411</v>
      </c>
    </row>
    <row r="78" spans="1:9" x14ac:dyDescent="0.15">
      <c r="A78" s="7" t="s">
        <v>423</v>
      </c>
      <c r="F78" s="13">
        <f t="shared" si="5"/>
        <v>0</v>
      </c>
      <c r="H78" s="13">
        <f t="shared" si="6"/>
        <v>0</v>
      </c>
    </row>
    <row r="79" spans="1:9" x14ac:dyDescent="0.15">
      <c r="A79" s="7" t="s">
        <v>344</v>
      </c>
      <c r="B79" s="7" t="s">
        <v>307</v>
      </c>
      <c r="C79" s="8">
        <v>3</v>
      </c>
      <c r="D79" s="9">
        <v>2</v>
      </c>
      <c r="E79" s="8">
        <f>0.148*2+0.1*4</f>
        <v>0.69599999999999995</v>
      </c>
      <c r="F79" s="13">
        <f t="shared" si="5"/>
        <v>4.18</v>
      </c>
      <c r="G79" s="21">
        <v>20.25</v>
      </c>
      <c r="H79" s="13">
        <f t="shared" si="6"/>
        <v>0.12</v>
      </c>
      <c r="I79" s="11" t="s">
        <v>411</v>
      </c>
    </row>
    <row r="80" spans="1:9" x14ac:dyDescent="0.15">
      <c r="A80" s="7" t="s">
        <v>346</v>
      </c>
      <c r="B80" s="7" t="s">
        <v>193</v>
      </c>
      <c r="C80" s="8">
        <f>4-0.175</f>
        <v>3.8250000000000002</v>
      </c>
      <c r="D80" s="9">
        <v>2</v>
      </c>
      <c r="E80" s="8">
        <f t="shared" ref="E80:E88" si="7">0.194*2+0.15*4</f>
        <v>0.98799999999999999</v>
      </c>
      <c r="F80" s="13">
        <f t="shared" si="5"/>
        <v>7.56</v>
      </c>
      <c r="G80" s="21">
        <v>29.48</v>
      </c>
      <c r="H80" s="13">
        <f t="shared" si="6"/>
        <v>0.23</v>
      </c>
      <c r="I80" s="11" t="s">
        <v>411</v>
      </c>
    </row>
    <row r="81" spans="1:9" x14ac:dyDescent="0.15">
      <c r="C81" s="8">
        <v>4</v>
      </c>
      <c r="D81" s="9">
        <v>6</v>
      </c>
      <c r="E81" s="8">
        <f t="shared" si="7"/>
        <v>0.98799999999999999</v>
      </c>
      <c r="F81" s="13">
        <f t="shared" si="5"/>
        <v>23.71</v>
      </c>
      <c r="G81" s="21">
        <v>29.48</v>
      </c>
      <c r="H81" s="13">
        <f t="shared" si="6"/>
        <v>0.71</v>
      </c>
      <c r="I81" s="11" t="s">
        <v>411</v>
      </c>
    </row>
    <row r="82" spans="1:9" x14ac:dyDescent="0.15">
      <c r="C82" s="8">
        <v>3</v>
      </c>
      <c r="D82" s="9">
        <v>2</v>
      </c>
      <c r="E82" s="8">
        <f t="shared" si="7"/>
        <v>0.98799999999999999</v>
      </c>
      <c r="F82" s="13">
        <f t="shared" si="5"/>
        <v>5.93</v>
      </c>
      <c r="G82" s="21">
        <v>29.48</v>
      </c>
      <c r="H82" s="13">
        <f t="shared" si="6"/>
        <v>0.18</v>
      </c>
      <c r="I82" s="11" t="s">
        <v>411</v>
      </c>
    </row>
    <row r="83" spans="1:9" x14ac:dyDescent="0.15">
      <c r="C83" s="8">
        <f>3-0.175</f>
        <v>2.8250000000000002</v>
      </c>
      <c r="D83" s="9">
        <v>1</v>
      </c>
      <c r="E83" s="8">
        <f t="shared" si="7"/>
        <v>0.98799999999999999</v>
      </c>
      <c r="F83" s="13">
        <f t="shared" si="5"/>
        <v>2.79</v>
      </c>
      <c r="G83" s="21">
        <v>29.48</v>
      </c>
      <c r="H83" s="13">
        <f t="shared" si="6"/>
        <v>0.08</v>
      </c>
      <c r="I83" s="11" t="s">
        <v>411</v>
      </c>
    </row>
    <row r="84" spans="1:9" x14ac:dyDescent="0.15">
      <c r="C84" s="8">
        <f>3-0.175*2</f>
        <v>2.65</v>
      </c>
      <c r="D84" s="9">
        <v>1</v>
      </c>
      <c r="E84" s="8">
        <f t="shared" si="7"/>
        <v>0.98799999999999999</v>
      </c>
      <c r="F84" s="13">
        <f t="shared" si="5"/>
        <v>2.62</v>
      </c>
      <c r="G84" s="21">
        <v>29.48</v>
      </c>
      <c r="H84" s="13">
        <f t="shared" si="6"/>
        <v>0.08</v>
      </c>
      <c r="I84" s="11" t="s">
        <v>411</v>
      </c>
    </row>
    <row r="85" spans="1:9" x14ac:dyDescent="0.15">
      <c r="C85" s="8">
        <f>2.603-0.175-0.2</f>
        <v>2.2280000000000002</v>
      </c>
      <c r="D85" s="9">
        <v>2</v>
      </c>
      <c r="E85" s="8">
        <f t="shared" si="7"/>
        <v>0.98799999999999999</v>
      </c>
      <c r="F85" s="13">
        <f t="shared" si="5"/>
        <v>4.4000000000000004</v>
      </c>
      <c r="G85" s="21">
        <v>29.48</v>
      </c>
      <c r="H85" s="13">
        <f t="shared" si="6"/>
        <v>0.13</v>
      </c>
      <c r="I85" s="11" t="s">
        <v>411</v>
      </c>
    </row>
    <row r="86" spans="1:9" x14ac:dyDescent="0.15">
      <c r="C86" s="8">
        <f>3-0.175-0.2</f>
        <v>2.625</v>
      </c>
      <c r="D86" s="9">
        <v>2</v>
      </c>
      <c r="E86" s="8">
        <f t="shared" si="7"/>
        <v>0.98799999999999999</v>
      </c>
      <c r="F86" s="13">
        <f t="shared" si="5"/>
        <v>5.19</v>
      </c>
      <c r="G86" s="21">
        <v>29.48</v>
      </c>
      <c r="H86" s="13">
        <f t="shared" si="6"/>
        <v>0.15</v>
      </c>
      <c r="I86" s="11" t="s">
        <v>411</v>
      </c>
    </row>
    <row r="87" spans="1:9" x14ac:dyDescent="0.15">
      <c r="C87" s="8">
        <v>2.5</v>
      </c>
      <c r="D87" s="9">
        <v>1</v>
      </c>
      <c r="E87" s="8">
        <f t="shared" si="7"/>
        <v>0.98799999999999999</v>
      </c>
      <c r="F87" s="13">
        <f t="shared" si="5"/>
        <v>2.4700000000000002</v>
      </c>
      <c r="G87" s="21">
        <v>29.48</v>
      </c>
      <c r="H87" s="13">
        <f t="shared" si="6"/>
        <v>7.0000000000000007E-2</v>
      </c>
      <c r="I87" s="11" t="s">
        <v>411</v>
      </c>
    </row>
    <row r="88" spans="1:9" x14ac:dyDescent="0.15">
      <c r="C88" s="8">
        <f>2.5-0.175*2</f>
        <v>2.15</v>
      </c>
      <c r="D88" s="9">
        <v>1</v>
      </c>
      <c r="E88" s="8">
        <f t="shared" si="7"/>
        <v>0.98799999999999999</v>
      </c>
      <c r="F88" s="13">
        <f t="shared" si="5"/>
        <v>2.12</v>
      </c>
      <c r="G88" s="21">
        <v>29.48</v>
      </c>
      <c r="H88" s="13">
        <f t="shared" si="6"/>
        <v>0.06</v>
      </c>
      <c r="I88" s="11" t="s">
        <v>411</v>
      </c>
    </row>
    <row r="89" spans="1:9" x14ac:dyDescent="0.15">
      <c r="A89" s="7" t="s">
        <v>399</v>
      </c>
      <c r="B89" s="7" t="s">
        <v>308</v>
      </c>
      <c r="C89" s="8">
        <v>4</v>
      </c>
      <c r="D89" s="9">
        <v>4</v>
      </c>
      <c r="E89" s="8">
        <f>0.244*2+0.175*4</f>
        <v>1.1879999999999999</v>
      </c>
      <c r="F89" s="13">
        <f t="shared" si="5"/>
        <v>19.010000000000002</v>
      </c>
      <c r="G89" s="21">
        <v>42.42</v>
      </c>
      <c r="H89" s="13">
        <f t="shared" si="6"/>
        <v>0.68</v>
      </c>
      <c r="I89" s="11" t="s">
        <v>411</v>
      </c>
    </row>
    <row r="90" spans="1:9" x14ac:dyDescent="0.15">
      <c r="C90" s="8">
        <f>4-0.175</f>
        <v>3.8250000000000002</v>
      </c>
      <c r="D90" s="9">
        <v>1</v>
      </c>
      <c r="E90" s="8">
        <f>0.244*2+0.175*4</f>
        <v>1.1879999999999999</v>
      </c>
      <c r="F90" s="13">
        <f t="shared" si="5"/>
        <v>4.54</v>
      </c>
      <c r="G90" s="21">
        <v>42.42</v>
      </c>
      <c r="H90" s="13">
        <f t="shared" si="6"/>
        <v>0.16</v>
      </c>
      <c r="I90" s="11" t="s">
        <v>411</v>
      </c>
    </row>
    <row r="91" spans="1:9" x14ac:dyDescent="0.15">
      <c r="A91" s="7" t="s">
        <v>413</v>
      </c>
      <c r="B91" s="7" t="s">
        <v>309</v>
      </c>
      <c r="C91" s="8">
        <f>9.5-0.175*2</f>
        <v>9.15</v>
      </c>
      <c r="D91" s="9">
        <v>2</v>
      </c>
      <c r="E91" s="8">
        <f>0.294*2+0.2*4</f>
        <v>1.3879999999999999</v>
      </c>
      <c r="F91" s="13">
        <f t="shared" si="5"/>
        <v>25.4</v>
      </c>
      <c r="G91" s="21">
        <v>54.63</v>
      </c>
      <c r="H91" s="13">
        <f t="shared" si="6"/>
        <v>1</v>
      </c>
      <c r="I91" s="11" t="s">
        <v>411</v>
      </c>
    </row>
    <row r="92" spans="1:9" x14ac:dyDescent="0.15">
      <c r="C92" s="8">
        <f>10.75-0.175*2</f>
        <v>10.4</v>
      </c>
      <c r="D92" s="9">
        <v>2</v>
      </c>
      <c r="E92" s="8">
        <f>0.294*2+0.2*4</f>
        <v>1.3879999999999999</v>
      </c>
      <c r="F92" s="13">
        <f t="shared" si="5"/>
        <v>28.87</v>
      </c>
      <c r="G92" s="21">
        <v>54.63</v>
      </c>
      <c r="H92" s="13">
        <f t="shared" si="6"/>
        <v>1.1399999999999999</v>
      </c>
      <c r="I92" s="11" t="s">
        <v>411</v>
      </c>
    </row>
    <row r="93" spans="1:9" x14ac:dyDescent="0.15">
      <c r="A93" s="7" t="s">
        <v>415</v>
      </c>
      <c r="B93" s="7" t="s">
        <v>417</v>
      </c>
      <c r="C93" s="8">
        <f>19.5-0.2*2</f>
        <v>19.100000000000001</v>
      </c>
      <c r="D93" s="9">
        <v>2</v>
      </c>
      <c r="E93" s="8">
        <f>0.6*2+0.2*4</f>
        <v>2</v>
      </c>
      <c r="F93" s="13">
        <f t="shared" si="5"/>
        <v>76.400000000000006</v>
      </c>
      <c r="G93" s="21">
        <v>102.25</v>
      </c>
      <c r="H93" s="13">
        <f t="shared" si="6"/>
        <v>3.91</v>
      </c>
      <c r="I93" s="11" t="s">
        <v>411</v>
      </c>
    </row>
    <row r="94" spans="1:9" x14ac:dyDescent="0.15">
      <c r="A94" s="7" t="s">
        <v>440</v>
      </c>
      <c r="B94" s="7" t="s">
        <v>403</v>
      </c>
      <c r="C94" s="8">
        <f>1.2*2^0.5</f>
        <v>1.697056274847714</v>
      </c>
      <c r="D94" s="9">
        <v>12</v>
      </c>
      <c r="E94" s="8">
        <f>0.14*2+0.058*4</f>
        <v>0.51200000000000001</v>
      </c>
      <c r="F94" s="13">
        <f t="shared" si="5"/>
        <v>10.43</v>
      </c>
      <c r="G94" s="21">
        <v>14.5</v>
      </c>
      <c r="H94" s="13">
        <f t="shared" si="6"/>
        <v>0.3</v>
      </c>
      <c r="I94" s="11" t="s">
        <v>411</v>
      </c>
    </row>
    <row r="95" spans="1:9" x14ac:dyDescent="0.15">
      <c r="A95" s="7" t="s">
        <v>424</v>
      </c>
      <c r="F95" s="13">
        <f t="shared" si="5"/>
        <v>0</v>
      </c>
      <c r="H95" s="13">
        <f t="shared" si="6"/>
        <v>0</v>
      </c>
    </row>
    <row r="96" spans="1:9" x14ac:dyDescent="0.15">
      <c r="A96" s="7" t="s">
        <v>346</v>
      </c>
      <c r="B96" s="7" t="s">
        <v>193</v>
      </c>
      <c r="C96" s="8">
        <f>4-0.175</f>
        <v>3.8250000000000002</v>
      </c>
      <c r="D96" s="9">
        <v>1</v>
      </c>
      <c r="E96" s="8">
        <f t="shared" ref="E96:E104" si="8">0.194*2+0.15*4</f>
        <v>0.98799999999999999</v>
      </c>
      <c r="F96" s="13">
        <f t="shared" si="5"/>
        <v>3.78</v>
      </c>
      <c r="G96" s="21">
        <v>29.48</v>
      </c>
      <c r="H96" s="13">
        <f t="shared" si="6"/>
        <v>0.11</v>
      </c>
      <c r="I96" s="11" t="s">
        <v>410</v>
      </c>
    </row>
    <row r="97" spans="1:9" x14ac:dyDescent="0.15">
      <c r="C97" s="8">
        <v>4</v>
      </c>
      <c r="D97" s="9">
        <v>6</v>
      </c>
      <c r="E97" s="8">
        <f t="shared" si="8"/>
        <v>0.98799999999999999</v>
      </c>
      <c r="F97" s="13">
        <f t="shared" si="5"/>
        <v>23.71</v>
      </c>
      <c r="G97" s="21">
        <v>29.48</v>
      </c>
      <c r="H97" s="13">
        <f t="shared" si="6"/>
        <v>0.71</v>
      </c>
      <c r="I97" s="11" t="s">
        <v>410</v>
      </c>
    </row>
    <row r="98" spans="1:9" x14ac:dyDescent="0.15">
      <c r="C98" s="8">
        <v>3</v>
      </c>
      <c r="D98" s="9">
        <v>4</v>
      </c>
      <c r="E98" s="8">
        <f t="shared" si="8"/>
        <v>0.98799999999999999</v>
      </c>
      <c r="F98" s="13">
        <f t="shared" si="5"/>
        <v>11.86</v>
      </c>
      <c r="G98" s="21">
        <v>29.48</v>
      </c>
      <c r="H98" s="13">
        <f t="shared" si="6"/>
        <v>0.35</v>
      </c>
      <c r="I98" s="11" t="s">
        <v>410</v>
      </c>
    </row>
    <row r="99" spans="1:9" x14ac:dyDescent="0.15">
      <c r="C99" s="8">
        <f>3-0.175</f>
        <v>2.8250000000000002</v>
      </c>
      <c r="D99" s="9">
        <v>1</v>
      </c>
      <c r="E99" s="8">
        <f t="shared" si="8"/>
        <v>0.98799999999999999</v>
      </c>
      <c r="F99" s="13">
        <f t="shared" si="5"/>
        <v>2.79</v>
      </c>
      <c r="G99" s="21">
        <v>29.48</v>
      </c>
      <c r="H99" s="13">
        <f t="shared" si="6"/>
        <v>0.08</v>
      </c>
      <c r="I99" s="11" t="s">
        <v>410</v>
      </c>
    </row>
    <row r="100" spans="1:9" x14ac:dyDescent="0.15">
      <c r="C100" s="8">
        <f>3-0.175*2</f>
        <v>2.65</v>
      </c>
      <c r="D100" s="9">
        <v>1</v>
      </c>
      <c r="E100" s="8">
        <f t="shared" si="8"/>
        <v>0.98799999999999999</v>
      </c>
      <c r="F100" s="13">
        <f t="shared" si="5"/>
        <v>2.62</v>
      </c>
      <c r="G100" s="21">
        <v>29.48</v>
      </c>
      <c r="H100" s="13">
        <f t="shared" si="6"/>
        <v>0.08</v>
      </c>
      <c r="I100" s="11" t="s">
        <v>410</v>
      </c>
    </row>
    <row r="101" spans="1:9" x14ac:dyDescent="0.15">
      <c r="C101" s="8">
        <f>2.603-0.175-0.2</f>
        <v>2.2280000000000002</v>
      </c>
      <c r="D101" s="9">
        <v>2</v>
      </c>
      <c r="E101" s="8">
        <f t="shared" si="8"/>
        <v>0.98799999999999999</v>
      </c>
      <c r="F101" s="13">
        <f t="shared" si="5"/>
        <v>4.4000000000000004</v>
      </c>
      <c r="G101" s="21">
        <v>29.48</v>
      </c>
      <c r="H101" s="13">
        <f t="shared" si="6"/>
        <v>0.13</v>
      </c>
      <c r="I101" s="11" t="s">
        <v>410</v>
      </c>
    </row>
    <row r="102" spans="1:9" x14ac:dyDescent="0.15">
      <c r="C102" s="8">
        <f>3-0.175-0.2</f>
        <v>2.625</v>
      </c>
      <c r="D102" s="9">
        <v>2</v>
      </c>
      <c r="E102" s="8">
        <f t="shared" si="8"/>
        <v>0.98799999999999999</v>
      </c>
      <c r="F102" s="13">
        <f t="shared" si="5"/>
        <v>5.19</v>
      </c>
      <c r="G102" s="21">
        <v>29.48</v>
      </c>
      <c r="H102" s="13">
        <f t="shared" si="6"/>
        <v>0.15</v>
      </c>
      <c r="I102" s="11" t="s">
        <v>410</v>
      </c>
    </row>
    <row r="103" spans="1:9" x14ac:dyDescent="0.15">
      <c r="C103" s="8">
        <v>2.5</v>
      </c>
      <c r="D103" s="9">
        <v>1</v>
      </c>
      <c r="E103" s="8">
        <f t="shared" si="8"/>
        <v>0.98799999999999999</v>
      </c>
      <c r="F103" s="13">
        <f t="shared" si="5"/>
        <v>2.4700000000000002</v>
      </c>
      <c r="G103" s="21">
        <v>29.48</v>
      </c>
      <c r="H103" s="13">
        <f t="shared" si="6"/>
        <v>7.0000000000000007E-2</v>
      </c>
      <c r="I103" s="11" t="s">
        <v>410</v>
      </c>
    </row>
    <row r="104" spans="1:9" x14ac:dyDescent="0.15">
      <c r="C104" s="8">
        <f>2.5-0.175*2</f>
        <v>2.15</v>
      </c>
      <c r="D104" s="9">
        <v>1</v>
      </c>
      <c r="E104" s="8">
        <f t="shared" si="8"/>
        <v>0.98799999999999999</v>
      </c>
      <c r="F104" s="13">
        <f t="shared" si="5"/>
        <v>2.12</v>
      </c>
      <c r="G104" s="21">
        <v>29.48</v>
      </c>
      <c r="H104" s="13">
        <f t="shared" si="6"/>
        <v>0.06</v>
      </c>
      <c r="I104" s="11" t="s">
        <v>410</v>
      </c>
    </row>
    <row r="105" spans="1:9" x14ac:dyDescent="0.15">
      <c r="A105" s="7" t="s">
        <v>399</v>
      </c>
      <c r="B105" s="7" t="s">
        <v>308</v>
      </c>
      <c r="C105" s="8">
        <v>4</v>
      </c>
      <c r="D105" s="9">
        <v>4</v>
      </c>
      <c r="E105" s="8">
        <f>0.244*2+0.175*4</f>
        <v>1.1879999999999999</v>
      </c>
      <c r="F105" s="13">
        <f t="shared" si="5"/>
        <v>19.010000000000002</v>
      </c>
      <c r="G105" s="21">
        <v>42.42</v>
      </c>
      <c r="H105" s="13">
        <f t="shared" si="6"/>
        <v>0.68</v>
      </c>
      <c r="I105" s="11" t="s">
        <v>410</v>
      </c>
    </row>
    <row r="106" spans="1:9" x14ac:dyDescent="0.15">
      <c r="C106" s="8">
        <f>4-0.175</f>
        <v>3.8250000000000002</v>
      </c>
      <c r="D106" s="9">
        <v>2</v>
      </c>
      <c r="E106" s="8">
        <f>0.244*2+0.175*4</f>
        <v>1.1879999999999999</v>
      </c>
      <c r="F106" s="13">
        <f t="shared" si="5"/>
        <v>9.09</v>
      </c>
      <c r="G106" s="21">
        <v>42.42</v>
      </c>
      <c r="H106" s="13">
        <f t="shared" si="6"/>
        <v>0.32</v>
      </c>
      <c r="I106" s="11" t="s">
        <v>410</v>
      </c>
    </row>
    <row r="107" spans="1:9" x14ac:dyDescent="0.15">
      <c r="A107" s="7" t="s">
        <v>413</v>
      </c>
      <c r="B107" s="7" t="s">
        <v>309</v>
      </c>
      <c r="C107" s="8">
        <f>9.5-0.175*2</f>
        <v>9.15</v>
      </c>
      <c r="D107" s="9">
        <v>2</v>
      </c>
      <c r="E107" s="8">
        <f>0.294*2+0.2*4</f>
        <v>1.3879999999999999</v>
      </c>
      <c r="F107" s="13">
        <f t="shared" si="5"/>
        <v>25.4</v>
      </c>
      <c r="G107" s="21">
        <v>54.63</v>
      </c>
      <c r="H107" s="13">
        <f t="shared" si="6"/>
        <v>1</v>
      </c>
      <c r="I107" s="11" t="s">
        <v>410</v>
      </c>
    </row>
    <row r="108" spans="1:9" x14ac:dyDescent="0.15">
      <c r="C108" s="8">
        <f>10.75-0.175*2</f>
        <v>10.4</v>
      </c>
      <c r="D108" s="9">
        <v>2</v>
      </c>
      <c r="E108" s="8">
        <f>0.294*2+0.2*4</f>
        <v>1.3879999999999999</v>
      </c>
      <c r="F108" s="13">
        <f t="shared" si="5"/>
        <v>28.87</v>
      </c>
      <c r="G108" s="21">
        <v>54.63</v>
      </c>
      <c r="H108" s="13">
        <f t="shared" si="6"/>
        <v>1.1399999999999999</v>
      </c>
      <c r="I108" s="11" t="s">
        <v>410</v>
      </c>
    </row>
    <row r="109" spans="1:9" x14ac:dyDescent="0.15">
      <c r="A109" s="7" t="s">
        <v>415</v>
      </c>
      <c r="B109" s="7" t="s">
        <v>417</v>
      </c>
      <c r="C109" s="8">
        <f>19.5-0.2*2</f>
        <v>19.100000000000001</v>
      </c>
      <c r="D109" s="9">
        <v>2</v>
      </c>
      <c r="E109" s="8">
        <f>0.6*2+0.2*4</f>
        <v>2</v>
      </c>
      <c r="F109" s="13">
        <f t="shared" si="5"/>
        <v>76.400000000000006</v>
      </c>
      <c r="G109" s="21">
        <v>102.25</v>
      </c>
      <c r="H109" s="13">
        <f t="shared" si="6"/>
        <v>3.91</v>
      </c>
      <c r="I109" s="11" t="s">
        <v>410</v>
      </c>
    </row>
    <row r="110" spans="1:9" x14ac:dyDescent="0.15">
      <c r="A110" s="7" t="s">
        <v>440</v>
      </c>
      <c r="B110" s="7" t="s">
        <v>403</v>
      </c>
      <c r="C110" s="8">
        <f>1.2*2^0.5</f>
        <v>1.697056274847714</v>
      </c>
      <c r="D110" s="9">
        <v>12</v>
      </c>
      <c r="E110" s="8">
        <f>0.14*2+0.058*4</f>
        <v>0.51200000000000001</v>
      </c>
      <c r="F110" s="13">
        <f t="shared" si="5"/>
        <v>10.43</v>
      </c>
      <c r="G110" s="21">
        <v>14.5</v>
      </c>
      <c r="H110" s="13">
        <f t="shared" si="6"/>
        <v>0.3</v>
      </c>
      <c r="I110" s="11" t="s">
        <v>410</v>
      </c>
    </row>
    <row r="111" spans="1:9" ht="28.5" x14ac:dyDescent="0.15">
      <c r="A111" s="7" t="s">
        <v>425</v>
      </c>
      <c r="F111" s="13">
        <f t="shared" si="5"/>
        <v>0</v>
      </c>
      <c r="H111" s="13">
        <f t="shared" si="6"/>
        <v>0</v>
      </c>
    </row>
    <row r="112" spans="1:9" x14ac:dyDescent="0.15">
      <c r="A112" s="7" t="s">
        <v>40</v>
      </c>
      <c r="F112" s="13">
        <f t="shared" si="5"/>
        <v>0</v>
      </c>
      <c r="H112" s="13">
        <f t="shared" si="6"/>
        <v>0</v>
      </c>
    </row>
    <row r="113" spans="1:9" x14ac:dyDescent="0.15">
      <c r="A113" s="7" t="s">
        <v>395</v>
      </c>
      <c r="B113" s="7" t="s">
        <v>355</v>
      </c>
      <c r="C113" s="8">
        <f>4.5-0.53</f>
        <v>3.9699999999999998</v>
      </c>
      <c r="D113" s="9">
        <v>12</v>
      </c>
      <c r="E113" s="8">
        <f>0.35*2+0.35*4</f>
        <v>2.0999999999999996</v>
      </c>
      <c r="F113" s="13">
        <f t="shared" si="5"/>
        <v>100.04</v>
      </c>
      <c r="G113" s="21">
        <v>133.79</v>
      </c>
      <c r="H113" s="13">
        <f t="shared" si="6"/>
        <v>6.37</v>
      </c>
      <c r="I113" s="11" t="s">
        <v>405</v>
      </c>
    </row>
    <row r="114" spans="1:9" x14ac:dyDescent="0.15">
      <c r="C114" s="8">
        <f>70.6-65.1</f>
        <v>5.5</v>
      </c>
      <c r="D114" s="9">
        <v>8</v>
      </c>
      <c r="E114" s="8">
        <f>0.35*2+0.35*4</f>
        <v>2.0999999999999996</v>
      </c>
      <c r="F114" s="13">
        <f t="shared" si="5"/>
        <v>92.4</v>
      </c>
      <c r="G114" s="21">
        <v>133.79</v>
      </c>
      <c r="H114" s="13">
        <f t="shared" si="6"/>
        <v>5.89</v>
      </c>
      <c r="I114" s="11" t="s">
        <v>406</v>
      </c>
    </row>
    <row r="115" spans="1:9" x14ac:dyDescent="0.15">
      <c r="C115" s="8">
        <f>73.1-65.1</f>
        <v>8</v>
      </c>
      <c r="D115" s="9">
        <v>4</v>
      </c>
      <c r="E115" s="8">
        <f>0.35*2+0.35*4</f>
        <v>2.0999999999999996</v>
      </c>
      <c r="F115" s="13">
        <f t="shared" si="5"/>
        <v>67.2</v>
      </c>
      <c r="G115" s="21">
        <v>133.79</v>
      </c>
      <c r="H115" s="13">
        <f t="shared" si="6"/>
        <v>4.28</v>
      </c>
      <c r="I115" s="11" t="s">
        <v>406</v>
      </c>
    </row>
    <row r="116" spans="1:9" x14ac:dyDescent="0.15">
      <c r="A116" s="7" t="s">
        <v>396</v>
      </c>
      <c r="B116" s="7" t="s">
        <v>397</v>
      </c>
      <c r="C116" s="8">
        <f>67.1-60.55-0.53</f>
        <v>6.0199999999999969</v>
      </c>
      <c r="D116" s="9">
        <v>4</v>
      </c>
      <c r="E116" s="8">
        <f>0.4*2+0.4*4</f>
        <v>2.4000000000000004</v>
      </c>
      <c r="F116" s="13">
        <f t="shared" si="5"/>
        <v>57.79</v>
      </c>
      <c r="G116" s="21">
        <v>168.41</v>
      </c>
      <c r="H116" s="13">
        <f t="shared" si="6"/>
        <v>4.0599999999999996</v>
      </c>
      <c r="I116" s="11" t="s">
        <v>405</v>
      </c>
    </row>
    <row r="117" spans="1:9" x14ac:dyDescent="0.15">
      <c r="C117" s="8">
        <f>73.1-67.1</f>
        <v>6</v>
      </c>
      <c r="D117" s="9">
        <v>4</v>
      </c>
      <c r="E117" s="8">
        <f>0.4*2+0.4*4</f>
        <v>2.4000000000000004</v>
      </c>
      <c r="F117" s="13">
        <f t="shared" si="5"/>
        <v>57.6</v>
      </c>
      <c r="G117" s="21">
        <v>168.41</v>
      </c>
      <c r="H117" s="13">
        <f t="shared" si="6"/>
        <v>4.04</v>
      </c>
      <c r="I117" s="11" t="s">
        <v>406</v>
      </c>
    </row>
    <row r="118" spans="1:9" x14ac:dyDescent="0.15">
      <c r="A118" s="7" t="s">
        <v>430</v>
      </c>
      <c r="B118" s="7" t="s">
        <v>431</v>
      </c>
      <c r="C118" s="8">
        <f>(3^2+(4-0.53)^2)^0.5</f>
        <v>4.5870360800848298</v>
      </c>
      <c r="D118" s="9">
        <v>4</v>
      </c>
      <c r="E118" s="8">
        <f>0.09*6</f>
        <v>0.54</v>
      </c>
      <c r="F118" s="13">
        <f t="shared" si="5"/>
        <v>9.91</v>
      </c>
      <c r="G118" s="21">
        <f>8.35*2</f>
        <v>16.7</v>
      </c>
      <c r="H118" s="13">
        <f t="shared" si="6"/>
        <v>0.31</v>
      </c>
      <c r="I118" s="11" t="s">
        <v>475</v>
      </c>
    </row>
    <row r="119" spans="1:9" x14ac:dyDescent="0.15">
      <c r="C119" s="8">
        <f>(1.5^2+1.5^2)^0.5*0.5/1.5</f>
        <v>0.70710678118654746</v>
      </c>
      <c r="D119" s="9">
        <v>4</v>
      </c>
      <c r="E119" s="8">
        <f>0.09*6</f>
        <v>0.54</v>
      </c>
      <c r="F119" s="13">
        <f t="shared" si="5"/>
        <v>1.53</v>
      </c>
      <c r="G119" s="21">
        <f t="shared" ref="G119:G121" si="9">8.35*2</f>
        <v>16.7</v>
      </c>
      <c r="H119" s="13">
        <f t="shared" si="6"/>
        <v>0.05</v>
      </c>
      <c r="I119" s="11" t="s">
        <v>475</v>
      </c>
    </row>
    <row r="120" spans="1:9" x14ac:dyDescent="0.15">
      <c r="C120" s="8">
        <f>(1.5^2+1.5^2)^0.5*1/1.5</f>
        <v>1.4142135623730949</v>
      </c>
      <c r="D120" s="9">
        <v>4</v>
      </c>
      <c r="E120" s="8">
        <f>0.09*6</f>
        <v>0.54</v>
      </c>
      <c r="F120" s="13">
        <f t="shared" si="5"/>
        <v>3.05</v>
      </c>
      <c r="G120" s="21">
        <f t="shared" si="9"/>
        <v>16.7</v>
      </c>
      <c r="H120" s="13">
        <f t="shared" si="6"/>
        <v>0.09</v>
      </c>
      <c r="I120" s="11" t="s">
        <v>476</v>
      </c>
    </row>
    <row r="121" spans="1:9" x14ac:dyDescent="0.15">
      <c r="C121" s="8">
        <f>(1.5^2+1.5^2)^0.5</f>
        <v>2.1213203435596424</v>
      </c>
      <c r="D121" s="9">
        <v>12</v>
      </c>
      <c r="E121" s="8">
        <f>0.09*6</f>
        <v>0.54</v>
      </c>
      <c r="F121" s="13">
        <f t="shared" si="5"/>
        <v>13.75</v>
      </c>
      <c r="G121" s="21">
        <f t="shared" si="9"/>
        <v>16.7</v>
      </c>
      <c r="H121" s="13">
        <f t="shared" si="6"/>
        <v>0.43</v>
      </c>
      <c r="I121" s="11" t="s">
        <v>476</v>
      </c>
    </row>
    <row r="122" spans="1:9" x14ac:dyDescent="0.15">
      <c r="A122" s="7" t="s">
        <v>426</v>
      </c>
      <c r="F122" s="13">
        <f t="shared" si="5"/>
        <v>0</v>
      </c>
      <c r="H122" s="13">
        <f t="shared" si="6"/>
        <v>0</v>
      </c>
    </row>
    <row r="123" spans="1:9" x14ac:dyDescent="0.15">
      <c r="A123" s="7" t="s">
        <v>347</v>
      </c>
      <c r="B123" s="7" t="s">
        <v>193</v>
      </c>
      <c r="C123" s="8">
        <f>3-0.2-0.175</f>
        <v>2.625</v>
      </c>
      <c r="D123" s="9">
        <v>1</v>
      </c>
      <c r="E123" s="8">
        <f>0.194*2+0.15*4</f>
        <v>0.98799999999999999</v>
      </c>
      <c r="F123" s="13">
        <f t="shared" si="5"/>
        <v>2.59</v>
      </c>
      <c r="G123" s="21">
        <v>29.48</v>
      </c>
      <c r="H123" s="13">
        <f t="shared" si="6"/>
        <v>0.08</v>
      </c>
      <c r="I123" s="11" t="s">
        <v>408</v>
      </c>
    </row>
    <row r="124" spans="1:9" x14ac:dyDescent="0.15">
      <c r="C124" s="8">
        <f>3-0.2</f>
        <v>2.8</v>
      </c>
      <c r="D124" s="9">
        <v>1</v>
      </c>
      <c r="E124" s="8">
        <f>0.194*2+0.15*4</f>
        <v>0.98799999999999999</v>
      </c>
      <c r="F124" s="13">
        <f t="shared" si="5"/>
        <v>2.77</v>
      </c>
      <c r="G124" s="21">
        <v>29.48</v>
      </c>
      <c r="H124" s="13">
        <f t="shared" si="6"/>
        <v>0.08</v>
      </c>
      <c r="I124" s="11" t="s">
        <v>408</v>
      </c>
    </row>
    <row r="125" spans="1:9" x14ac:dyDescent="0.15">
      <c r="A125" s="7" t="s">
        <v>399</v>
      </c>
      <c r="B125" s="7" t="s">
        <v>308</v>
      </c>
      <c r="C125" s="8">
        <v>4</v>
      </c>
      <c r="D125" s="9">
        <v>1</v>
      </c>
      <c r="E125" s="8">
        <f>0.244*2+0.175*4</f>
        <v>1.1879999999999999</v>
      </c>
      <c r="F125" s="13">
        <f t="shared" si="5"/>
        <v>4.75</v>
      </c>
      <c r="G125" s="21">
        <v>42.42</v>
      </c>
      <c r="H125" s="13">
        <f t="shared" si="6"/>
        <v>0.17</v>
      </c>
      <c r="I125" s="11" t="s">
        <v>408</v>
      </c>
    </row>
    <row r="126" spans="1:9" x14ac:dyDescent="0.15">
      <c r="C126" s="8">
        <f>4-0.175</f>
        <v>3.8250000000000002</v>
      </c>
      <c r="D126" s="9">
        <v>1</v>
      </c>
      <c r="E126" s="8">
        <f>0.244*2+0.175*4</f>
        <v>1.1879999999999999</v>
      </c>
      <c r="F126" s="13">
        <f t="shared" si="5"/>
        <v>4.54</v>
      </c>
      <c r="G126" s="21">
        <v>42.42</v>
      </c>
      <c r="H126" s="13">
        <f t="shared" si="6"/>
        <v>0.16</v>
      </c>
      <c r="I126" s="11" t="s">
        <v>408</v>
      </c>
    </row>
    <row r="127" spans="1:9" x14ac:dyDescent="0.15">
      <c r="A127" s="7" t="s">
        <v>427</v>
      </c>
      <c r="F127" s="13">
        <f t="shared" si="5"/>
        <v>0</v>
      </c>
      <c r="H127" s="13">
        <f t="shared" si="6"/>
        <v>0</v>
      </c>
    </row>
    <row r="128" spans="1:9" x14ac:dyDescent="0.15">
      <c r="A128" s="7" t="s">
        <v>346</v>
      </c>
      <c r="B128" s="7" t="s">
        <v>193</v>
      </c>
      <c r="C128" s="8">
        <f>3-0.2-0.175</f>
        <v>2.625</v>
      </c>
      <c r="D128" s="9">
        <v>1</v>
      </c>
      <c r="E128" s="8">
        <f>0.194*2+0.15*4</f>
        <v>0.98799999999999999</v>
      </c>
      <c r="F128" s="13">
        <f t="shared" si="5"/>
        <v>2.59</v>
      </c>
      <c r="G128" s="21">
        <v>29.48</v>
      </c>
      <c r="H128" s="13">
        <f t="shared" si="6"/>
        <v>0.08</v>
      </c>
      <c r="I128" s="11" t="s">
        <v>407</v>
      </c>
    </row>
    <row r="129" spans="1:9" x14ac:dyDescent="0.15">
      <c r="C129" s="8">
        <f>3-0.2</f>
        <v>2.8</v>
      </c>
      <c r="D129" s="9">
        <v>1</v>
      </c>
      <c r="E129" s="8">
        <f>0.194*2+0.15*4</f>
        <v>0.98799999999999999</v>
      </c>
      <c r="F129" s="13">
        <f t="shared" si="5"/>
        <v>2.77</v>
      </c>
      <c r="G129" s="21">
        <v>29.48</v>
      </c>
      <c r="H129" s="13">
        <f t="shared" si="6"/>
        <v>0.08</v>
      </c>
      <c r="I129" s="11" t="s">
        <v>407</v>
      </c>
    </row>
    <row r="130" spans="1:9" x14ac:dyDescent="0.15">
      <c r="A130" s="7" t="s">
        <v>399</v>
      </c>
      <c r="B130" s="7" t="s">
        <v>308</v>
      </c>
      <c r="C130" s="8">
        <v>4</v>
      </c>
      <c r="D130" s="9">
        <v>1</v>
      </c>
      <c r="E130" s="8">
        <f>0.244*2+0.175*4</f>
        <v>1.1879999999999999</v>
      </c>
      <c r="F130" s="13">
        <f t="shared" ref="F130:F193" si="10">ROUND(PRODUCT($C130:$E130),2)</f>
        <v>4.75</v>
      </c>
      <c r="G130" s="21">
        <v>42.42</v>
      </c>
      <c r="H130" s="13">
        <f t="shared" ref="H130:H193" si="11">ROUND(PRODUCT($C130:$D130,$G130)*0.001,2)</f>
        <v>0.17</v>
      </c>
      <c r="I130" s="11" t="s">
        <v>407</v>
      </c>
    </row>
    <row r="131" spans="1:9" x14ac:dyDescent="0.15">
      <c r="C131" s="8">
        <f>4-0.175</f>
        <v>3.8250000000000002</v>
      </c>
      <c r="D131" s="9">
        <v>1</v>
      </c>
      <c r="E131" s="8">
        <f>0.244*2+0.175*4</f>
        <v>1.1879999999999999</v>
      </c>
      <c r="F131" s="13">
        <f t="shared" si="10"/>
        <v>4.54</v>
      </c>
      <c r="G131" s="21">
        <v>42.42</v>
      </c>
      <c r="H131" s="13">
        <f t="shared" si="11"/>
        <v>0.16</v>
      </c>
      <c r="I131" s="11" t="s">
        <v>407</v>
      </c>
    </row>
    <row r="132" spans="1:9" x14ac:dyDescent="0.15">
      <c r="A132" s="7" t="s">
        <v>441</v>
      </c>
      <c r="F132" s="13">
        <f t="shared" si="10"/>
        <v>0</v>
      </c>
      <c r="H132" s="13">
        <f t="shared" si="11"/>
        <v>0</v>
      </c>
    </row>
    <row r="133" spans="1:9" x14ac:dyDescent="0.15">
      <c r="A133" s="7" t="s">
        <v>346</v>
      </c>
      <c r="B133" s="7" t="s">
        <v>193</v>
      </c>
      <c r="C133" s="8">
        <f>3-0.2-0.175</f>
        <v>2.625</v>
      </c>
      <c r="D133" s="9">
        <v>1</v>
      </c>
      <c r="E133" s="8">
        <f>0.194*2+0.15*4</f>
        <v>0.98799999999999999</v>
      </c>
      <c r="F133" s="13">
        <f t="shared" si="10"/>
        <v>2.59</v>
      </c>
      <c r="G133" s="21">
        <v>29.48</v>
      </c>
      <c r="H133" s="13">
        <f t="shared" si="11"/>
        <v>0.08</v>
      </c>
      <c r="I133" s="11" t="s">
        <v>433</v>
      </c>
    </row>
    <row r="134" spans="1:9" x14ac:dyDescent="0.15">
      <c r="C134" s="8">
        <f>3-0.2</f>
        <v>2.8</v>
      </c>
      <c r="D134" s="9">
        <v>1</v>
      </c>
      <c r="E134" s="8">
        <f>0.194*2+0.15*4</f>
        <v>0.98799999999999999</v>
      </c>
      <c r="F134" s="13">
        <f t="shared" si="10"/>
        <v>2.77</v>
      </c>
      <c r="G134" s="21">
        <v>29.48</v>
      </c>
      <c r="H134" s="13">
        <f t="shared" si="11"/>
        <v>0.08</v>
      </c>
      <c r="I134" s="11" t="s">
        <v>433</v>
      </c>
    </row>
    <row r="135" spans="1:9" x14ac:dyDescent="0.15">
      <c r="A135" s="7" t="s">
        <v>399</v>
      </c>
      <c r="B135" s="7" t="s">
        <v>308</v>
      </c>
      <c r="C135" s="8">
        <v>4</v>
      </c>
      <c r="D135" s="9">
        <v>1</v>
      </c>
      <c r="E135" s="8">
        <f>0.244*2+0.175*4</f>
        <v>1.1879999999999999</v>
      </c>
      <c r="F135" s="13">
        <f t="shared" si="10"/>
        <v>4.75</v>
      </c>
      <c r="G135" s="21">
        <v>42.42</v>
      </c>
      <c r="H135" s="13">
        <f t="shared" si="11"/>
        <v>0.17</v>
      </c>
      <c r="I135" s="11" t="s">
        <v>433</v>
      </c>
    </row>
    <row r="136" spans="1:9" x14ac:dyDescent="0.15">
      <c r="C136" s="8">
        <f>4-0.175</f>
        <v>3.8250000000000002</v>
      </c>
      <c r="D136" s="9">
        <v>1</v>
      </c>
      <c r="E136" s="8">
        <f>0.244*2+0.175*4</f>
        <v>1.1879999999999999</v>
      </c>
      <c r="F136" s="13">
        <f t="shared" si="10"/>
        <v>4.54</v>
      </c>
      <c r="G136" s="21">
        <v>42.42</v>
      </c>
      <c r="H136" s="13">
        <f t="shared" si="11"/>
        <v>0.16</v>
      </c>
      <c r="I136" s="11" t="s">
        <v>433</v>
      </c>
    </row>
    <row r="137" spans="1:9" x14ac:dyDescent="0.15">
      <c r="A137" s="7" t="s">
        <v>398</v>
      </c>
      <c r="F137" s="13">
        <f t="shared" si="10"/>
        <v>0</v>
      </c>
      <c r="H137" s="13">
        <f t="shared" si="11"/>
        <v>0</v>
      </c>
    </row>
    <row r="138" spans="1:9" x14ac:dyDescent="0.15">
      <c r="A138" s="7" t="s">
        <v>346</v>
      </c>
      <c r="B138" s="7" t="s">
        <v>193</v>
      </c>
      <c r="C138" s="8">
        <v>4</v>
      </c>
      <c r="D138" s="9">
        <v>3</v>
      </c>
      <c r="E138" s="8">
        <f>0.194*2+0.15*4</f>
        <v>0.98799999999999999</v>
      </c>
      <c r="F138" s="13">
        <f t="shared" si="10"/>
        <v>11.86</v>
      </c>
      <c r="G138" s="21">
        <v>29.48</v>
      </c>
      <c r="H138" s="13">
        <f t="shared" si="11"/>
        <v>0.35</v>
      </c>
      <c r="I138" s="11" t="s">
        <v>407</v>
      </c>
    </row>
    <row r="139" spans="1:9" x14ac:dyDescent="0.15">
      <c r="C139" s="8">
        <f>3-0.175*2</f>
        <v>2.65</v>
      </c>
      <c r="D139" s="9">
        <v>2</v>
      </c>
      <c r="E139" s="8">
        <f>0.194*2+0.15*4</f>
        <v>0.98799999999999999</v>
      </c>
      <c r="F139" s="13">
        <f t="shared" si="10"/>
        <v>5.24</v>
      </c>
      <c r="G139" s="21">
        <v>29.48</v>
      </c>
      <c r="H139" s="13">
        <f t="shared" si="11"/>
        <v>0.16</v>
      </c>
      <c r="I139" s="11" t="s">
        <v>407</v>
      </c>
    </row>
    <row r="140" spans="1:9" x14ac:dyDescent="0.15">
      <c r="C140" s="8">
        <f>3.1-0.175*2</f>
        <v>2.75</v>
      </c>
      <c r="D140" s="9">
        <v>4</v>
      </c>
      <c r="E140" s="8">
        <f>0.194*2+0.15*4</f>
        <v>0.98799999999999999</v>
      </c>
      <c r="F140" s="13">
        <f t="shared" si="10"/>
        <v>10.87</v>
      </c>
      <c r="G140" s="21">
        <v>29.48</v>
      </c>
      <c r="H140" s="13">
        <f t="shared" si="11"/>
        <v>0.32</v>
      </c>
      <c r="I140" s="11" t="s">
        <v>407</v>
      </c>
    </row>
    <row r="141" spans="1:9" x14ac:dyDescent="0.15">
      <c r="C141" s="8">
        <f>3-0.175-0.2</f>
        <v>2.625</v>
      </c>
      <c r="D141" s="9">
        <v>2</v>
      </c>
      <c r="E141" s="8">
        <f>0.194*2+0.15*4</f>
        <v>0.98799999999999999</v>
      </c>
      <c r="F141" s="13">
        <f t="shared" si="10"/>
        <v>5.19</v>
      </c>
      <c r="G141" s="21">
        <v>29.48</v>
      </c>
      <c r="H141" s="13">
        <f t="shared" si="11"/>
        <v>0.15</v>
      </c>
      <c r="I141" s="11" t="s">
        <v>407</v>
      </c>
    </row>
    <row r="142" spans="1:9" x14ac:dyDescent="0.15">
      <c r="A142" s="7" t="s">
        <v>399</v>
      </c>
      <c r="B142" s="7" t="s">
        <v>308</v>
      </c>
      <c r="C142" s="8">
        <v>4</v>
      </c>
      <c r="D142" s="9">
        <v>4</v>
      </c>
      <c r="E142" s="8">
        <f>0.244*2+0.175*4</f>
        <v>1.1879999999999999</v>
      </c>
      <c r="F142" s="13">
        <f t="shared" si="10"/>
        <v>19.010000000000002</v>
      </c>
      <c r="G142" s="21">
        <v>42.42</v>
      </c>
      <c r="H142" s="13">
        <f t="shared" si="11"/>
        <v>0.68</v>
      </c>
      <c r="I142" s="11" t="s">
        <v>407</v>
      </c>
    </row>
    <row r="143" spans="1:9" x14ac:dyDescent="0.15">
      <c r="A143" s="7" t="s">
        <v>440</v>
      </c>
      <c r="B143" s="7" t="s">
        <v>403</v>
      </c>
      <c r="C143" s="8">
        <f>1.2*2^0.5</f>
        <v>1.697056274847714</v>
      </c>
      <c r="D143" s="9">
        <v>4</v>
      </c>
      <c r="E143" s="8">
        <f>0.14*2+0.058*4</f>
        <v>0.51200000000000001</v>
      </c>
      <c r="F143" s="13">
        <f t="shared" si="10"/>
        <v>3.48</v>
      </c>
      <c r="G143" s="21">
        <v>14.5</v>
      </c>
      <c r="H143" s="13">
        <f t="shared" si="11"/>
        <v>0.1</v>
      </c>
      <c r="I143" s="11" t="s">
        <v>407</v>
      </c>
    </row>
    <row r="144" spans="1:9" x14ac:dyDescent="0.15">
      <c r="A144" s="7" t="s">
        <v>429</v>
      </c>
      <c r="B144" s="7" t="s">
        <v>59</v>
      </c>
      <c r="C144" s="8">
        <f>(2^2+3^2)^0.5</f>
        <v>3.6055512754639891</v>
      </c>
      <c r="D144" s="9">
        <v>4</v>
      </c>
      <c r="E144" s="8">
        <f>0.09*4</f>
        <v>0.36</v>
      </c>
      <c r="F144" s="13">
        <f t="shared" si="10"/>
        <v>5.19</v>
      </c>
      <c r="G144" s="21">
        <v>8.35</v>
      </c>
      <c r="H144" s="13">
        <f t="shared" si="11"/>
        <v>0.12</v>
      </c>
      <c r="I144" s="11" t="s">
        <v>407</v>
      </c>
    </row>
    <row r="145" spans="1:9" x14ac:dyDescent="0.15">
      <c r="B145" s="7" t="s">
        <v>359</v>
      </c>
      <c r="C145" s="8">
        <v>3</v>
      </c>
      <c r="D145" s="9">
        <v>1</v>
      </c>
      <c r="E145" s="8">
        <f>0.14*2+0.08*4</f>
        <v>0.60000000000000009</v>
      </c>
      <c r="F145" s="13">
        <f t="shared" si="10"/>
        <v>1.8</v>
      </c>
      <c r="G145" s="21">
        <v>16.899999999999999</v>
      </c>
      <c r="H145" s="13">
        <f t="shared" si="11"/>
        <v>0.05</v>
      </c>
      <c r="I145" s="11" t="s">
        <v>407</v>
      </c>
    </row>
    <row r="146" spans="1:9" x14ac:dyDescent="0.15">
      <c r="A146" s="7" t="s">
        <v>432</v>
      </c>
      <c r="F146" s="13">
        <f t="shared" si="10"/>
        <v>0</v>
      </c>
      <c r="H146" s="13">
        <f t="shared" si="11"/>
        <v>0</v>
      </c>
    </row>
    <row r="147" spans="1:9" x14ac:dyDescent="0.15">
      <c r="A147" s="7" t="s">
        <v>346</v>
      </c>
      <c r="B147" s="7" t="s">
        <v>193</v>
      </c>
      <c r="C147" s="8">
        <v>4</v>
      </c>
      <c r="D147" s="9">
        <v>3</v>
      </c>
      <c r="E147" s="8">
        <f>0.194*2+0.15*4</f>
        <v>0.98799999999999999</v>
      </c>
      <c r="F147" s="13">
        <f t="shared" si="10"/>
        <v>11.86</v>
      </c>
      <c r="G147" s="21">
        <v>29.48</v>
      </c>
      <c r="H147" s="13">
        <f t="shared" si="11"/>
        <v>0.35</v>
      </c>
      <c r="I147" s="11" t="s">
        <v>433</v>
      </c>
    </row>
    <row r="148" spans="1:9" x14ac:dyDescent="0.15">
      <c r="C148" s="8">
        <f>3-0.175*2</f>
        <v>2.65</v>
      </c>
      <c r="D148" s="9">
        <v>2</v>
      </c>
      <c r="E148" s="8">
        <f>0.194*2+0.15*4</f>
        <v>0.98799999999999999</v>
      </c>
      <c r="F148" s="13">
        <f t="shared" si="10"/>
        <v>5.24</v>
      </c>
      <c r="G148" s="21">
        <v>29.48</v>
      </c>
      <c r="H148" s="13">
        <f t="shared" si="11"/>
        <v>0.16</v>
      </c>
      <c r="I148" s="11" t="s">
        <v>433</v>
      </c>
    </row>
    <row r="149" spans="1:9" x14ac:dyDescent="0.15">
      <c r="C149" s="8">
        <f>3.1-0.175*2</f>
        <v>2.75</v>
      </c>
      <c r="D149" s="9">
        <v>4</v>
      </c>
      <c r="E149" s="8">
        <f>0.194*2+0.15*4</f>
        <v>0.98799999999999999</v>
      </c>
      <c r="F149" s="13">
        <f t="shared" si="10"/>
        <v>10.87</v>
      </c>
      <c r="G149" s="21">
        <v>29.48</v>
      </c>
      <c r="H149" s="13">
        <f t="shared" si="11"/>
        <v>0.32</v>
      </c>
      <c r="I149" s="11" t="s">
        <v>433</v>
      </c>
    </row>
    <row r="150" spans="1:9" x14ac:dyDescent="0.15">
      <c r="C150" s="8">
        <f>3-0.175-0.2</f>
        <v>2.625</v>
      </c>
      <c r="D150" s="9">
        <v>2</v>
      </c>
      <c r="E150" s="8">
        <f>0.194*2+0.15*4</f>
        <v>0.98799999999999999</v>
      </c>
      <c r="F150" s="13">
        <f t="shared" si="10"/>
        <v>5.19</v>
      </c>
      <c r="G150" s="21">
        <v>29.48</v>
      </c>
      <c r="H150" s="13">
        <f t="shared" si="11"/>
        <v>0.15</v>
      </c>
      <c r="I150" s="11" t="s">
        <v>433</v>
      </c>
    </row>
    <row r="151" spans="1:9" x14ac:dyDescent="0.15">
      <c r="A151" s="7" t="s">
        <v>399</v>
      </c>
      <c r="B151" s="7" t="s">
        <v>308</v>
      </c>
      <c r="C151" s="8">
        <v>4</v>
      </c>
      <c r="D151" s="9">
        <v>4</v>
      </c>
      <c r="E151" s="8">
        <f>0.244*2+0.175*4</f>
        <v>1.1879999999999999</v>
      </c>
      <c r="F151" s="13">
        <f t="shared" si="10"/>
        <v>19.010000000000002</v>
      </c>
      <c r="G151" s="21">
        <v>42.42</v>
      </c>
      <c r="H151" s="13">
        <f t="shared" si="11"/>
        <v>0.68</v>
      </c>
      <c r="I151" s="11" t="s">
        <v>433</v>
      </c>
    </row>
    <row r="152" spans="1:9" x14ac:dyDescent="0.15">
      <c r="A152" s="7" t="s">
        <v>401</v>
      </c>
      <c r="B152" s="7" t="s">
        <v>403</v>
      </c>
      <c r="C152" s="8">
        <f>1.2*2^0.5</f>
        <v>1.697056274847714</v>
      </c>
      <c r="D152" s="9">
        <v>4</v>
      </c>
      <c r="E152" s="8">
        <f>0.14*2+0.058*4</f>
        <v>0.51200000000000001</v>
      </c>
      <c r="F152" s="13">
        <f t="shared" si="10"/>
        <v>3.48</v>
      </c>
      <c r="G152" s="21">
        <v>14.5</v>
      </c>
      <c r="H152" s="13">
        <f t="shared" si="11"/>
        <v>0.1</v>
      </c>
      <c r="I152" s="11" t="s">
        <v>433</v>
      </c>
    </row>
    <row r="153" spans="1:9" x14ac:dyDescent="0.15">
      <c r="A153" s="7" t="s">
        <v>428</v>
      </c>
      <c r="B153" s="7" t="s">
        <v>58</v>
      </c>
      <c r="C153" s="8">
        <f>(2^2+3^2)^0.5</f>
        <v>3.6055512754639891</v>
      </c>
      <c r="D153" s="9">
        <v>4</v>
      </c>
      <c r="E153" s="8">
        <f>0.09*4</f>
        <v>0.36</v>
      </c>
      <c r="F153" s="13">
        <f t="shared" si="10"/>
        <v>5.19</v>
      </c>
      <c r="G153" s="21">
        <v>8.35</v>
      </c>
      <c r="H153" s="13">
        <f t="shared" si="11"/>
        <v>0.12</v>
      </c>
      <c r="I153" s="11" t="s">
        <v>433</v>
      </c>
    </row>
    <row r="154" spans="1:9" x14ac:dyDescent="0.15">
      <c r="B154" s="7" t="s">
        <v>358</v>
      </c>
      <c r="C154" s="8">
        <v>3</v>
      </c>
      <c r="D154" s="9">
        <v>1</v>
      </c>
      <c r="E154" s="8">
        <f>0.14*2+0.08*4</f>
        <v>0.60000000000000009</v>
      </c>
      <c r="F154" s="13">
        <f t="shared" si="10"/>
        <v>1.8</v>
      </c>
      <c r="G154" s="21">
        <v>16.899999999999999</v>
      </c>
      <c r="H154" s="13">
        <f t="shared" si="11"/>
        <v>0.05</v>
      </c>
      <c r="I154" s="11" t="s">
        <v>433</v>
      </c>
    </row>
    <row r="155" spans="1:9" x14ac:dyDescent="0.15">
      <c r="A155" s="7" t="s">
        <v>421</v>
      </c>
      <c r="F155" s="13">
        <f t="shared" si="10"/>
        <v>0</v>
      </c>
      <c r="H155" s="13">
        <f t="shared" si="11"/>
        <v>0</v>
      </c>
    </row>
    <row r="156" spans="1:9" x14ac:dyDescent="0.15">
      <c r="A156" s="7" t="s">
        <v>346</v>
      </c>
      <c r="B156" s="7" t="s">
        <v>193</v>
      </c>
      <c r="C156" s="8">
        <v>4</v>
      </c>
      <c r="D156" s="9">
        <v>3</v>
      </c>
      <c r="E156" s="8">
        <f>0.194*2+0.15*4</f>
        <v>0.98799999999999999</v>
      </c>
      <c r="F156" s="13">
        <f t="shared" si="10"/>
        <v>11.86</v>
      </c>
      <c r="G156" s="21">
        <v>29.48</v>
      </c>
      <c r="H156" s="13">
        <f t="shared" si="11"/>
        <v>0.35</v>
      </c>
      <c r="I156" s="11" t="s">
        <v>434</v>
      </c>
    </row>
    <row r="157" spans="1:9" x14ac:dyDescent="0.15">
      <c r="C157" s="8">
        <f>3-0.175*2</f>
        <v>2.65</v>
      </c>
      <c r="D157" s="9">
        <v>2</v>
      </c>
      <c r="E157" s="8">
        <f>0.194*2+0.15*4</f>
        <v>0.98799999999999999</v>
      </c>
      <c r="F157" s="13">
        <f t="shared" si="10"/>
        <v>5.24</v>
      </c>
      <c r="G157" s="21">
        <v>29.48</v>
      </c>
      <c r="H157" s="13">
        <f t="shared" si="11"/>
        <v>0.16</v>
      </c>
      <c r="I157" s="11" t="s">
        <v>434</v>
      </c>
    </row>
    <row r="158" spans="1:9" x14ac:dyDescent="0.15">
      <c r="C158" s="8">
        <f>3.1-0.175*2</f>
        <v>2.75</v>
      </c>
      <c r="D158" s="9">
        <v>4</v>
      </c>
      <c r="E158" s="8">
        <f>0.194*2+0.15*4</f>
        <v>0.98799999999999999</v>
      </c>
      <c r="F158" s="13">
        <f t="shared" si="10"/>
        <v>10.87</v>
      </c>
      <c r="G158" s="21">
        <v>29.48</v>
      </c>
      <c r="H158" s="13">
        <f t="shared" si="11"/>
        <v>0.32</v>
      </c>
      <c r="I158" s="11" t="s">
        <v>434</v>
      </c>
    </row>
    <row r="159" spans="1:9" x14ac:dyDescent="0.15">
      <c r="C159" s="8">
        <f>3-0.175-0.2</f>
        <v>2.625</v>
      </c>
      <c r="D159" s="9">
        <v>2</v>
      </c>
      <c r="E159" s="8">
        <f>0.194*2+0.15*4</f>
        <v>0.98799999999999999</v>
      </c>
      <c r="F159" s="13">
        <f t="shared" si="10"/>
        <v>5.19</v>
      </c>
      <c r="G159" s="21">
        <v>29.48</v>
      </c>
      <c r="H159" s="13">
        <f t="shared" si="11"/>
        <v>0.15</v>
      </c>
      <c r="I159" s="11" t="s">
        <v>434</v>
      </c>
    </row>
    <row r="160" spans="1:9" x14ac:dyDescent="0.15">
      <c r="A160" s="7" t="s">
        <v>399</v>
      </c>
      <c r="B160" s="7" t="s">
        <v>308</v>
      </c>
      <c r="C160" s="8">
        <v>4</v>
      </c>
      <c r="D160" s="9">
        <v>4</v>
      </c>
      <c r="E160" s="8">
        <f>0.244*2+0.175*4</f>
        <v>1.1879999999999999</v>
      </c>
      <c r="F160" s="13">
        <f t="shared" si="10"/>
        <v>19.010000000000002</v>
      </c>
      <c r="G160" s="21">
        <v>42.42</v>
      </c>
      <c r="H160" s="13">
        <f t="shared" si="11"/>
        <v>0.68</v>
      </c>
      <c r="I160" s="11" t="s">
        <v>434</v>
      </c>
    </row>
    <row r="161" spans="1:9" x14ac:dyDescent="0.15">
      <c r="A161" s="7" t="s">
        <v>439</v>
      </c>
      <c r="B161" s="7" t="s">
        <v>403</v>
      </c>
      <c r="C161" s="8">
        <f>1.2*2^0.5</f>
        <v>1.697056274847714</v>
      </c>
      <c r="D161" s="9">
        <v>4</v>
      </c>
      <c r="E161" s="8">
        <f>0.14*2+0.058*4</f>
        <v>0.51200000000000001</v>
      </c>
      <c r="F161" s="13">
        <f t="shared" si="10"/>
        <v>3.48</v>
      </c>
      <c r="G161" s="21">
        <v>14.5</v>
      </c>
      <c r="H161" s="13">
        <f t="shared" si="11"/>
        <v>0.1</v>
      </c>
      <c r="I161" s="11" t="s">
        <v>435</v>
      </c>
    </row>
    <row r="162" spans="1:9" x14ac:dyDescent="0.15">
      <c r="A162" s="7" t="s">
        <v>428</v>
      </c>
      <c r="B162" s="7" t="s">
        <v>58</v>
      </c>
      <c r="C162" s="8">
        <f>(2^2+3^2)^0.5</f>
        <v>3.6055512754639891</v>
      </c>
      <c r="D162" s="9">
        <v>4</v>
      </c>
      <c r="E162" s="8">
        <f>0.09*4</f>
        <v>0.36</v>
      </c>
      <c r="F162" s="13">
        <f t="shared" si="10"/>
        <v>5.19</v>
      </c>
      <c r="G162" s="21">
        <v>8.35</v>
      </c>
      <c r="H162" s="13">
        <f t="shared" si="11"/>
        <v>0.12</v>
      </c>
      <c r="I162" s="11" t="s">
        <v>436</v>
      </c>
    </row>
    <row r="163" spans="1:9" x14ac:dyDescent="0.15">
      <c r="B163" s="7" t="s">
        <v>358</v>
      </c>
      <c r="C163" s="8">
        <v>3</v>
      </c>
      <c r="D163" s="9">
        <v>1</v>
      </c>
      <c r="E163" s="8">
        <f>0.14*2+0.08*4</f>
        <v>0.60000000000000009</v>
      </c>
      <c r="F163" s="13">
        <f t="shared" si="10"/>
        <v>1.8</v>
      </c>
      <c r="G163" s="21">
        <v>16.899999999999999</v>
      </c>
      <c r="H163" s="13">
        <f t="shared" si="11"/>
        <v>0.05</v>
      </c>
      <c r="I163" s="11" t="s">
        <v>437</v>
      </c>
    </row>
    <row r="164" spans="1:9" x14ac:dyDescent="0.15">
      <c r="A164" s="7" t="s">
        <v>412</v>
      </c>
      <c r="F164" s="13">
        <f t="shared" si="10"/>
        <v>0</v>
      </c>
      <c r="H164" s="13">
        <f t="shared" si="11"/>
        <v>0</v>
      </c>
    </row>
    <row r="165" spans="1:9" x14ac:dyDescent="0.15">
      <c r="A165" s="7" t="s">
        <v>346</v>
      </c>
      <c r="B165" s="7" t="s">
        <v>193</v>
      </c>
      <c r="C165" s="8">
        <v>4</v>
      </c>
      <c r="D165" s="9">
        <v>4</v>
      </c>
      <c r="E165" s="8">
        <f>0.194*2+0.15*4</f>
        <v>0.98799999999999999</v>
      </c>
      <c r="F165" s="13">
        <f t="shared" si="10"/>
        <v>15.81</v>
      </c>
      <c r="G165" s="21">
        <v>29.48</v>
      </c>
      <c r="H165" s="13">
        <f t="shared" si="11"/>
        <v>0.47</v>
      </c>
      <c r="I165" s="11" t="s">
        <v>407</v>
      </c>
    </row>
    <row r="166" spans="1:9" x14ac:dyDescent="0.15">
      <c r="A166" s="7" t="s">
        <v>399</v>
      </c>
      <c r="B166" s="7" t="s">
        <v>308</v>
      </c>
      <c r="C166" s="8">
        <v>4</v>
      </c>
      <c r="D166" s="9">
        <v>2</v>
      </c>
      <c r="E166" s="8">
        <f>0.244*2+0.175*4</f>
        <v>1.1879999999999999</v>
      </c>
      <c r="F166" s="13">
        <f t="shared" si="10"/>
        <v>9.5</v>
      </c>
      <c r="G166" s="21">
        <v>42.42</v>
      </c>
      <c r="H166" s="13">
        <f t="shared" si="11"/>
        <v>0.34</v>
      </c>
      <c r="I166" s="11" t="s">
        <v>407</v>
      </c>
    </row>
    <row r="167" spans="1:9" x14ac:dyDescent="0.15">
      <c r="A167" s="7" t="s">
        <v>415</v>
      </c>
      <c r="B167" s="7" t="s">
        <v>417</v>
      </c>
      <c r="C167" s="8">
        <f>20-0.2*2</f>
        <v>19.600000000000001</v>
      </c>
      <c r="D167" s="9">
        <v>2</v>
      </c>
      <c r="E167" s="8">
        <f>0.6*2+0.2*4</f>
        <v>2</v>
      </c>
      <c r="F167" s="13">
        <f t="shared" si="10"/>
        <v>78.400000000000006</v>
      </c>
      <c r="G167" s="21">
        <v>102.25</v>
      </c>
      <c r="H167" s="13">
        <f t="shared" si="11"/>
        <v>4.01</v>
      </c>
      <c r="I167" s="11" t="s">
        <v>407</v>
      </c>
    </row>
    <row r="168" spans="1:9" x14ac:dyDescent="0.15">
      <c r="A168" s="7" t="s">
        <v>439</v>
      </c>
      <c r="B168" s="7" t="s">
        <v>403</v>
      </c>
      <c r="C168" s="8">
        <f>1.2*2^0.5</f>
        <v>1.697056274847714</v>
      </c>
      <c r="D168" s="9">
        <v>4</v>
      </c>
      <c r="E168" s="8">
        <f>0.14*2+0.058*4</f>
        <v>0.51200000000000001</v>
      </c>
      <c r="F168" s="13">
        <f t="shared" si="10"/>
        <v>3.48</v>
      </c>
      <c r="G168" s="21">
        <v>14.5</v>
      </c>
      <c r="H168" s="13">
        <f t="shared" si="11"/>
        <v>0.1</v>
      </c>
      <c r="I168" s="11" t="s">
        <v>407</v>
      </c>
    </row>
    <row r="169" spans="1:9" x14ac:dyDescent="0.15">
      <c r="A169" s="7" t="s">
        <v>419</v>
      </c>
      <c r="F169" s="13">
        <f t="shared" si="10"/>
        <v>0</v>
      </c>
      <c r="H169" s="13">
        <f t="shared" si="11"/>
        <v>0</v>
      </c>
    </row>
    <row r="170" spans="1:9" x14ac:dyDescent="0.15">
      <c r="A170" s="7" t="s">
        <v>346</v>
      </c>
      <c r="B170" s="7" t="s">
        <v>193</v>
      </c>
      <c r="C170" s="8">
        <v>4</v>
      </c>
      <c r="D170" s="9">
        <v>4</v>
      </c>
      <c r="E170" s="8">
        <f>0.194*2+0.15*4</f>
        <v>0.98799999999999999</v>
      </c>
      <c r="F170" s="13">
        <f t="shared" si="10"/>
        <v>15.81</v>
      </c>
      <c r="G170" s="21">
        <v>29.48</v>
      </c>
      <c r="H170" s="13">
        <f t="shared" si="11"/>
        <v>0.47</v>
      </c>
      <c r="I170" s="11" t="s">
        <v>437</v>
      </c>
    </row>
    <row r="171" spans="1:9" x14ac:dyDescent="0.15">
      <c r="A171" s="7" t="s">
        <v>399</v>
      </c>
      <c r="B171" s="7" t="s">
        <v>308</v>
      </c>
      <c r="C171" s="8">
        <v>4</v>
      </c>
      <c r="D171" s="9">
        <v>2</v>
      </c>
      <c r="E171" s="8">
        <f>0.244*2+0.175*4</f>
        <v>1.1879999999999999</v>
      </c>
      <c r="F171" s="13">
        <f t="shared" si="10"/>
        <v>9.5</v>
      </c>
      <c r="G171" s="21">
        <v>42.42</v>
      </c>
      <c r="H171" s="13">
        <f t="shared" si="11"/>
        <v>0.34</v>
      </c>
      <c r="I171" s="11" t="s">
        <v>437</v>
      </c>
    </row>
    <row r="172" spans="1:9" x14ac:dyDescent="0.15">
      <c r="A172" s="7" t="s">
        <v>415</v>
      </c>
      <c r="B172" s="7" t="s">
        <v>417</v>
      </c>
      <c r="C172" s="8">
        <f>20-0.2*2</f>
        <v>19.600000000000001</v>
      </c>
      <c r="D172" s="9">
        <v>2</v>
      </c>
      <c r="E172" s="8">
        <f>0.6*2+0.2*4</f>
        <v>2</v>
      </c>
      <c r="F172" s="13">
        <f t="shared" si="10"/>
        <v>78.400000000000006</v>
      </c>
      <c r="G172" s="21">
        <v>102.25</v>
      </c>
      <c r="H172" s="13">
        <f t="shared" si="11"/>
        <v>4.01</v>
      </c>
      <c r="I172" s="11" t="s">
        <v>437</v>
      </c>
    </row>
    <row r="173" spans="1:9" x14ac:dyDescent="0.15">
      <c r="A173" s="7" t="s">
        <v>438</v>
      </c>
      <c r="B173" s="7" t="s">
        <v>403</v>
      </c>
      <c r="C173" s="8">
        <f>1.2*2^0.5</f>
        <v>1.697056274847714</v>
      </c>
      <c r="D173" s="9">
        <v>4</v>
      </c>
      <c r="E173" s="8">
        <f>0.14*2+0.058*4</f>
        <v>0.51200000000000001</v>
      </c>
      <c r="F173" s="13">
        <f t="shared" si="10"/>
        <v>3.48</v>
      </c>
      <c r="G173" s="21">
        <v>14.5</v>
      </c>
      <c r="H173" s="13">
        <f t="shared" si="11"/>
        <v>0.1</v>
      </c>
      <c r="I173" s="11" t="s">
        <v>437</v>
      </c>
    </row>
    <row r="174" spans="1:9" x14ac:dyDescent="0.15">
      <c r="A174" s="7" t="s">
        <v>441</v>
      </c>
      <c r="F174" s="13">
        <f t="shared" si="10"/>
        <v>0</v>
      </c>
      <c r="H174" s="13">
        <f t="shared" si="11"/>
        <v>0</v>
      </c>
    </row>
    <row r="175" spans="1:9" x14ac:dyDescent="0.15">
      <c r="A175" s="7" t="s">
        <v>346</v>
      </c>
      <c r="B175" s="7" t="s">
        <v>193</v>
      </c>
      <c r="C175" s="8">
        <v>4</v>
      </c>
      <c r="D175" s="9">
        <v>4</v>
      </c>
      <c r="E175" s="8">
        <f>0.194*2+0.15*4</f>
        <v>0.98799999999999999</v>
      </c>
      <c r="F175" s="13">
        <f t="shared" si="10"/>
        <v>15.81</v>
      </c>
      <c r="G175" s="21">
        <v>29.48</v>
      </c>
      <c r="H175" s="13">
        <f t="shared" si="11"/>
        <v>0.47</v>
      </c>
      <c r="I175" s="11" t="s">
        <v>437</v>
      </c>
    </row>
    <row r="176" spans="1:9" x14ac:dyDescent="0.15">
      <c r="A176" s="7" t="s">
        <v>399</v>
      </c>
      <c r="B176" s="7" t="s">
        <v>308</v>
      </c>
      <c r="C176" s="8">
        <v>4</v>
      </c>
      <c r="D176" s="9">
        <v>2</v>
      </c>
      <c r="E176" s="8">
        <f>0.244*2+0.175*4</f>
        <v>1.1879999999999999</v>
      </c>
      <c r="F176" s="13">
        <f t="shared" si="10"/>
        <v>9.5</v>
      </c>
      <c r="G176" s="21">
        <v>42.42</v>
      </c>
      <c r="H176" s="13">
        <f t="shared" si="11"/>
        <v>0.34</v>
      </c>
      <c r="I176" s="11" t="s">
        <v>437</v>
      </c>
    </row>
    <row r="177" spans="1:9" x14ac:dyDescent="0.15">
      <c r="A177" s="7" t="s">
        <v>415</v>
      </c>
      <c r="B177" s="7" t="s">
        <v>417</v>
      </c>
      <c r="C177" s="8">
        <f>20-0.2*2</f>
        <v>19.600000000000001</v>
      </c>
      <c r="D177" s="9">
        <v>2</v>
      </c>
      <c r="E177" s="8">
        <f>0.6*2+0.2*4</f>
        <v>2</v>
      </c>
      <c r="F177" s="13">
        <f t="shared" si="10"/>
        <v>78.400000000000006</v>
      </c>
      <c r="G177" s="21">
        <v>102.25</v>
      </c>
      <c r="H177" s="13">
        <f t="shared" si="11"/>
        <v>4.01</v>
      </c>
      <c r="I177" s="11" t="s">
        <v>437</v>
      </c>
    </row>
    <row r="178" spans="1:9" x14ac:dyDescent="0.15">
      <c r="A178" s="7" t="s">
        <v>438</v>
      </c>
      <c r="B178" s="7" t="s">
        <v>403</v>
      </c>
      <c r="C178" s="8">
        <f>1.2*2^0.5</f>
        <v>1.697056274847714</v>
      </c>
      <c r="D178" s="9">
        <v>4</v>
      </c>
      <c r="E178" s="8">
        <f>0.14*2+0.058*4</f>
        <v>0.51200000000000001</v>
      </c>
      <c r="F178" s="13">
        <f t="shared" si="10"/>
        <v>3.48</v>
      </c>
      <c r="G178" s="21">
        <v>14.5</v>
      </c>
      <c r="H178" s="13">
        <f t="shared" si="11"/>
        <v>0.1</v>
      </c>
      <c r="I178" s="11" t="s">
        <v>437</v>
      </c>
    </row>
    <row r="179" spans="1:9" x14ac:dyDescent="0.15">
      <c r="A179" s="7" t="s">
        <v>442</v>
      </c>
      <c r="F179" s="13">
        <f t="shared" si="10"/>
        <v>0</v>
      </c>
      <c r="H179" s="13">
        <f t="shared" si="11"/>
        <v>0</v>
      </c>
    </row>
    <row r="180" spans="1:9" x14ac:dyDescent="0.15">
      <c r="A180" s="7" t="s">
        <v>346</v>
      </c>
      <c r="B180" s="7" t="s">
        <v>193</v>
      </c>
      <c r="C180" s="8">
        <v>4</v>
      </c>
      <c r="D180" s="9">
        <v>2</v>
      </c>
      <c r="E180" s="8">
        <f>0.194*2+0.15*4</f>
        <v>0.98799999999999999</v>
      </c>
      <c r="F180" s="13">
        <f t="shared" si="10"/>
        <v>7.9</v>
      </c>
      <c r="G180" s="21">
        <v>29.48</v>
      </c>
      <c r="H180" s="13">
        <f t="shared" si="11"/>
        <v>0.24</v>
      </c>
      <c r="I180" s="11" t="s">
        <v>410</v>
      </c>
    </row>
    <row r="181" spans="1:9" x14ac:dyDescent="0.15">
      <c r="C181" s="8">
        <f>3.1-0.175*2</f>
        <v>2.75</v>
      </c>
      <c r="D181" s="9">
        <v>4</v>
      </c>
      <c r="E181" s="8">
        <f>0.194*2+0.15*4</f>
        <v>0.98799999999999999</v>
      </c>
      <c r="F181" s="13">
        <f t="shared" si="10"/>
        <v>10.87</v>
      </c>
      <c r="G181" s="21">
        <v>29.48</v>
      </c>
      <c r="H181" s="13">
        <f t="shared" si="11"/>
        <v>0.32</v>
      </c>
      <c r="I181" s="11" t="s">
        <v>410</v>
      </c>
    </row>
    <row r="182" spans="1:9" x14ac:dyDescent="0.15">
      <c r="C182" s="8">
        <f>3-0.175*2</f>
        <v>2.65</v>
      </c>
      <c r="D182" s="9">
        <v>2</v>
      </c>
      <c r="E182" s="8">
        <f>0.194*2+0.15*4</f>
        <v>0.98799999999999999</v>
      </c>
      <c r="F182" s="13">
        <f t="shared" si="10"/>
        <v>5.24</v>
      </c>
      <c r="G182" s="21">
        <v>29.48</v>
      </c>
      <c r="H182" s="13">
        <f t="shared" si="11"/>
        <v>0.16</v>
      </c>
      <c r="I182" s="11" t="s">
        <v>410</v>
      </c>
    </row>
    <row r="183" spans="1:9" x14ac:dyDescent="0.15">
      <c r="A183" s="7" t="s">
        <v>399</v>
      </c>
      <c r="B183" s="7" t="s">
        <v>308</v>
      </c>
      <c r="C183" s="8">
        <v>4</v>
      </c>
      <c r="D183" s="9">
        <v>5</v>
      </c>
      <c r="E183" s="8">
        <f>0.244*2+0.175*4</f>
        <v>1.1879999999999999</v>
      </c>
      <c r="F183" s="13">
        <f t="shared" si="10"/>
        <v>23.76</v>
      </c>
      <c r="G183" s="21">
        <v>42.42</v>
      </c>
      <c r="H183" s="13">
        <f t="shared" si="11"/>
        <v>0.85</v>
      </c>
      <c r="I183" s="11" t="s">
        <v>410</v>
      </c>
    </row>
    <row r="184" spans="1:9" x14ac:dyDescent="0.15">
      <c r="A184" s="7" t="s">
        <v>413</v>
      </c>
      <c r="B184" s="7" t="s">
        <v>309</v>
      </c>
      <c r="C184" s="8">
        <f>9.5-0.175*2</f>
        <v>9.15</v>
      </c>
      <c r="D184" s="9">
        <v>2</v>
      </c>
      <c r="E184" s="8">
        <f>0.294*2+0.2*4</f>
        <v>1.3879999999999999</v>
      </c>
      <c r="F184" s="13">
        <f t="shared" si="10"/>
        <v>25.4</v>
      </c>
      <c r="G184" s="21">
        <v>54.63</v>
      </c>
      <c r="H184" s="13">
        <f t="shared" si="11"/>
        <v>1</v>
      </c>
      <c r="I184" s="11" t="s">
        <v>410</v>
      </c>
    </row>
    <row r="185" spans="1:9" x14ac:dyDescent="0.15">
      <c r="A185" s="7" t="s">
        <v>439</v>
      </c>
      <c r="B185" s="7" t="s">
        <v>403</v>
      </c>
      <c r="C185" s="8">
        <f>1.2*2^0.5</f>
        <v>1.697056274847714</v>
      </c>
      <c r="D185" s="9">
        <v>4</v>
      </c>
      <c r="E185" s="8">
        <f>0.14*2+0.058*4</f>
        <v>0.51200000000000001</v>
      </c>
      <c r="F185" s="13">
        <f t="shared" si="10"/>
        <v>3.48</v>
      </c>
      <c r="G185" s="21">
        <v>14.5</v>
      </c>
      <c r="H185" s="13">
        <f t="shared" si="11"/>
        <v>0.1</v>
      </c>
      <c r="I185" s="11" t="s">
        <v>410</v>
      </c>
    </row>
    <row r="186" spans="1:9" x14ac:dyDescent="0.15">
      <c r="A186" s="7" t="s">
        <v>428</v>
      </c>
      <c r="B186" s="7" t="s">
        <v>58</v>
      </c>
      <c r="C186" s="8">
        <f>(2^2+3^2)^0.5</f>
        <v>3.6055512754639891</v>
      </c>
      <c r="D186" s="9">
        <v>4</v>
      </c>
      <c r="E186" s="8">
        <f>0.09*4</f>
        <v>0.36</v>
      </c>
      <c r="F186" s="13">
        <f t="shared" si="10"/>
        <v>5.19</v>
      </c>
      <c r="G186" s="21">
        <v>8.35</v>
      </c>
      <c r="H186" s="13">
        <f t="shared" si="11"/>
        <v>0.12</v>
      </c>
      <c r="I186" s="11" t="s">
        <v>410</v>
      </c>
    </row>
    <row r="187" spans="1:9" x14ac:dyDescent="0.15">
      <c r="B187" s="7" t="s">
        <v>358</v>
      </c>
      <c r="C187" s="8">
        <v>3</v>
      </c>
      <c r="D187" s="9">
        <v>1</v>
      </c>
      <c r="E187" s="8">
        <f>0.14*2+0.08*4</f>
        <v>0.60000000000000009</v>
      </c>
      <c r="F187" s="13">
        <f t="shared" si="10"/>
        <v>1.8</v>
      </c>
      <c r="G187" s="21">
        <v>16.899999999999999</v>
      </c>
      <c r="H187" s="13">
        <f t="shared" si="11"/>
        <v>0.05</v>
      </c>
      <c r="I187" s="11" t="s">
        <v>410</v>
      </c>
    </row>
    <row r="188" spans="1:9" x14ac:dyDescent="0.15">
      <c r="A188" s="7" t="s">
        <v>443</v>
      </c>
      <c r="F188" s="13">
        <f t="shared" si="10"/>
        <v>0</v>
      </c>
      <c r="H188" s="13">
        <f t="shared" si="11"/>
        <v>0</v>
      </c>
    </row>
    <row r="189" spans="1:9" x14ac:dyDescent="0.15">
      <c r="A189" s="7" t="s">
        <v>346</v>
      </c>
      <c r="B189" s="7" t="s">
        <v>193</v>
      </c>
      <c r="C189" s="8">
        <v>4</v>
      </c>
      <c r="D189" s="9">
        <v>2</v>
      </c>
      <c r="E189" s="8">
        <f>0.194*2+0.15*4</f>
        <v>0.98799999999999999</v>
      </c>
      <c r="F189" s="13">
        <f t="shared" si="10"/>
        <v>7.9</v>
      </c>
      <c r="G189" s="21">
        <v>29.48</v>
      </c>
      <c r="H189" s="13">
        <f t="shared" si="11"/>
        <v>0.24</v>
      </c>
      <c r="I189" s="11" t="s">
        <v>410</v>
      </c>
    </row>
    <row r="190" spans="1:9" x14ac:dyDescent="0.15">
      <c r="C190" s="8">
        <f>3.1-0.175*2</f>
        <v>2.75</v>
      </c>
      <c r="D190" s="9">
        <v>4</v>
      </c>
      <c r="E190" s="8">
        <f>0.194*2+0.15*4</f>
        <v>0.98799999999999999</v>
      </c>
      <c r="F190" s="13">
        <f t="shared" si="10"/>
        <v>10.87</v>
      </c>
      <c r="G190" s="21">
        <v>29.48</v>
      </c>
      <c r="H190" s="13">
        <f t="shared" si="11"/>
        <v>0.32</v>
      </c>
      <c r="I190" s="11" t="s">
        <v>410</v>
      </c>
    </row>
    <row r="191" spans="1:9" x14ac:dyDescent="0.15">
      <c r="C191" s="8">
        <f>3-0.175*2</f>
        <v>2.65</v>
      </c>
      <c r="D191" s="9">
        <v>2</v>
      </c>
      <c r="E191" s="8">
        <f>0.194*2+0.15*4</f>
        <v>0.98799999999999999</v>
      </c>
      <c r="F191" s="13">
        <f t="shared" si="10"/>
        <v>5.24</v>
      </c>
      <c r="G191" s="21">
        <v>29.48</v>
      </c>
      <c r="H191" s="13">
        <f t="shared" si="11"/>
        <v>0.16</v>
      </c>
      <c r="I191" s="11" t="s">
        <v>410</v>
      </c>
    </row>
    <row r="192" spans="1:9" x14ac:dyDescent="0.15">
      <c r="A192" s="7" t="s">
        <v>399</v>
      </c>
      <c r="B192" s="7" t="s">
        <v>308</v>
      </c>
      <c r="C192" s="8">
        <v>4</v>
      </c>
      <c r="D192" s="9">
        <v>5</v>
      </c>
      <c r="E192" s="8">
        <f>0.244*2+0.175*4</f>
        <v>1.1879999999999999</v>
      </c>
      <c r="F192" s="13">
        <f t="shared" si="10"/>
        <v>23.76</v>
      </c>
      <c r="G192" s="21">
        <v>42.42</v>
      </c>
      <c r="H192" s="13">
        <f t="shared" si="11"/>
        <v>0.85</v>
      </c>
      <c r="I192" s="11" t="s">
        <v>410</v>
      </c>
    </row>
    <row r="193" spans="1:9" x14ac:dyDescent="0.15">
      <c r="A193" s="7" t="s">
        <v>413</v>
      </c>
      <c r="B193" s="7" t="s">
        <v>309</v>
      </c>
      <c r="C193" s="8">
        <f>9.5-0.175*2</f>
        <v>9.15</v>
      </c>
      <c r="D193" s="9">
        <v>2</v>
      </c>
      <c r="E193" s="8">
        <f>0.294*2+0.2*4</f>
        <v>1.3879999999999999</v>
      </c>
      <c r="F193" s="13">
        <f t="shared" si="10"/>
        <v>25.4</v>
      </c>
      <c r="G193" s="21">
        <v>54.63</v>
      </c>
      <c r="H193" s="13">
        <f t="shared" si="11"/>
        <v>1</v>
      </c>
      <c r="I193" s="11" t="s">
        <v>410</v>
      </c>
    </row>
    <row r="194" spans="1:9" x14ac:dyDescent="0.15">
      <c r="A194" s="7" t="s">
        <v>438</v>
      </c>
      <c r="B194" s="7" t="s">
        <v>403</v>
      </c>
      <c r="C194" s="8">
        <f>1.2*2^0.5</f>
        <v>1.697056274847714</v>
      </c>
      <c r="D194" s="9">
        <v>4</v>
      </c>
      <c r="E194" s="8">
        <f>0.14*2+0.058*4</f>
        <v>0.51200000000000001</v>
      </c>
      <c r="F194" s="13">
        <f t="shared" ref="F194:F257" si="12">ROUND(PRODUCT($C194:$E194),2)</f>
        <v>3.48</v>
      </c>
      <c r="G194" s="21">
        <v>14.5</v>
      </c>
      <c r="H194" s="13">
        <f t="shared" ref="H194:H257" si="13">ROUND(PRODUCT($C194:$D194,$G194)*0.001,2)</f>
        <v>0.1</v>
      </c>
      <c r="I194" s="11" t="s">
        <v>410</v>
      </c>
    </row>
    <row r="195" spans="1:9" x14ac:dyDescent="0.15">
      <c r="A195" s="7" t="s">
        <v>428</v>
      </c>
      <c r="B195" s="7" t="s">
        <v>58</v>
      </c>
      <c r="C195" s="8">
        <f>(2^2+3^2)^0.5</f>
        <v>3.6055512754639891</v>
      </c>
      <c r="D195" s="9">
        <v>4</v>
      </c>
      <c r="E195" s="8">
        <f>0.09*4</f>
        <v>0.36</v>
      </c>
      <c r="F195" s="13">
        <f t="shared" si="12"/>
        <v>5.19</v>
      </c>
      <c r="G195" s="21">
        <v>8.35</v>
      </c>
      <c r="H195" s="13">
        <f t="shared" si="13"/>
        <v>0.12</v>
      </c>
      <c r="I195" s="11" t="s">
        <v>410</v>
      </c>
    </row>
    <row r="196" spans="1:9" x14ac:dyDescent="0.15">
      <c r="B196" s="7" t="s">
        <v>358</v>
      </c>
      <c r="C196" s="8">
        <v>3</v>
      </c>
      <c r="D196" s="9">
        <v>1</v>
      </c>
      <c r="E196" s="8">
        <f>0.14*2+0.08*4</f>
        <v>0.60000000000000009</v>
      </c>
      <c r="F196" s="13">
        <f t="shared" si="12"/>
        <v>1.8</v>
      </c>
      <c r="G196" s="21">
        <v>16.899999999999999</v>
      </c>
      <c r="H196" s="13">
        <f t="shared" si="13"/>
        <v>0.05</v>
      </c>
      <c r="I196" s="11" t="s">
        <v>410</v>
      </c>
    </row>
    <row r="197" spans="1:9" x14ac:dyDescent="0.15">
      <c r="A197" s="7" t="s">
        <v>422</v>
      </c>
      <c r="F197" s="13">
        <f t="shared" si="12"/>
        <v>0</v>
      </c>
      <c r="H197" s="13">
        <f t="shared" si="13"/>
        <v>0</v>
      </c>
    </row>
    <row r="198" spans="1:9" x14ac:dyDescent="0.15">
      <c r="A198" s="7" t="s">
        <v>346</v>
      </c>
      <c r="B198" s="7" t="s">
        <v>193</v>
      </c>
      <c r="C198" s="8">
        <v>4</v>
      </c>
      <c r="D198" s="9">
        <v>4</v>
      </c>
      <c r="E198" s="8">
        <f>0.194*2+0.15*4</f>
        <v>0.98799999999999999</v>
      </c>
      <c r="F198" s="13">
        <f t="shared" si="12"/>
        <v>15.81</v>
      </c>
      <c r="G198" s="21">
        <v>29.48</v>
      </c>
      <c r="H198" s="13">
        <f t="shared" si="13"/>
        <v>0.47</v>
      </c>
      <c r="I198" s="11" t="s">
        <v>410</v>
      </c>
    </row>
    <row r="199" spans="1:9" x14ac:dyDescent="0.15">
      <c r="C199" s="8">
        <f>3-0.175-0.2</f>
        <v>2.625</v>
      </c>
      <c r="D199" s="9">
        <v>2</v>
      </c>
      <c r="E199" s="8">
        <f>0.194*2+0.15*4</f>
        <v>0.98799999999999999</v>
      </c>
      <c r="F199" s="13">
        <f t="shared" si="12"/>
        <v>5.19</v>
      </c>
      <c r="G199" s="21">
        <v>29.48</v>
      </c>
      <c r="H199" s="13">
        <f t="shared" si="13"/>
        <v>0.15</v>
      </c>
      <c r="I199" s="11" t="s">
        <v>410</v>
      </c>
    </row>
    <row r="200" spans="1:9" x14ac:dyDescent="0.15">
      <c r="C200" s="8">
        <f>3-0.2-0.175</f>
        <v>2.625</v>
      </c>
      <c r="D200" s="9">
        <v>1</v>
      </c>
      <c r="E200" s="8">
        <f>0.194*2+0.15*4</f>
        <v>0.98799999999999999</v>
      </c>
      <c r="F200" s="13">
        <f t="shared" si="12"/>
        <v>2.59</v>
      </c>
      <c r="G200" s="21">
        <v>29.48</v>
      </c>
      <c r="H200" s="13">
        <f t="shared" si="13"/>
        <v>0.08</v>
      </c>
      <c r="I200" s="11" t="s">
        <v>410</v>
      </c>
    </row>
    <row r="201" spans="1:9" x14ac:dyDescent="0.15">
      <c r="C201" s="8">
        <f>3-0.2</f>
        <v>2.8</v>
      </c>
      <c r="D201" s="9">
        <v>1</v>
      </c>
      <c r="E201" s="8">
        <f>0.194*2+0.15*4</f>
        <v>0.98799999999999999</v>
      </c>
      <c r="F201" s="13">
        <f t="shared" si="12"/>
        <v>2.77</v>
      </c>
      <c r="G201" s="21">
        <v>29.48</v>
      </c>
      <c r="H201" s="13">
        <f t="shared" si="13"/>
        <v>0.08</v>
      </c>
      <c r="I201" s="11" t="s">
        <v>410</v>
      </c>
    </row>
    <row r="202" spans="1:9" x14ac:dyDescent="0.15">
      <c r="A202" s="7" t="s">
        <v>399</v>
      </c>
      <c r="B202" s="7" t="s">
        <v>308</v>
      </c>
      <c r="C202" s="8">
        <v>4</v>
      </c>
      <c r="D202" s="9">
        <v>3</v>
      </c>
      <c r="E202" s="8">
        <f>0.244*2+0.175*4</f>
        <v>1.1879999999999999</v>
      </c>
      <c r="F202" s="13">
        <f t="shared" si="12"/>
        <v>14.26</v>
      </c>
      <c r="G202" s="21">
        <v>42.42</v>
      </c>
      <c r="H202" s="13">
        <f t="shared" si="13"/>
        <v>0.51</v>
      </c>
      <c r="I202" s="11" t="s">
        <v>410</v>
      </c>
    </row>
    <row r="203" spans="1:9" x14ac:dyDescent="0.15">
      <c r="C203" s="8">
        <f>4-0.175</f>
        <v>3.8250000000000002</v>
      </c>
      <c r="D203" s="9">
        <v>1</v>
      </c>
      <c r="E203" s="8">
        <f>0.244*2+0.175*4</f>
        <v>1.1879999999999999</v>
      </c>
      <c r="F203" s="13">
        <f t="shared" si="12"/>
        <v>4.54</v>
      </c>
      <c r="G203" s="21">
        <v>42.42</v>
      </c>
      <c r="H203" s="13">
        <f t="shared" si="13"/>
        <v>0.16</v>
      </c>
      <c r="I203" s="11" t="s">
        <v>410</v>
      </c>
    </row>
    <row r="204" spans="1:9" x14ac:dyDescent="0.15">
      <c r="A204" s="7" t="s">
        <v>415</v>
      </c>
      <c r="B204" s="7" t="s">
        <v>417</v>
      </c>
      <c r="C204" s="8">
        <f>20-0.2*2</f>
        <v>19.600000000000001</v>
      </c>
      <c r="D204" s="9">
        <v>2</v>
      </c>
      <c r="E204" s="8">
        <f>0.6*2+0.2*4</f>
        <v>2</v>
      </c>
      <c r="F204" s="13">
        <f t="shared" si="12"/>
        <v>78.400000000000006</v>
      </c>
      <c r="G204" s="21">
        <v>102.25</v>
      </c>
      <c r="H204" s="13">
        <f t="shared" si="13"/>
        <v>4.01</v>
      </c>
      <c r="I204" s="11" t="s">
        <v>437</v>
      </c>
    </row>
    <row r="205" spans="1:9" x14ac:dyDescent="0.15">
      <c r="A205" s="7" t="s">
        <v>438</v>
      </c>
      <c r="B205" s="7" t="s">
        <v>403</v>
      </c>
      <c r="C205" s="8">
        <f>1.2*2^0.5</f>
        <v>1.697056274847714</v>
      </c>
      <c r="D205" s="9">
        <v>4</v>
      </c>
      <c r="E205" s="8">
        <f>0.14*2+0.058*4</f>
        <v>0.51200000000000001</v>
      </c>
      <c r="F205" s="13">
        <f t="shared" si="12"/>
        <v>3.48</v>
      </c>
      <c r="G205" s="21">
        <v>14.5</v>
      </c>
      <c r="H205" s="13">
        <f t="shared" si="13"/>
        <v>0.1</v>
      </c>
      <c r="I205" s="11" t="s">
        <v>410</v>
      </c>
    </row>
    <row r="206" spans="1:9" x14ac:dyDescent="0.15">
      <c r="A206" s="7" t="s">
        <v>424</v>
      </c>
      <c r="F206" s="13">
        <f t="shared" si="12"/>
        <v>0</v>
      </c>
      <c r="H206" s="13">
        <f t="shared" si="13"/>
        <v>0</v>
      </c>
    </row>
    <row r="207" spans="1:9" x14ac:dyDescent="0.15">
      <c r="A207" s="7" t="s">
        <v>346</v>
      </c>
      <c r="B207" s="7" t="s">
        <v>193</v>
      </c>
      <c r="C207" s="8">
        <v>4</v>
      </c>
      <c r="D207" s="9">
        <v>4</v>
      </c>
      <c r="E207" s="8">
        <f>0.194*2+0.15*4</f>
        <v>0.98799999999999999</v>
      </c>
      <c r="F207" s="13">
        <f t="shared" si="12"/>
        <v>15.81</v>
      </c>
      <c r="G207" s="21">
        <v>29.48</v>
      </c>
      <c r="H207" s="13">
        <f t="shared" si="13"/>
        <v>0.47</v>
      </c>
      <c r="I207" s="11" t="s">
        <v>410</v>
      </c>
    </row>
    <row r="208" spans="1:9" x14ac:dyDescent="0.15">
      <c r="C208" s="8">
        <f>3-0.175-0.2</f>
        <v>2.625</v>
      </c>
      <c r="D208" s="9">
        <v>2</v>
      </c>
      <c r="E208" s="8">
        <f>0.194*2+0.15*4</f>
        <v>0.98799999999999999</v>
      </c>
      <c r="F208" s="13">
        <f t="shared" si="12"/>
        <v>5.19</v>
      </c>
      <c r="G208" s="21">
        <v>29.48</v>
      </c>
      <c r="H208" s="13">
        <f t="shared" si="13"/>
        <v>0.15</v>
      </c>
      <c r="I208" s="11" t="s">
        <v>410</v>
      </c>
    </row>
    <row r="209" spans="1:9" x14ac:dyDescent="0.15">
      <c r="C209" s="8">
        <f>3-0.2-0.175</f>
        <v>2.625</v>
      </c>
      <c r="D209" s="9">
        <v>1</v>
      </c>
      <c r="E209" s="8">
        <f>0.194*2+0.15*4</f>
        <v>0.98799999999999999</v>
      </c>
      <c r="F209" s="13">
        <f t="shared" si="12"/>
        <v>2.59</v>
      </c>
      <c r="G209" s="21">
        <v>29.48</v>
      </c>
      <c r="H209" s="13">
        <f t="shared" si="13"/>
        <v>0.08</v>
      </c>
      <c r="I209" s="11" t="s">
        <v>410</v>
      </c>
    </row>
    <row r="210" spans="1:9" x14ac:dyDescent="0.15">
      <c r="C210" s="8">
        <f>3-0.2</f>
        <v>2.8</v>
      </c>
      <c r="D210" s="9">
        <v>1</v>
      </c>
      <c r="E210" s="8">
        <f>0.194*2+0.15*4</f>
        <v>0.98799999999999999</v>
      </c>
      <c r="F210" s="13">
        <f t="shared" si="12"/>
        <v>2.77</v>
      </c>
      <c r="G210" s="21">
        <v>29.48</v>
      </c>
      <c r="H210" s="13">
        <f t="shared" si="13"/>
        <v>0.08</v>
      </c>
      <c r="I210" s="11" t="s">
        <v>410</v>
      </c>
    </row>
    <row r="211" spans="1:9" x14ac:dyDescent="0.15">
      <c r="A211" s="7" t="s">
        <v>399</v>
      </c>
      <c r="B211" s="7" t="s">
        <v>308</v>
      </c>
      <c r="C211" s="8">
        <v>4</v>
      </c>
      <c r="D211" s="9">
        <v>3</v>
      </c>
      <c r="E211" s="8">
        <f>0.244*2+0.175*4</f>
        <v>1.1879999999999999</v>
      </c>
      <c r="F211" s="13">
        <f t="shared" si="12"/>
        <v>14.26</v>
      </c>
      <c r="G211" s="21">
        <v>42.42</v>
      </c>
      <c r="H211" s="13">
        <f t="shared" si="13"/>
        <v>0.51</v>
      </c>
      <c r="I211" s="11" t="s">
        <v>410</v>
      </c>
    </row>
    <row r="212" spans="1:9" x14ac:dyDescent="0.15">
      <c r="C212" s="8">
        <f>4-0.175</f>
        <v>3.8250000000000002</v>
      </c>
      <c r="D212" s="9">
        <v>1</v>
      </c>
      <c r="E212" s="8">
        <f>0.244*2+0.175*4</f>
        <v>1.1879999999999999</v>
      </c>
      <c r="F212" s="13">
        <f t="shared" si="12"/>
        <v>4.54</v>
      </c>
      <c r="G212" s="21">
        <v>42.42</v>
      </c>
      <c r="H212" s="13">
        <f t="shared" si="13"/>
        <v>0.16</v>
      </c>
      <c r="I212" s="11" t="s">
        <v>410</v>
      </c>
    </row>
    <row r="213" spans="1:9" x14ac:dyDescent="0.15">
      <c r="A213" s="7" t="s">
        <v>415</v>
      </c>
      <c r="B213" s="7" t="s">
        <v>417</v>
      </c>
      <c r="C213" s="8">
        <f>20-0.2*2</f>
        <v>19.600000000000001</v>
      </c>
      <c r="D213" s="9">
        <v>2</v>
      </c>
      <c r="E213" s="8">
        <f>0.6*2+0.2*4</f>
        <v>2</v>
      </c>
      <c r="F213" s="13">
        <f t="shared" si="12"/>
        <v>78.400000000000006</v>
      </c>
      <c r="G213" s="21">
        <v>102.25</v>
      </c>
      <c r="H213" s="13">
        <f t="shared" si="13"/>
        <v>4.01</v>
      </c>
      <c r="I213" s="11" t="s">
        <v>410</v>
      </c>
    </row>
    <row r="214" spans="1:9" x14ac:dyDescent="0.15">
      <c r="A214" s="7" t="s">
        <v>438</v>
      </c>
      <c r="B214" s="7" t="s">
        <v>403</v>
      </c>
      <c r="C214" s="8">
        <f>1.2*2^0.5</f>
        <v>1.697056274847714</v>
      </c>
      <c r="D214" s="9">
        <v>4</v>
      </c>
      <c r="E214" s="8">
        <f>0.14*2+0.058*4</f>
        <v>0.51200000000000001</v>
      </c>
      <c r="F214" s="13">
        <f t="shared" si="12"/>
        <v>3.48</v>
      </c>
      <c r="G214" s="21">
        <v>14.5</v>
      </c>
      <c r="H214" s="13">
        <f t="shared" si="13"/>
        <v>0.1</v>
      </c>
      <c r="I214" s="11" t="s">
        <v>410</v>
      </c>
    </row>
    <row r="215" spans="1:9" ht="28.5" x14ac:dyDescent="0.15">
      <c r="A215" s="7" t="s">
        <v>444</v>
      </c>
      <c r="F215" s="13">
        <f t="shared" si="12"/>
        <v>0</v>
      </c>
      <c r="H215" s="13">
        <f t="shared" si="13"/>
        <v>0</v>
      </c>
    </row>
    <row r="216" spans="1:9" x14ac:dyDescent="0.15">
      <c r="A216" s="7" t="s">
        <v>40</v>
      </c>
      <c r="F216" s="13">
        <f t="shared" si="12"/>
        <v>0</v>
      </c>
      <c r="H216" s="13">
        <f t="shared" si="13"/>
        <v>0</v>
      </c>
    </row>
    <row r="217" spans="1:9" x14ac:dyDescent="0.15">
      <c r="A217" s="7" t="s">
        <v>445</v>
      </c>
      <c r="B217" s="7" t="s">
        <v>207</v>
      </c>
      <c r="C217" s="8">
        <f>4.5-0.53</f>
        <v>3.9699999999999998</v>
      </c>
      <c r="D217" s="9">
        <v>2</v>
      </c>
      <c r="E217" s="8">
        <f>0.3*2+0.3*4</f>
        <v>1.7999999999999998</v>
      </c>
      <c r="F217" s="13">
        <f t="shared" si="12"/>
        <v>14.29</v>
      </c>
      <c r="G217" s="21">
        <v>91.84</v>
      </c>
      <c r="H217" s="13">
        <f t="shared" si="13"/>
        <v>0.73</v>
      </c>
      <c r="I217" s="11" t="s">
        <v>405</v>
      </c>
    </row>
    <row r="218" spans="1:9" x14ac:dyDescent="0.15">
      <c r="C218" s="8">
        <f>65.04-63.54</f>
        <v>1.5000000000000071</v>
      </c>
      <c r="D218" s="9">
        <v>6</v>
      </c>
      <c r="E218" s="8">
        <f>0.3*2+0.3*4</f>
        <v>1.7999999999999998</v>
      </c>
      <c r="F218" s="13">
        <f t="shared" si="12"/>
        <v>16.2</v>
      </c>
      <c r="G218" s="21">
        <v>91.84</v>
      </c>
      <c r="H218" s="13">
        <f t="shared" si="13"/>
        <v>0.83</v>
      </c>
      <c r="I218" s="11" t="s">
        <v>405</v>
      </c>
    </row>
    <row r="219" spans="1:9" x14ac:dyDescent="0.15">
      <c r="C219" s="8">
        <f>69.54-65.04</f>
        <v>4.5</v>
      </c>
      <c r="D219" s="9">
        <v>6</v>
      </c>
      <c r="E219" s="8">
        <f>0.3*2+0.3*4</f>
        <v>1.7999999999999998</v>
      </c>
      <c r="F219" s="13">
        <f t="shared" si="12"/>
        <v>48.6</v>
      </c>
      <c r="G219" s="21">
        <v>91.84</v>
      </c>
      <c r="H219" s="13">
        <f t="shared" si="13"/>
        <v>2.48</v>
      </c>
      <c r="I219" s="11" t="s">
        <v>406</v>
      </c>
    </row>
    <row r="220" spans="1:9" x14ac:dyDescent="0.15">
      <c r="A220" s="7" t="s">
        <v>395</v>
      </c>
      <c r="B220" s="7" t="s">
        <v>355</v>
      </c>
      <c r="C220" s="8">
        <f>63.54-60.54-0.53</f>
        <v>2.4699999999999998</v>
      </c>
      <c r="D220" s="9">
        <v>4</v>
      </c>
      <c r="E220" s="8">
        <f>0.35*2+0.35*4</f>
        <v>2.0999999999999996</v>
      </c>
      <c r="F220" s="13">
        <f t="shared" si="12"/>
        <v>20.75</v>
      </c>
      <c r="G220" s="21">
        <v>133.79</v>
      </c>
      <c r="H220" s="13">
        <f t="shared" si="13"/>
        <v>1.32</v>
      </c>
      <c r="I220" s="11" t="s">
        <v>405</v>
      </c>
    </row>
    <row r="221" spans="1:9" x14ac:dyDescent="0.15">
      <c r="A221" s="7" t="s">
        <v>430</v>
      </c>
      <c r="B221" s="7" t="s">
        <v>431</v>
      </c>
      <c r="C221" s="8">
        <f>(3^2+(3-0.53)^2)^0.5</f>
        <v>3.88598764794743</v>
      </c>
      <c r="D221" s="9">
        <v>4</v>
      </c>
      <c r="E221" s="8">
        <f>0.09*6</f>
        <v>0.54</v>
      </c>
      <c r="F221" s="13">
        <f t="shared" si="12"/>
        <v>8.39</v>
      </c>
      <c r="G221" s="21">
        <f>8.35*2</f>
        <v>16.7</v>
      </c>
      <c r="H221" s="13">
        <f t="shared" si="13"/>
        <v>0.26</v>
      </c>
      <c r="I221" s="11" t="s">
        <v>475</v>
      </c>
    </row>
    <row r="222" spans="1:9" x14ac:dyDescent="0.15">
      <c r="C222" s="8">
        <f>(1.5^2+1.5^2)^0.5</f>
        <v>2.1213203435596424</v>
      </c>
      <c r="D222" s="9">
        <v>4</v>
      </c>
      <c r="E222" s="8">
        <f>0.09*6</f>
        <v>0.54</v>
      </c>
      <c r="F222" s="13">
        <f t="shared" si="12"/>
        <v>4.58</v>
      </c>
      <c r="G222" s="21">
        <f t="shared" ref="G222:G223" si="14">8.35*2</f>
        <v>16.7</v>
      </c>
      <c r="H222" s="13">
        <f t="shared" si="13"/>
        <v>0.14000000000000001</v>
      </c>
      <c r="I222" s="11" t="s">
        <v>475</v>
      </c>
    </row>
    <row r="223" spans="1:9" x14ac:dyDescent="0.15">
      <c r="C223" s="8">
        <f>(1.5^2+1.5^2)^0.5</f>
        <v>2.1213203435596424</v>
      </c>
      <c r="D223" s="9">
        <v>12</v>
      </c>
      <c r="E223" s="8">
        <f>0.09*6</f>
        <v>0.54</v>
      </c>
      <c r="F223" s="13">
        <f t="shared" si="12"/>
        <v>13.75</v>
      </c>
      <c r="G223" s="21">
        <f t="shared" si="14"/>
        <v>16.7</v>
      </c>
      <c r="H223" s="13">
        <f t="shared" si="13"/>
        <v>0.43</v>
      </c>
      <c r="I223" s="11" t="s">
        <v>476</v>
      </c>
    </row>
    <row r="224" spans="1:9" x14ac:dyDescent="0.15">
      <c r="A224" s="7" t="s">
        <v>426</v>
      </c>
      <c r="F224" s="13">
        <f t="shared" si="12"/>
        <v>0</v>
      </c>
      <c r="H224" s="13">
        <f t="shared" si="13"/>
        <v>0</v>
      </c>
    </row>
    <row r="225" spans="1:9" x14ac:dyDescent="0.15">
      <c r="A225" s="7" t="s">
        <v>347</v>
      </c>
      <c r="B225" s="7" t="s">
        <v>193</v>
      </c>
      <c r="C225" s="8">
        <v>4</v>
      </c>
      <c r="D225" s="9">
        <v>2</v>
      </c>
      <c r="E225" s="8">
        <f>0.194*2+0.15*4</f>
        <v>0.98799999999999999</v>
      </c>
      <c r="F225" s="13">
        <f t="shared" si="12"/>
        <v>7.9</v>
      </c>
      <c r="G225" s="21">
        <v>29.48</v>
      </c>
      <c r="H225" s="13">
        <f t="shared" si="13"/>
        <v>0.24</v>
      </c>
      <c r="I225" s="11" t="s">
        <v>408</v>
      </c>
    </row>
    <row r="226" spans="1:9" x14ac:dyDescent="0.15">
      <c r="C226" s="8">
        <f>3-0.175*2</f>
        <v>2.65</v>
      </c>
      <c r="D226" s="9">
        <v>2</v>
      </c>
      <c r="E226" s="8">
        <f>0.194*2+0.15*4</f>
        <v>0.98799999999999999</v>
      </c>
      <c r="F226" s="13">
        <f t="shared" si="12"/>
        <v>5.24</v>
      </c>
      <c r="G226" s="21">
        <v>29.48</v>
      </c>
      <c r="H226" s="13">
        <f t="shared" si="13"/>
        <v>0.16</v>
      </c>
      <c r="I226" s="11" t="s">
        <v>408</v>
      </c>
    </row>
    <row r="227" spans="1:9" x14ac:dyDescent="0.15">
      <c r="A227" s="7" t="s">
        <v>399</v>
      </c>
      <c r="B227" s="7" t="s">
        <v>308</v>
      </c>
      <c r="C227" s="8">
        <v>4</v>
      </c>
      <c r="D227" s="9">
        <v>3</v>
      </c>
      <c r="E227" s="8">
        <f>0.244*2+0.175*4</f>
        <v>1.1879999999999999</v>
      </c>
      <c r="F227" s="13">
        <f t="shared" si="12"/>
        <v>14.26</v>
      </c>
      <c r="G227" s="21">
        <v>42.42</v>
      </c>
      <c r="H227" s="13">
        <f t="shared" si="13"/>
        <v>0.51</v>
      </c>
      <c r="I227" s="11" t="s">
        <v>408</v>
      </c>
    </row>
    <row r="228" spans="1:9" x14ac:dyDescent="0.15">
      <c r="A228" s="7" t="s">
        <v>413</v>
      </c>
      <c r="B228" s="7" t="s">
        <v>309</v>
      </c>
      <c r="C228" s="8">
        <f>9.4-0.175-0.15</f>
        <v>9.0749999999999993</v>
      </c>
      <c r="D228" s="9">
        <v>2</v>
      </c>
      <c r="E228" s="8">
        <f>0.294*2+0.2*4</f>
        <v>1.3879999999999999</v>
      </c>
      <c r="F228" s="13">
        <f t="shared" si="12"/>
        <v>25.19</v>
      </c>
      <c r="G228" s="21">
        <v>54.63</v>
      </c>
      <c r="H228" s="13">
        <f t="shared" si="13"/>
        <v>0.99</v>
      </c>
      <c r="I228" s="11" t="s">
        <v>408</v>
      </c>
    </row>
    <row r="229" spans="1:9" x14ac:dyDescent="0.15">
      <c r="A229" s="7" t="s">
        <v>438</v>
      </c>
      <c r="B229" s="7" t="s">
        <v>403</v>
      </c>
      <c r="C229" s="8">
        <f>1.2*2^0.5</f>
        <v>1.697056274847714</v>
      </c>
      <c r="D229" s="9">
        <v>4</v>
      </c>
      <c r="E229" s="8">
        <f>0.14*2+0.058*4</f>
        <v>0.51200000000000001</v>
      </c>
      <c r="F229" s="13">
        <f t="shared" si="12"/>
        <v>3.48</v>
      </c>
      <c r="G229" s="21">
        <v>14.5</v>
      </c>
      <c r="H229" s="13">
        <f t="shared" si="13"/>
        <v>0.1</v>
      </c>
      <c r="I229" s="11" t="s">
        <v>408</v>
      </c>
    </row>
    <row r="230" spans="1:9" x14ac:dyDescent="0.15">
      <c r="A230" s="7" t="s">
        <v>428</v>
      </c>
      <c r="B230" s="7" t="s">
        <v>58</v>
      </c>
      <c r="C230" s="8">
        <f>(2^2+3^2)^0.5</f>
        <v>3.6055512754639891</v>
      </c>
      <c r="D230" s="9">
        <v>4</v>
      </c>
      <c r="E230" s="8">
        <f>0.09*4</f>
        <v>0.36</v>
      </c>
      <c r="F230" s="13">
        <f t="shared" si="12"/>
        <v>5.19</v>
      </c>
      <c r="G230" s="21">
        <v>8.35</v>
      </c>
      <c r="H230" s="13">
        <f t="shared" si="13"/>
        <v>0.12</v>
      </c>
      <c r="I230" s="11" t="s">
        <v>408</v>
      </c>
    </row>
    <row r="231" spans="1:9" x14ac:dyDescent="0.15">
      <c r="B231" s="7" t="s">
        <v>358</v>
      </c>
      <c r="C231" s="8">
        <v>3</v>
      </c>
      <c r="D231" s="9">
        <v>1</v>
      </c>
      <c r="E231" s="8">
        <f>0.14*2+0.08*4</f>
        <v>0.60000000000000009</v>
      </c>
      <c r="F231" s="13">
        <f t="shared" si="12"/>
        <v>1.8</v>
      </c>
      <c r="G231" s="21">
        <v>16.899999999999999</v>
      </c>
      <c r="H231" s="13">
        <f t="shared" si="13"/>
        <v>0.05</v>
      </c>
      <c r="I231" s="11" t="s">
        <v>408</v>
      </c>
    </row>
    <row r="232" spans="1:9" x14ac:dyDescent="0.15">
      <c r="A232" s="7" t="s">
        <v>447</v>
      </c>
      <c r="F232" s="13">
        <f t="shared" si="12"/>
        <v>0</v>
      </c>
      <c r="H232" s="13">
        <f t="shared" si="13"/>
        <v>0</v>
      </c>
    </row>
    <row r="233" spans="1:9" x14ac:dyDescent="0.15">
      <c r="A233" s="7" t="s">
        <v>346</v>
      </c>
      <c r="B233" s="7" t="s">
        <v>193</v>
      </c>
      <c r="C233" s="8">
        <v>4</v>
      </c>
      <c r="D233" s="9">
        <v>2</v>
      </c>
      <c r="E233" s="8">
        <f>0.194*2+0.15*4</f>
        <v>0.98799999999999999</v>
      </c>
      <c r="F233" s="13">
        <f t="shared" si="12"/>
        <v>7.9</v>
      </c>
      <c r="G233" s="21">
        <v>29.48</v>
      </c>
      <c r="H233" s="13">
        <f t="shared" si="13"/>
        <v>0.24</v>
      </c>
      <c r="I233" s="11" t="s">
        <v>407</v>
      </c>
    </row>
    <row r="234" spans="1:9" x14ac:dyDescent="0.15">
      <c r="C234" s="8">
        <f>3-0.175*2</f>
        <v>2.65</v>
      </c>
      <c r="D234" s="9">
        <v>2</v>
      </c>
      <c r="E234" s="8">
        <f>0.194*2+0.15*4</f>
        <v>0.98799999999999999</v>
      </c>
      <c r="F234" s="13">
        <f t="shared" si="12"/>
        <v>5.24</v>
      </c>
      <c r="G234" s="21">
        <v>29.48</v>
      </c>
      <c r="H234" s="13">
        <f t="shared" si="13"/>
        <v>0.16</v>
      </c>
      <c r="I234" s="11" t="s">
        <v>407</v>
      </c>
    </row>
    <row r="235" spans="1:9" x14ac:dyDescent="0.15">
      <c r="A235" s="7" t="s">
        <v>399</v>
      </c>
      <c r="B235" s="7" t="s">
        <v>308</v>
      </c>
      <c r="C235" s="8">
        <v>4</v>
      </c>
      <c r="D235" s="9">
        <v>3</v>
      </c>
      <c r="E235" s="8">
        <f>0.244*2+0.175*4</f>
        <v>1.1879999999999999</v>
      </c>
      <c r="F235" s="13">
        <f t="shared" si="12"/>
        <v>14.26</v>
      </c>
      <c r="G235" s="21">
        <v>42.42</v>
      </c>
      <c r="H235" s="13">
        <f t="shared" si="13"/>
        <v>0.51</v>
      </c>
      <c r="I235" s="11" t="s">
        <v>407</v>
      </c>
    </row>
    <row r="236" spans="1:9" x14ac:dyDescent="0.15">
      <c r="A236" s="7" t="s">
        <v>413</v>
      </c>
      <c r="B236" s="7" t="s">
        <v>309</v>
      </c>
      <c r="C236" s="8">
        <f>9.4-0.175-0.15</f>
        <v>9.0749999999999993</v>
      </c>
      <c r="D236" s="9">
        <v>2</v>
      </c>
      <c r="E236" s="8">
        <f>0.294*2+0.2*4</f>
        <v>1.3879999999999999</v>
      </c>
      <c r="F236" s="13">
        <f t="shared" si="12"/>
        <v>25.19</v>
      </c>
      <c r="G236" s="21">
        <v>54.63</v>
      </c>
      <c r="H236" s="13">
        <f t="shared" si="13"/>
        <v>0.99</v>
      </c>
      <c r="I236" s="11" t="s">
        <v>407</v>
      </c>
    </row>
    <row r="237" spans="1:9" x14ac:dyDescent="0.15">
      <c r="A237" s="7" t="s">
        <v>438</v>
      </c>
      <c r="B237" s="7" t="s">
        <v>403</v>
      </c>
      <c r="C237" s="8">
        <f>1.2*2^0.5</f>
        <v>1.697056274847714</v>
      </c>
      <c r="D237" s="9">
        <v>4</v>
      </c>
      <c r="E237" s="8">
        <f>0.14*2+0.058*4</f>
        <v>0.51200000000000001</v>
      </c>
      <c r="F237" s="13">
        <f t="shared" si="12"/>
        <v>3.48</v>
      </c>
      <c r="G237" s="21">
        <v>14.5</v>
      </c>
      <c r="H237" s="13">
        <f t="shared" si="13"/>
        <v>0.1</v>
      </c>
      <c r="I237" s="11" t="s">
        <v>407</v>
      </c>
    </row>
    <row r="238" spans="1:9" x14ac:dyDescent="0.15">
      <c r="A238" s="7" t="s">
        <v>428</v>
      </c>
      <c r="B238" s="7" t="s">
        <v>58</v>
      </c>
      <c r="C238" s="8">
        <f>(2^2+3^2)^0.5</f>
        <v>3.6055512754639891</v>
      </c>
      <c r="D238" s="9">
        <v>4</v>
      </c>
      <c r="E238" s="8">
        <f>0.09*4</f>
        <v>0.36</v>
      </c>
      <c r="F238" s="13">
        <f t="shared" si="12"/>
        <v>5.19</v>
      </c>
      <c r="G238" s="21">
        <v>8.35</v>
      </c>
      <c r="H238" s="13">
        <f t="shared" si="13"/>
        <v>0.12</v>
      </c>
      <c r="I238" s="11" t="s">
        <v>407</v>
      </c>
    </row>
    <row r="239" spans="1:9" x14ac:dyDescent="0.15">
      <c r="B239" s="7" t="s">
        <v>358</v>
      </c>
      <c r="C239" s="8">
        <v>3</v>
      </c>
      <c r="D239" s="9">
        <v>1</v>
      </c>
      <c r="E239" s="8">
        <f>0.14*2+0.08*4</f>
        <v>0.60000000000000009</v>
      </c>
      <c r="F239" s="13">
        <f t="shared" si="12"/>
        <v>1.8</v>
      </c>
      <c r="G239" s="21">
        <v>16.899999999999999</v>
      </c>
      <c r="H239" s="13">
        <f t="shared" si="13"/>
        <v>0.05</v>
      </c>
      <c r="I239" s="11" t="s">
        <v>407</v>
      </c>
    </row>
    <row r="240" spans="1:9" x14ac:dyDescent="0.15">
      <c r="A240" s="7" t="s">
        <v>448</v>
      </c>
      <c r="F240" s="13">
        <f t="shared" si="12"/>
        <v>0</v>
      </c>
      <c r="H240" s="13">
        <f t="shared" si="13"/>
        <v>0</v>
      </c>
    </row>
    <row r="241" spans="1:9" x14ac:dyDescent="0.15">
      <c r="A241" s="7" t="s">
        <v>346</v>
      </c>
      <c r="B241" s="7" t="s">
        <v>193</v>
      </c>
      <c r="C241" s="8">
        <v>4</v>
      </c>
      <c r="D241" s="9">
        <v>2</v>
      </c>
      <c r="E241" s="8">
        <f>0.194*2+0.15*4</f>
        <v>0.98799999999999999</v>
      </c>
      <c r="F241" s="13">
        <f t="shared" si="12"/>
        <v>7.9</v>
      </c>
      <c r="G241" s="21">
        <v>29.48</v>
      </c>
      <c r="H241" s="13">
        <f t="shared" si="13"/>
        <v>0.24</v>
      </c>
      <c r="I241" s="11" t="s">
        <v>433</v>
      </c>
    </row>
    <row r="242" spans="1:9" x14ac:dyDescent="0.15">
      <c r="C242" s="8">
        <f>3-0.175*2</f>
        <v>2.65</v>
      </c>
      <c r="D242" s="9">
        <v>2</v>
      </c>
      <c r="E242" s="8">
        <f>0.194*2+0.15*4</f>
        <v>0.98799999999999999</v>
      </c>
      <c r="F242" s="13">
        <f t="shared" si="12"/>
        <v>5.24</v>
      </c>
      <c r="G242" s="21">
        <v>29.48</v>
      </c>
      <c r="H242" s="13">
        <f t="shared" si="13"/>
        <v>0.16</v>
      </c>
      <c r="I242" s="11" t="s">
        <v>433</v>
      </c>
    </row>
    <row r="243" spans="1:9" x14ac:dyDescent="0.15">
      <c r="A243" s="7" t="s">
        <v>399</v>
      </c>
      <c r="B243" s="7" t="s">
        <v>308</v>
      </c>
      <c r="C243" s="8">
        <v>4</v>
      </c>
      <c r="D243" s="9">
        <v>3</v>
      </c>
      <c r="E243" s="8">
        <f>0.244*2+0.175*4</f>
        <v>1.1879999999999999</v>
      </c>
      <c r="F243" s="13">
        <f t="shared" si="12"/>
        <v>14.26</v>
      </c>
      <c r="G243" s="21">
        <v>42.42</v>
      </c>
      <c r="H243" s="13">
        <f t="shared" si="13"/>
        <v>0.51</v>
      </c>
      <c r="I243" s="11" t="s">
        <v>433</v>
      </c>
    </row>
    <row r="244" spans="1:9" x14ac:dyDescent="0.15">
      <c r="A244" s="7" t="s">
        <v>413</v>
      </c>
      <c r="B244" s="7" t="s">
        <v>309</v>
      </c>
      <c r="C244" s="8">
        <f>9.4-0.175-0.15</f>
        <v>9.0749999999999993</v>
      </c>
      <c r="D244" s="9">
        <v>2</v>
      </c>
      <c r="E244" s="8">
        <f>0.294*2+0.2*4</f>
        <v>1.3879999999999999</v>
      </c>
      <c r="F244" s="13">
        <f t="shared" si="12"/>
        <v>25.19</v>
      </c>
      <c r="G244" s="21">
        <v>54.63</v>
      </c>
      <c r="H244" s="13">
        <f t="shared" si="13"/>
        <v>0.99</v>
      </c>
      <c r="I244" s="11" t="s">
        <v>433</v>
      </c>
    </row>
    <row r="245" spans="1:9" x14ac:dyDescent="0.15">
      <c r="A245" s="7" t="s">
        <v>438</v>
      </c>
      <c r="B245" s="7" t="s">
        <v>403</v>
      </c>
      <c r="C245" s="8">
        <f>1.2*2^0.5</f>
        <v>1.697056274847714</v>
      </c>
      <c r="D245" s="9">
        <v>4</v>
      </c>
      <c r="E245" s="8">
        <f>0.14*2+0.058*4</f>
        <v>0.51200000000000001</v>
      </c>
      <c r="F245" s="13">
        <f t="shared" si="12"/>
        <v>3.48</v>
      </c>
      <c r="G245" s="21">
        <v>14.5</v>
      </c>
      <c r="H245" s="13">
        <f t="shared" si="13"/>
        <v>0.1</v>
      </c>
      <c r="I245" s="11" t="s">
        <v>433</v>
      </c>
    </row>
    <row r="246" spans="1:9" x14ac:dyDescent="0.15">
      <c r="A246" s="7" t="s">
        <v>429</v>
      </c>
      <c r="B246" s="7" t="s">
        <v>58</v>
      </c>
      <c r="C246" s="8">
        <f>(2^2+3^2)^0.5</f>
        <v>3.6055512754639891</v>
      </c>
      <c r="D246" s="9">
        <v>4</v>
      </c>
      <c r="E246" s="8">
        <f>0.09*4</f>
        <v>0.36</v>
      </c>
      <c r="F246" s="13">
        <f t="shared" si="12"/>
        <v>5.19</v>
      </c>
      <c r="G246" s="21">
        <v>8.35</v>
      </c>
      <c r="H246" s="13">
        <f t="shared" si="13"/>
        <v>0.12</v>
      </c>
      <c r="I246" s="11" t="s">
        <v>433</v>
      </c>
    </row>
    <row r="247" spans="1:9" x14ac:dyDescent="0.15">
      <c r="B247" s="7" t="s">
        <v>358</v>
      </c>
      <c r="C247" s="8">
        <v>3</v>
      </c>
      <c r="D247" s="9">
        <v>1</v>
      </c>
      <c r="E247" s="8">
        <f>0.14*2+0.08*4</f>
        <v>0.60000000000000009</v>
      </c>
      <c r="F247" s="13">
        <f t="shared" si="12"/>
        <v>1.8</v>
      </c>
      <c r="G247" s="21">
        <v>16.899999999999999</v>
      </c>
      <c r="H247" s="13">
        <f t="shared" si="13"/>
        <v>0.05</v>
      </c>
      <c r="I247" s="11" t="s">
        <v>433</v>
      </c>
    </row>
    <row r="248" spans="1:9" x14ac:dyDescent="0.15">
      <c r="A248" s="7" t="s">
        <v>449</v>
      </c>
      <c r="F248" s="13">
        <f t="shared" si="12"/>
        <v>0</v>
      </c>
      <c r="H248" s="13">
        <f t="shared" si="13"/>
        <v>0</v>
      </c>
    </row>
    <row r="249" spans="1:9" x14ac:dyDescent="0.15">
      <c r="A249" s="7" t="s">
        <v>346</v>
      </c>
      <c r="B249" s="7" t="s">
        <v>193</v>
      </c>
      <c r="C249" s="8">
        <v>4</v>
      </c>
      <c r="D249" s="9">
        <v>2</v>
      </c>
      <c r="E249" s="8">
        <f>0.194*2+0.15*4</f>
        <v>0.98799999999999999</v>
      </c>
      <c r="F249" s="13">
        <f t="shared" si="12"/>
        <v>7.9</v>
      </c>
      <c r="G249" s="21">
        <v>29.48</v>
      </c>
      <c r="H249" s="13">
        <f t="shared" si="13"/>
        <v>0.24</v>
      </c>
      <c r="I249" s="11" t="s">
        <v>434</v>
      </c>
    </row>
    <row r="250" spans="1:9" x14ac:dyDescent="0.15">
      <c r="C250" s="8">
        <f>3-0.175*2</f>
        <v>2.65</v>
      </c>
      <c r="D250" s="9">
        <v>2</v>
      </c>
      <c r="E250" s="8">
        <f>0.194*2+0.15*4</f>
        <v>0.98799999999999999</v>
      </c>
      <c r="F250" s="13">
        <f t="shared" si="12"/>
        <v>5.24</v>
      </c>
      <c r="G250" s="21">
        <v>29.48</v>
      </c>
      <c r="H250" s="13">
        <f t="shared" si="13"/>
        <v>0.16</v>
      </c>
      <c r="I250" s="11" t="s">
        <v>434</v>
      </c>
    </row>
    <row r="251" spans="1:9" x14ac:dyDescent="0.15">
      <c r="A251" s="7" t="s">
        <v>399</v>
      </c>
      <c r="B251" s="7" t="s">
        <v>308</v>
      </c>
      <c r="C251" s="8">
        <v>4</v>
      </c>
      <c r="D251" s="9">
        <v>3</v>
      </c>
      <c r="E251" s="8">
        <f>0.244*2+0.175*4</f>
        <v>1.1879999999999999</v>
      </c>
      <c r="F251" s="13">
        <f t="shared" si="12"/>
        <v>14.26</v>
      </c>
      <c r="G251" s="21">
        <v>42.42</v>
      </c>
      <c r="H251" s="13">
        <f t="shared" si="13"/>
        <v>0.51</v>
      </c>
      <c r="I251" s="11" t="s">
        <v>434</v>
      </c>
    </row>
    <row r="252" spans="1:9" x14ac:dyDescent="0.15">
      <c r="A252" s="7" t="s">
        <v>413</v>
      </c>
      <c r="B252" s="7" t="s">
        <v>309</v>
      </c>
      <c r="C252" s="8">
        <f>9.4-0.175-0.15</f>
        <v>9.0749999999999993</v>
      </c>
      <c r="D252" s="9">
        <v>2</v>
      </c>
      <c r="E252" s="8">
        <f>0.294*2+0.2*4</f>
        <v>1.3879999999999999</v>
      </c>
      <c r="F252" s="13">
        <f t="shared" si="12"/>
        <v>25.19</v>
      </c>
      <c r="G252" s="21">
        <v>54.63</v>
      </c>
      <c r="H252" s="13">
        <f t="shared" si="13"/>
        <v>0.99</v>
      </c>
      <c r="I252" s="11" t="s">
        <v>446</v>
      </c>
    </row>
    <row r="253" spans="1:9" x14ac:dyDescent="0.15">
      <c r="A253" s="7" t="s">
        <v>438</v>
      </c>
      <c r="B253" s="7" t="s">
        <v>403</v>
      </c>
      <c r="C253" s="8">
        <f>1.2*2^0.5</f>
        <v>1.697056274847714</v>
      </c>
      <c r="D253" s="9">
        <v>4</v>
      </c>
      <c r="E253" s="8">
        <f>0.14*2+0.058*4</f>
        <v>0.51200000000000001</v>
      </c>
      <c r="F253" s="13">
        <f t="shared" si="12"/>
        <v>3.48</v>
      </c>
      <c r="G253" s="21">
        <v>14.5</v>
      </c>
      <c r="H253" s="13">
        <f t="shared" si="13"/>
        <v>0.1</v>
      </c>
      <c r="I253" s="11" t="s">
        <v>435</v>
      </c>
    </row>
    <row r="254" spans="1:9" x14ac:dyDescent="0.15">
      <c r="A254" s="7" t="s">
        <v>428</v>
      </c>
      <c r="B254" s="7" t="s">
        <v>58</v>
      </c>
      <c r="C254" s="8">
        <f>(2^2+3^2)^0.5</f>
        <v>3.6055512754639891</v>
      </c>
      <c r="D254" s="9">
        <v>4</v>
      </c>
      <c r="E254" s="8">
        <f>0.09*4</f>
        <v>0.36</v>
      </c>
      <c r="F254" s="13">
        <f t="shared" si="12"/>
        <v>5.19</v>
      </c>
      <c r="G254" s="21">
        <v>8.35</v>
      </c>
      <c r="H254" s="13">
        <f t="shared" si="13"/>
        <v>0.12</v>
      </c>
      <c r="I254" s="11" t="s">
        <v>436</v>
      </c>
    </row>
    <row r="255" spans="1:9" x14ac:dyDescent="0.15">
      <c r="B255" s="7" t="s">
        <v>358</v>
      </c>
      <c r="C255" s="8">
        <v>3</v>
      </c>
      <c r="D255" s="9">
        <v>1</v>
      </c>
      <c r="E255" s="8">
        <f>0.14*2+0.08*4</f>
        <v>0.60000000000000009</v>
      </c>
      <c r="F255" s="13">
        <f t="shared" si="12"/>
        <v>1.8</v>
      </c>
      <c r="G255" s="21">
        <v>16.899999999999999</v>
      </c>
      <c r="H255" s="13">
        <f t="shared" si="13"/>
        <v>0.05</v>
      </c>
      <c r="I255" s="11" t="s">
        <v>437</v>
      </c>
    </row>
    <row r="256" spans="1:9" x14ac:dyDescent="0.15">
      <c r="A256" s="7" t="s">
        <v>450</v>
      </c>
      <c r="F256" s="13">
        <f t="shared" si="12"/>
        <v>0</v>
      </c>
      <c r="H256" s="13">
        <f t="shared" si="13"/>
        <v>0</v>
      </c>
    </row>
    <row r="257" spans="1:9" x14ac:dyDescent="0.15">
      <c r="A257" s="7" t="s">
        <v>346</v>
      </c>
      <c r="B257" s="7" t="s">
        <v>193</v>
      </c>
      <c r="C257" s="8">
        <v>4</v>
      </c>
      <c r="D257" s="9">
        <v>2</v>
      </c>
      <c r="E257" s="8">
        <f>0.194*2+0.15*4</f>
        <v>0.98799999999999999</v>
      </c>
      <c r="F257" s="13">
        <f t="shared" si="12"/>
        <v>7.9</v>
      </c>
      <c r="G257" s="21">
        <v>29.48</v>
      </c>
      <c r="H257" s="13">
        <f t="shared" si="13"/>
        <v>0.24</v>
      </c>
      <c r="I257" s="11" t="s">
        <v>434</v>
      </c>
    </row>
    <row r="258" spans="1:9" x14ac:dyDescent="0.15">
      <c r="C258" s="8">
        <f>3-0.175*2</f>
        <v>2.65</v>
      </c>
      <c r="D258" s="9">
        <v>2</v>
      </c>
      <c r="E258" s="8">
        <f>0.194*2+0.15*4</f>
        <v>0.98799999999999999</v>
      </c>
      <c r="F258" s="13">
        <f t="shared" ref="F258:F321" si="15">ROUND(PRODUCT($C258:$E258),2)</f>
        <v>5.24</v>
      </c>
      <c r="G258" s="21">
        <v>29.48</v>
      </c>
      <c r="H258" s="13">
        <f t="shared" ref="H258:H321" si="16">ROUND(PRODUCT($C258:$D258,$G258)*0.001,2)</f>
        <v>0.16</v>
      </c>
      <c r="I258" s="11" t="s">
        <v>434</v>
      </c>
    </row>
    <row r="259" spans="1:9" x14ac:dyDescent="0.15">
      <c r="A259" s="7" t="s">
        <v>399</v>
      </c>
      <c r="B259" s="7" t="s">
        <v>308</v>
      </c>
      <c r="C259" s="8">
        <v>4</v>
      </c>
      <c r="D259" s="9">
        <v>3</v>
      </c>
      <c r="E259" s="8">
        <f>0.244*2+0.175*4</f>
        <v>1.1879999999999999</v>
      </c>
      <c r="F259" s="13">
        <f t="shared" si="15"/>
        <v>14.26</v>
      </c>
      <c r="G259" s="21">
        <v>42.42</v>
      </c>
      <c r="H259" s="13">
        <f t="shared" si="16"/>
        <v>0.51</v>
      </c>
      <c r="I259" s="11" t="s">
        <v>434</v>
      </c>
    </row>
    <row r="260" spans="1:9" x14ac:dyDescent="0.15">
      <c r="A260" s="7" t="s">
        <v>413</v>
      </c>
      <c r="B260" s="7" t="s">
        <v>309</v>
      </c>
      <c r="C260" s="8">
        <f>9.4-0.175-0.15</f>
        <v>9.0749999999999993</v>
      </c>
      <c r="D260" s="9">
        <v>2</v>
      </c>
      <c r="E260" s="8">
        <f>0.294*2+0.2*4</f>
        <v>1.3879999999999999</v>
      </c>
      <c r="F260" s="13">
        <f t="shared" si="15"/>
        <v>25.19</v>
      </c>
      <c r="G260" s="21">
        <v>54.63</v>
      </c>
      <c r="H260" s="13">
        <f t="shared" si="16"/>
        <v>0.99</v>
      </c>
      <c r="I260" s="11" t="s">
        <v>446</v>
      </c>
    </row>
    <row r="261" spans="1:9" x14ac:dyDescent="0.15">
      <c r="A261" s="7" t="s">
        <v>438</v>
      </c>
      <c r="B261" s="7" t="s">
        <v>403</v>
      </c>
      <c r="C261" s="8">
        <f>1.2*2^0.5</f>
        <v>1.697056274847714</v>
      </c>
      <c r="D261" s="9">
        <v>4</v>
      </c>
      <c r="E261" s="8">
        <f>0.14*2+0.058*4</f>
        <v>0.51200000000000001</v>
      </c>
      <c r="F261" s="13">
        <f t="shared" si="15"/>
        <v>3.48</v>
      </c>
      <c r="G261" s="21">
        <v>14.5</v>
      </c>
      <c r="H261" s="13">
        <f t="shared" si="16"/>
        <v>0.1</v>
      </c>
      <c r="I261" s="11" t="s">
        <v>435</v>
      </c>
    </row>
    <row r="262" spans="1:9" x14ac:dyDescent="0.15">
      <c r="A262" s="7" t="s">
        <v>428</v>
      </c>
      <c r="B262" s="7" t="s">
        <v>58</v>
      </c>
      <c r="C262" s="8">
        <f>(2^2+3^2)^0.5</f>
        <v>3.6055512754639891</v>
      </c>
      <c r="D262" s="9">
        <v>4</v>
      </c>
      <c r="E262" s="8">
        <f>0.09*4</f>
        <v>0.36</v>
      </c>
      <c r="F262" s="13">
        <f t="shared" si="15"/>
        <v>5.19</v>
      </c>
      <c r="G262" s="21">
        <v>8.35</v>
      </c>
      <c r="H262" s="13">
        <f t="shared" si="16"/>
        <v>0.12</v>
      </c>
      <c r="I262" s="11" t="s">
        <v>436</v>
      </c>
    </row>
    <row r="263" spans="1:9" x14ac:dyDescent="0.15">
      <c r="B263" s="7" t="s">
        <v>358</v>
      </c>
      <c r="C263" s="8">
        <v>3</v>
      </c>
      <c r="D263" s="9">
        <v>1</v>
      </c>
      <c r="E263" s="8">
        <f>0.14*2+0.08*4</f>
        <v>0.60000000000000009</v>
      </c>
      <c r="F263" s="13">
        <f t="shared" si="15"/>
        <v>1.8</v>
      </c>
      <c r="G263" s="21">
        <v>16.899999999999999</v>
      </c>
      <c r="H263" s="13">
        <f t="shared" si="16"/>
        <v>0.05</v>
      </c>
      <c r="I263" s="11" t="s">
        <v>437</v>
      </c>
    </row>
    <row r="264" spans="1:9" ht="28.5" x14ac:dyDescent="0.15">
      <c r="A264" s="7" t="s">
        <v>451</v>
      </c>
      <c r="F264" s="13">
        <f t="shared" si="15"/>
        <v>0</v>
      </c>
      <c r="H264" s="13">
        <f t="shared" si="16"/>
        <v>0</v>
      </c>
    </row>
    <row r="265" spans="1:9" x14ac:dyDescent="0.15">
      <c r="A265" s="7" t="s">
        <v>452</v>
      </c>
      <c r="F265" s="13">
        <f t="shared" si="15"/>
        <v>0</v>
      </c>
      <c r="H265" s="13">
        <f t="shared" si="16"/>
        <v>0</v>
      </c>
    </row>
    <row r="266" spans="1:9" x14ac:dyDescent="0.15">
      <c r="A266" s="7" t="s">
        <v>445</v>
      </c>
      <c r="B266" s="7" t="s">
        <v>207</v>
      </c>
      <c r="C266" s="8">
        <f>65.04-60.52-0.53</f>
        <v>3.9900000000000029</v>
      </c>
      <c r="D266" s="9">
        <v>2</v>
      </c>
      <c r="E266" s="8">
        <f>0.3*2+0.3*4</f>
        <v>1.7999999999999998</v>
      </c>
      <c r="F266" s="13">
        <f t="shared" si="15"/>
        <v>14.36</v>
      </c>
      <c r="G266" s="21">
        <v>91.84</v>
      </c>
      <c r="H266" s="13">
        <f t="shared" si="16"/>
        <v>0.73</v>
      </c>
      <c r="I266" s="11" t="s">
        <v>405</v>
      </c>
    </row>
    <row r="267" spans="1:9" x14ac:dyDescent="0.15">
      <c r="C267" s="8">
        <f>65-60.5-0.53</f>
        <v>3.9699999999999998</v>
      </c>
      <c r="D267" s="9">
        <v>4</v>
      </c>
      <c r="E267" s="8">
        <f>0.3*2+0.3*4</f>
        <v>1.7999999999999998</v>
      </c>
      <c r="F267" s="13">
        <f t="shared" si="15"/>
        <v>28.58</v>
      </c>
      <c r="G267" s="21">
        <v>91.84</v>
      </c>
      <c r="H267" s="13">
        <f t="shared" si="16"/>
        <v>1.46</v>
      </c>
      <c r="I267" s="11" t="s">
        <v>405</v>
      </c>
    </row>
    <row r="268" spans="1:9" x14ac:dyDescent="0.15">
      <c r="C268" s="8">
        <f>71.5-65.04</f>
        <v>6.4599999999999937</v>
      </c>
      <c r="D268" s="9">
        <v>2</v>
      </c>
      <c r="E268" s="8">
        <f>0.3*2+0.3*4</f>
        <v>1.7999999999999998</v>
      </c>
      <c r="F268" s="13">
        <f t="shared" si="15"/>
        <v>23.26</v>
      </c>
      <c r="G268" s="21">
        <v>91.84</v>
      </c>
      <c r="H268" s="13">
        <f t="shared" si="16"/>
        <v>1.19</v>
      </c>
      <c r="I268" s="11" t="s">
        <v>406</v>
      </c>
    </row>
    <row r="269" spans="1:9" x14ac:dyDescent="0.15">
      <c r="C269" s="8">
        <f>70-65</f>
        <v>5</v>
      </c>
      <c r="D269" s="9">
        <v>2</v>
      </c>
      <c r="E269" s="8">
        <f>0.3*2+0.3*4</f>
        <v>1.7999999999999998</v>
      </c>
      <c r="F269" s="13">
        <f t="shared" si="15"/>
        <v>18</v>
      </c>
      <c r="G269" s="21">
        <v>91.84</v>
      </c>
      <c r="H269" s="13">
        <f t="shared" si="16"/>
        <v>0.92</v>
      </c>
      <c r="I269" s="11" t="s">
        <v>406</v>
      </c>
    </row>
    <row r="270" spans="1:9" x14ac:dyDescent="0.15">
      <c r="C270" s="8">
        <f>67-65</f>
        <v>2</v>
      </c>
      <c r="D270" s="9">
        <v>2</v>
      </c>
      <c r="E270" s="8">
        <f>0.3*2+0.3*4</f>
        <v>1.7999999999999998</v>
      </c>
      <c r="F270" s="13">
        <f t="shared" si="15"/>
        <v>7.2</v>
      </c>
      <c r="G270" s="21">
        <v>91.84</v>
      </c>
      <c r="H270" s="13">
        <f t="shared" si="16"/>
        <v>0.37</v>
      </c>
      <c r="I270" s="11" t="s">
        <v>406</v>
      </c>
    </row>
    <row r="271" spans="1:9" x14ac:dyDescent="0.15">
      <c r="A271" s="7" t="s">
        <v>395</v>
      </c>
      <c r="B271" s="7" t="s">
        <v>355</v>
      </c>
      <c r="C271" s="8">
        <f>67-60.5</f>
        <v>6.5</v>
      </c>
      <c r="D271" s="9">
        <v>10</v>
      </c>
      <c r="E271" s="8">
        <f>0.35*2+0.35*4</f>
        <v>2.0999999999999996</v>
      </c>
      <c r="F271" s="13">
        <f t="shared" si="15"/>
        <v>136.5</v>
      </c>
      <c r="G271" s="21">
        <v>133.79</v>
      </c>
      <c r="H271" s="13">
        <f t="shared" si="16"/>
        <v>8.6999999999999993</v>
      </c>
      <c r="I271" s="11" t="s">
        <v>405</v>
      </c>
    </row>
    <row r="272" spans="1:9" x14ac:dyDescent="0.15">
      <c r="C272" s="8">
        <f>68.5-67</f>
        <v>1.5</v>
      </c>
      <c r="D272" s="9">
        <v>2</v>
      </c>
      <c r="E272" s="8">
        <f>0.35*2+0.35*4</f>
        <v>2.0999999999999996</v>
      </c>
      <c r="F272" s="13">
        <f t="shared" si="15"/>
        <v>6.3</v>
      </c>
      <c r="G272" s="21">
        <v>133.79</v>
      </c>
      <c r="H272" s="13">
        <f t="shared" si="16"/>
        <v>0.4</v>
      </c>
      <c r="I272" s="11" t="s">
        <v>406</v>
      </c>
    </row>
    <row r="273" spans="1:9" x14ac:dyDescent="0.15">
      <c r="C273" s="8">
        <f>71.5-67</f>
        <v>4.5</v>
      </c>
      <c r="D273" s="9">
        <v>6</v>
      </c>
      <c r="E273" s="8">
        <f>0.35*2+0.35*4</f>
        <v>2.0999999999999996</v>
      </c>
      <c r="F273" s="13">
        <f t="shared" si="15"/>
        <v>56.7</v>
      </c>
      <c r="G273" s="21">
        <v>133.79</v>
      </c>
      <c r="H273" s="13">
        <f t="shared" si="16"/>
        <v>3.61</v>
      </c>
      <c r="I273" s="11" t="s">
        <v>406</v>
      </c>
    </row>
    <row r="274" spans="1:9" x14ac:dyDescent="0.15">
      <c r="A274" s="7" t="s">
        <v>396</v>
      </c>
      <c r="B274" s="7" t="s">
        <v>397</v>
      </c>
      <c r="C274" s="8">
        <f>67-60.5</f>
        <v>6.5</v>
      </c>
      <c r="D274" s="9">
        <v>8</v>
      </c>
      <c r="E274" s="8">
        <f>0.4*2+0.4*4</f>
        <v>2.4000000000000004</v>
      </c>
      <c r="F274" s="13">
        <f t="shared" si="15"/>
        <v>124.8</v>
      </c>
      <c r="G274" s="21">
        <v>168.41</v>
      </c>
      <c r="H274" s="13">
        <f t="shared" si="16"/>
        <v>8.76</v>
      </c>
      <c r="I274" s="11" t="s">
        <v>405</v>
      </c>
    </row>
    <row r="275" spans="1:9" x14ac:dyDescent="0.15">
      <c r="C275" s="8">
        <f>71.5-67</f>
        <v>4.5</v>
      </c>
      <c r="D275" s="9">
        <v>6</v>
      </c>
      <c r="E275" s="8">
        <f>0.4*2+0.4*4</f>
        <v>2.4000000000000004</v>
      </c>
      <c r="F275" s="13">
        <f t="shared" si="15"/>
        <v>64.8</v>
      </c>
      <c r="G275" s="21">
        <v>168.41</v>
      </c>
      <c r="H275" s="13">
        <f t="shared" si="16"/>
        <v>4.55</v>
      </c>
      <c r="I275" s="11" t="s">
        <v>406</v>
      </c>
    </row>
    <row r="276" spans="1:9" x14ac:dyDescent="0.15">
      <c r="C276" s="8">
        <f>70-67</f>
        <v>3</v>
      </c>
      <c r="D276" s="9">
        <v>2</v>
      </c>
      <c r="E276" s="8">
        <f>0.4*2+0.4*4</f>
        <v>2.4000000000000004</v>
      </c>
      <c r="F276" s="13">
        <f t="shared" si="15"/>
        <v>14.4</v>
      </c>
      <c r="G276" s="21">
        <v>168.41</v>
      </c>
      <c r="H276" s="13">
        <f t="shared" si="16"/>
        <v>1.01</v>
      </c>
      <c r="I276" s="11" t="s">
        <v>406</v>
      </c>
    </row>
    <row r="277" spans="1:9" x14ac:dyDescent="0.15">
      <c r="A277" s="7" t="s">
        <v>453</v>
      </c>
      <c r="F277" s="13">
        <f t="shared" si="15"/>
        <v>0</v>
      </c>
      <c r="H277" s="13">
        <f t="shared" si="16"/>
        <v>0</v>
      </c>
    </row>
    <row r="278" spans="1:9" x14ac:dyDescent="0.15">
      <c r="A278" s="7" t="s">
        <v>346</v>
      </c>
      <c r="B278" s="7" t="s">
        <v>193</v>
      </c>
      <c r="C278" s="8">
        <f>3-0.2</f>
        <v>2.8</v>
      </c>
      <c r="D278" s="9">
        <v>1</v>
      </c>
      <c r="E278" s="8">
        <f>0.194*2+0.15*4</f>
        <v>0.98799999999999999</v>
      </c>
      <c r="F278" s="13">
        <f t="shared" si="15"/>
        <v>2.77</v>
      </c>
      <c r="G278" s="21">
        <v>29.48</v>
      </c>
      <c r="H278" s="13">
        <f t="shared" si="16"/>
        <v>0.08</v>
      </c>
      <c r="I278" s="11" t="s">
        <v>408</v>
      </c>
    </row>
    <row r="279" spans="1:9" x14ac:dyDescent="0.15">
      <c r="C279" s="8">
        <f>3-0.2-0.15</f>
        <v>2.65</v>
      </c>
      <c r="D279" s="9">
        <v>1</v>
      </c>
      <c r="E279" s="8">
        <f>0.194*2+0.15*4</f>
        <v>0.98799999999999999</v>
      </c>
      <c r="F279" s="13">
        <f t="shared" si="15"/>
        <v>2.62</v>
      </c>
      <c r="G279" s="21">
        <v>29.48</v>
      </c>
      <c r="H279" s="13">
        <f t="shared" si="16"/>
        <v>0.08</v>
      </c>
      <c r="I279" s="11" t="s">
        <v>408</v>
      </c>
    </row>
    <row r="280" spans="1:9" x14ac:dyDescent="0.15">
      <c r="C280" s="8">
        <v>3</v>
      </c>
      <c r="D280" s="9">
        <v>1</v>
      </c>
      <c r="E280" s="8">
        <f>0.194*2+0.15*4</f>
        <v>0.98799999999999999</v>
      </c>
      <c r="F280" s="13">
        <f t="shared" si="15"/>
        <v>2.96</v>
      </c>
      <c r="G280" s="21">
        <v>29.48</v>
      </c>
      <c r="H280" s="13">
        <f t="shared" si="16"/>
        <v>0.09</v>
      </c>
      <c r="I280" s="11" t="s">
        <v>408</v>
      </c>
    </row>
    <row r="281" spans="1:9" x14ac:dyDescent="0.15">
      <c r="C281" s="8">
        <f>3-0.15*2</f>
        <v>2.7</v>
      </c>
      <c r="D281" s="9">
        <v>1</v>
      </c>
      <c r="E281" s="8">
        <f>0.194*2+0.15*4</f>
        <v>0.98799999999999999</v>
      </c>
      <c r="F281" s="13">
        <f t="shared" si="15"/>
        <v>2.67</v>
      </c>
      <c r="G281" s="21">
        <v>29.48</v>
      </c>
      <c r="H281" s="13">
        <f t="shared" si="16"/>
        <v>0.08</v>
      </c>
      <c r="I281" s="11" t="s">
        <v>408</v>
      </c>
    </row>
    <row r="282" spans="1:9" x14ac:dyDescent="0.15">
      <c r="A282" s="7" t="s">
        <v>400</v>
      </c>
      <c r="B282" s="7" t="s">
        <v>308</v>
      </c>
      <c r="C282" s="8">
        <v>4</v>
      </c>
      <c r="D282" s="9">
        <v>1</v>
      </c>
      <c r="E282" s="8">
        <f>0.244*2+0.175*4</f>
        <v>1.1879999999999999</v>
      </c>
      <c r="F282" s="13">
        <f t="shared" si="15"/>
        <v>4.75</v>
      </c>
      <c r="G282" s="21">
        <v>42.42</v>
      </c>
      <c r="H282" s="13">
        <f t="shared" si="16"/>
        <v>0.17</v>
      </c>
      <c r="I282" s="11" t="s">
        <v>408</v>
      </c>
    </row>
    <row r="283" spans="1:9" x14ac:dyDescent="0.15">
      <c r="C283" s="8">
        <f>4-0.15</f>
        <v>3.85</v>
      </c>
      <c r="D283" s="9">
        <v>2</v>
      </c>
      <c r="E283" s="8">
        <f>0.244*2+0.175*4</f>
        <v>1.1879999999999999</v>
      </c>
      <c r="F283" s="13">
        <f t="shared" si="15"/>
        <v>9.15</v>
      </c>
      <c r="G283" s="21">
        <v>42.42</v>
      </c>
      <c r="H283" s="13">
        <f t="shared" si="16"/>
        <v>0.33</v>
      </c>
      <c r="I283" s="11" t="s">
        <v>408</v>
      </c>
    </row>
    <row r="284" spans="1:9" x14ac:dyDescent="0.15">
      <c r="A284" s="7" t="s">
        <v>454</v>
      </c>
      <c r="F284" s="13">
        <f t="shared" si="15"/>
        <v>0</v>
      </c>
      <c r="H284" s="13">
        <f t="shared" si="16"/>
        <v>0</v>
      </c>
    </row>
    <row r="285" spans="1:9" x14ac:dyDescent="0.15">
      <c r="A285" s="7" t="s">
        <v>346</v>
      </c>
      <c r="B285" s="7" t="s">
        <v>193</v>
      </c>
      <c r="C285" s="8">
        <f>3-0.2</f>
        <v>2.8</v>
      </c>
      <c r="D285" s="9">
        <v>1</v>
      </c>
      <c r="E285" s="8">
        <f>0.194*2+0.15*4</f>
        <v>0.98799999999999999</v>
      </c>
      <c r="F285" s="13">
        <f t="shared" si="15"/>
        <v>2.77</v>
      </c>
      <c r="G285" s="21">
        <v>29.48</v>
      </c>
      <c r="H285" s="13">
        <f t="shared" si="16"/>
        <v>0.08</v>
      </c>
      <c r="I285" s="11" t="s">
        <v>407</v>
      </c>
    </row>
    <row r="286" spans="1:9" x14ac:dyDescent="0.15">
      <c r="C286" s="8">
        <f>3-0.2-0.15</f>
        <v>2.65</v>
      </c>
      <c r="D286" s="9">
        <v>1</v>
      </c>
      <c r="E286" s="8">
        <f>0.194*2+0.15*4</f>
        <v>0.98799999999999999</v>
      </c>
      <c r="F286" s="13">
        <f t="shared" si="15"/>
        <v>2.62</v>
      </c>
      <c r="G286" s="21">
        <v>29.48</v>
      </c>
      <c r="H286" s="13">
        <f t="shared" si="16"/>
        <v>0.08</v>
      </c>
      <c r="I286" s="11" t="s">
        <v>407</v>
      </c>
    </row>
    <row r="287" spans="1:9" x14ac:dyDescent="0.15">
      <c r="C287" s="8">
        <v>3</v>
      </c>
      <c r="D287" s="9">
        <v>1</v>
      </c>
      <c r="E287" s="8">
        <f>0.194*2+0.15*4</f>
        <v>0.98799999999999999</v>
      </c>
      <c r="F287" s="13">
        <f t="shared" si="15"/>
        <v>2.96</v>
      </c>
      <c r="G287" s="21">
        <v>29.48</v>
      </c>
      <c r="H287" s="13">
        <f t="shared" si="16"/>
        <v>0.09</v>
      </c>
      <c r="I287" s="11" t="s">
        <v>407</v>
      </c>
    </row>
    <row r="288" spans="1:9" x14ac:dyDescent="0.15">
      <c r="C288" s="8">
        <f>3-0.15*2</f>
        <v>2.7</v>
      </c>
      <c r="D288" s="9">
        <v>1</v>
      </c>
      <c r="E288" s="8">
        <f>0.194*2+0.15*4</f>
        <v>0.98799999999999999</v>
      </c>
      <c r="F288" s="13">
        <f t="shared" si="15"/>
        <v>2.67</v>
      </c>
      <c r="G288" s="21">
        <v>29.48</v>
      </c>
      <c r="H288" s="13">
        <f t="shared" si="16"/>
        <v>0.08</v>
      </c>
      <c r="I288" s="11" t="s">
        <v>407</v>
      </c>
    </row>
    <row r="289" spans="1:9" x14ac:dyDescent="0.15">
      <c r="A289" s="7" t="s">
        <v>399</v>
      </c>
      <c r="B289" s="7" t="s">
        <v>308</v>
      </c>
      <c r="C289" s="8">
        <v>4</v>
      </c>
      <c r="D289" s="9">
        <v>1</v>
      </c>
      <c r="E289" s="8">
        <f>0.244*2+0.175*4</f>
        <v>1.1879999999999999</v>
      </c>
      <c r="F289" s="13">
        <f t="shared" si="15"/>
        <v>4.75</v>
      </c>
      <c r="G289" s="21">
        <v>42.42</v>
      </c>
      <c r="H289" s="13">
        <f t="shared" si="16"/>
        <v>0.17</v>
      </c>
      <c r="I289" s="11" t="s">
        <v>407</v>
      </c>
    </row>
    <row r="290" spans="1:9" x14ac:dyDescent="0.15">
      <c r="C290" s="8">
        <f>4-0.15</f>
        <v>3.85</v>
      </c>
      <c r="D290" s="9">
        <v>2</v>
      </c>
      <c r="E290" s="8">
        <f>0.244*2+0.175*4</f>
        <v>1.1879999999999999</v>
      </c>
      <c r="F290" s="13">
        <f t="shared" si="15"/>
        <v>9.15</v>
      </c>
      <c r="G290" s="21">
        <v>42.42</v>
      </c>
      <c r="H290" s="13">
        <f t="shared" si="16"/>
        <v>0.33</v>
      </c>
      <c r="I290" s="11" t="s">
        <v>407</v>
      </c>
    </row>
    <row r="291" spans="1:9" x14ac:dyDescent="0.15">
      <c r="A291" s="7" t="s">
        <v>426</v>
      </c>
      <c r="F291" s="13">
        <f t="shared" si="15"/>
        <v>0</v>
      </c>
      <c r="H291" s="13">
        <f t="shared" si="16"/>
        <v>0</v>
      </c>
    </row>
    <row r="292" spans="1:9" x14ac:dyDescent="0.15">
      <c r="A292" s="7" t="s">
        <v>346</v>
      </c>
      <c r="B292" s="7" t="s">
        <v>193</v>
      </c>
      <c r="C292" s="8">
        <f>3-0.15-0.2</f>
        <v>2.65</v>
      </c>
      <c r="D292" s="9">
        <v>2</v>
      </c>
      <c r="E292" s="8">
        <f>0.194*2+0.15*4</f>
        <v>0.98799999999999999</v>
      </c>
      <c r="F292" s="13">
        <f t="shared" si="15"/>
        <v>5.24</v>
      </c>
      <c r="G292" s="21">
        <v>29.48</v>
      </c>
      <c r="H292" s="13">
        <f t="shared" si="16"/>
        <v>0.16</v>
      </c>
      <c r="I292" s="11" t="s">
        <v>407</v>
      </c>
    </row>
    <row r="293" spans="1:9" x14ac:dyDescent="0.15">
      <c r="A293" s="7" t="s">
        <v>399</v>
      </c>
      <c r="B293" s="7" t="s">
        <v>308</v>
      </c>
      <c r="C293" s="8">
        <v>4</v>
      </c>
      <c r="D293" s="9">
        <v>2</v>
      </c>
      <c r="E293" s="8">
        <f>0.244*2+0.175*4</f>
        <v>1.1879999999999999</v>
      </c>
      <c r="F293" s="13">
        <f t="shared" si="15"/>
        <v>9.5</v>
      </c>
      <c r="G293" s="21">
        <v>42.42</v>
      </c>
      <c r="H293" s="13">
        <f t="shared" si="16"/>
        <v>0.34</v>
      </c>
      <c r="I293" s="11" t="s">
        <v>407</v>
      </c>
    </row>
    <row r="294" spans="1:9" x14ac:dyDescent="0.15">
      <c r="A294" s="7" t="s">
        <v>427</v>
      </c>
      <c r="F294" s="13">
        <f t="shared" si="15"/>
        <v>0</v>
      </c>
      <c r="H294" s="13">
        <f t="shared" si="16"/>
        <v>0</v>
      </c>
    </row>
    <row r="295" spans="1:9" x14ac:dyDescent="0.15">
      <c r="A295" s="7" t="s">
        <v>346</v>
      </c>
      <c r="B295" s="7" t="s">
        <v>193</v>
      </c>
      <c r="C295" s="8">
        <f>3-0.15-0.2</f>
        <v>2.65</v>
      </c>
      <c r="D295" s="9">
        <v>2</v>
      </c>
      <c r="E295" s="8">
        <f>0.194*2+0.15*4</f>
        <v>0.98799999999999999</v>
      </c>
      <c r="F295" s="13">
        <f t="shared" si="15"/>
        <v>5.24</v>
      </c>
      <c r="G295" s="21">
        <v>29.48</v>
      </c>
      <c r="H295" s="13">
        <f t="shared" si="16"/>
        <v>0.16</v>
      </c>
      <c r="I295" s="11" t="s">
        <v>407</v>
      </c>
    </row>
    <row r="296" spans="1:9" x14ac:dyDescent="0.15">
      <c r="A296" s="7" t="s">
        <v>399</v>
      </c>
      <c r="B296" s="7" t="s">
        <v>308</v>
      </c>
      <c r="C296" s="8">
        <v>4</v>
      </c>
      <c r="D296" s="9">
        <v>2</v>
      </c>
      <c r="E296" s="8">
        <f>0.244*2+0.175*4</f>
        <v>1.1879999999999999</v>
      </c>
      <c r="F296" s="13">
        <f t="shared" si="15"/>
        <v>9.5</v>
      </c>
      <c r="G296" s="21">
        <v>42.42</v>
      </c>
      <c r="H296" s="13">
        <f t="shared" si="16"/>
        <v>0.34</v>
      </c>
      <c r="I296" s="11" t="s">
        <v>407</v>
      </c>
    </row>
    <row r="297" spans="1:9" x14ac:dyDescent="0.15">
      <c r="A297" s="7" t="s">
        <v>457</v>
      </c>
      <c r="F297" s="13">
        <f t="shared" si="15"/>
        <v>0</v>
      </c>
      <c r="H297" s="13">
        <f t="shared" si="16"/>
        <v>0</v>
      </c>
    </row>
    <row r="298" spans="1:9" x14ac:dyDescent="0.15">
      <c r="A298" s="7" t="s">
        <v>346</v>
      </c>
      <c r="B298" s="7" t="s">
        <v>193</v>
      </c>
      <c r="C298" s="8">
        <f>3-0.15*2</f>
        <v>2.7</v>
      </c>
      <c r="D298" s="9">
        <v>1</v>
      </c>
      <c r="E298" s="8">
        <f>0.194*2+0.15*4</f>
        <v>0.98799999999999999</v>
      </c>
      <c r="F298" s="13">
        <f t="shared" si="15"/>
        <v>2.67</v>
      </c>
      <c r="G298" s="21">
        <v>29.48</v>
      </c>
      <c r="H298" s="13">
        <f t="shared" si="16"/>
        <v>0.08</v>
      </c>
      <c r="I298" s="11" t="s">
        <v>433</v>
      </c>
    </row>
    <row r="299" spans="1:9" x14ac:dyDescent="0.15">
      <c r="A299" s="7" t="s">
        <v>399</v>
      </c>
      <c r="B299" s="7" t="s">
        <v>308</v>
      </c>
      <c r="C299" s="8">
        <f>4-0.15</f>
        <v>3.85</v>
      </c>
      <c r="D299" s="9">
        <v>1</v>
      </c>
      <c r="E299" s="8">
        <f>0.244*2+0.175*4</f>
        <v>1.1879999999999999</v>
      </c>
      <c r="F299" s="13">
        <f t="shared" si="15"/>
        <v>4.57</v>
      </c>
      <c r="G299" s="21">
        <v>42.42</v>
      </c>
      <c r="H299" s="13">
        <f t="shared" si="16"/>
        <v>0.16</v>
      </c>
      <c r="I299" s="11" t="s">
        <v>433</v>
      </c>
    </row>
    <row r="300" spans="1:9" x14ac:dyDescent="0.15">
      <c r="A300" s="7" t="s">
        <v>455</v>
      </c>
      <c r="F300" s="13">
        <f t="shared" si="15"/>
        <v>0</v>
      </c>
      <c r="H300" s="13">
        <f t="shared" si="16"/>
        <v>0</v>
      </c>
    </row>
    <row r="301" spans="1:9" x14ac:dyDescent="0.15">
      <c r="A301" s="7" t="s">
        <v>345</v>
      </c>
      <c r="B301" s="7" t="s">
        <v>220</v>
      </c>
      <c r="C301" s="8">
        <v>3</v>
      </c>
      <c r="D301" s="9">
        <v>4</v>
      </c>
      <c r="E301" s="8">
        <f>0.148*2+0.1*4</f>
        <v>0.69599999999999995</v>
      </c>
      <c r="F301" s="13">
        <f t="shared" si="15"/>
        <v>8.35</v>
      </c>
      <c r="G301" s="21">
        <v>20.25</v>
      </c>
      <c r="H301" s="13">
        <f t="shared" si="16"/>
        <v>0.24</v>
      </c>
      <c r="I301" s="11" t="s">
        <v>407</v>
      </c>
    </row>
    <row r="302" spans="1:9" x14ac:dyDescent="0.15">
      <c r="A302" s="7" t="s">
        <v>346</v>
      </c>
      <c r="B302" s="7" t="s">
        <v>193</v>
      </c>
      <c r="C302" s="8">
        <v>4</v>
      </c>
      <c r="D302" s="9">
        <v>11</v>
      </c>
      <c r="E302" s="8">
        <f>0.194*2+0.15*4</f>
        <v>0.98799999999999999</v>
      </c>
      <c r="F302" s="13">
        <f t="shared" si="15"/>
        <v>43.47</v>
      </c>
      <c r="G302" s="21">
        <v>29.48</v>
      </c>
      <c r="H302" s="13">
        <f t="shared" si="16"/>
        <v>1.3</v>
      </c>
      <c r="I302" s="11" t="s">
        <v>407</v>
      </c>
    </row>
    <row r="303" spans="1:9" x14ac:dyDescent="0.15">
      <c r="C303" s="8">
        <v>3</v>
      </c>
      <c r="D303" s="9">
        <v>1</v>
      </c>
      <c r="E303" s="8">
        <f>0.194*2+0.15*4</f>
        <v>0.98799999999999999</v>
      </c>
      <c r="F303" s="13">
        <f t="shared" si="15"/>
        <v>2.96</v>
      </c>
      <c r="G303" s="21">
        <v>29.48</v>
      </c>
      <c r="H303" s="13">
        <f t="shared" si="16"/>
        <v>0.09</v>
      </c>
      <c r="I303" s="11" t="s">
        <v>407</v>
      </c>
    </row>
    <row r="304" spans="1:9" x14ac:dyDescent="0.15">
      <c r="C304" s="8">
        <f>3-0.175*2</f>
        <v>2.65</v>
      </c>
      <c r="D304" s="9">
        <v>2</v>
      </c>
      <c r="E304" s="8">
        <f>0.194*2+0.15*4</f>
        <v>0.98799999999999999</v>
      </c>
      <c r="F304" s="13">
        <f t="shared" si="15"/>
        <v>5.24</v>
      </c>
      <c r="G304" s="21">
        <v>29.48</v>
      </c>
      <c r="H304" s="13">
        <f t="shared" si="16"/>
        <v>0.16</v>
      </c>
      <c r="I304" s="11" t="s">
        <v>407</v>
      </c>
    </row>
    <row r="305" spans="1:9" x14ac:dyDescent="0.15">
      <c r="C305" s="8">
        <f>3-0.175-0.2</f>
        <v>2.625</v>
      </c>
      <c r="D305" s="9">
        <v>2</v>
      </c>
      <c r="E305" s="8">
        <f>0.194*2+0.15*4</f>
        <v>0.98799999999999999</v>
      </c>
      <c r="F305" s="13">
        <f t="shared" si="15"/>
        <v>5.19</v>
      </c>
      <c r="G305" s="21">
        <v>29.48</v>
      </c>
      <c r="H305" s="13">
        <f t="shared" si="16"/>
        <v>0.15</v>
      </c>
      <c r="I305" s="11" t="s">
        <v>407</v>
      </c>
    </row>
    <row r="306" spans="1:9" x14ac:dyDescent="0.15">
      <c r="C306" s="8">
        <v>3</v>
      </c>
      <c r="D306" s="9">
        <v>2</v>
      </c>
      <c r="E306" s="8">
        <f>0.194*2+0.15*4</f>
        <v>0.98799999999999999</v>
      </c>
      <c r="F306" s="13">
        <f t="shared" si="15"/>
        <v>5.93</v>
      </c>
      <c r="G306" s="21">
        <v>29.48</v>
      </c>
      <c r="H306" s="13">
        <f t="shared" si="16"/>
        <v>0.18</v>
      </c>
      <c r="I306" s="11" t="s">
        <v>407</v>
      </c>
    </row>
    <row r="307" spans="1:9" x14ac:dyDescent="0.15">
      <c r="A307" s="7" t="s">
        <v>399</v>
      </c>
      <c r="B307" s="7" t="s">
        <v>308</v>
      </c>
      <c r="C307" s="8">
        <v>4</v>
      </c>
      <c r="D307" s="9">
        <v>7</v>
      </c>
      <c r="E307" s="8">
        <f>0.244*2+0.175*4</f>
        <v>1.1879999999999999</v>
      </c>
      <c r="F307" s="13">
        <f t="shared" si="15"/>
        <v>33.26</v>
      </c>
      <c r="G307" s="21">
        <v>42.42</v>
      </c>
      <c r="H307" s="13">
        <f t="shared" si="16"/>
        <v>1.19</v>
      </c>
      <c r="I307" s="11" t="s">
        <v>407</v>
      </c>
    </row>
    <row r="308" spans="1:9" x14ac:dyDescent="0.15">
      <c r="C308" s="8">
        <f>5-0.2-0.175</f>
        <v>4.625</v>
      </c>
      <c r="D308" s="9">
        <v>2</v>
      </c>
      <c r="E308" s="8">
        <f>0.244*2+0.175*4</f>
        <v>1.1879999999999999</v>
      </c>
      <c r="F308" s="13">
        <f t="shared" si="15"/>
        <v>10.99</v>
      </c>
      <c r="G308" s="21">
        <v>42.42</v>
      </c>
      <c r="H308" s="13">
        <f t="shared" si="16"/>
        <v>0.39</v>
      </c>
      <c r="I308" s="11" t="s">
        <v>407</v>
      </c>
    </row>
    <row r="309" spans="1:9" x14ac:dyDescent="0.15">
      <c r="A309" s="7" t="s">
        <v>414</v>
      </c>
      <c r="B309" s="7" t="s">
        <v>222</v>
      </c>
      <c r="C309" s="8">
        <f>9.25-0.175</f>
        <v>9.0749999999999993</v>
      </c>
      <c r="D309" s="9">
        <v>2</v>
      </c>
      <c r="E309" s="8">
        <f>0.294*2+0.2*4</f>
        <v>1.3879999999999999</v>
      </c>
      <c r="F309" s="13">
        <f t="shared" si="15"/>
        <v>25.19</v>
      </c>
      <c r="G309" s="21">
        <v>54.63</v>
      </c>
      <c r="H309" s="13">
        <f t="shared" si="16"/>
        <v>0.99</v>
      </c>
      <c r="I309" s="11" t="s">
        <v>407</v>
      </c>
    </row>
    <row r="310" spans="1:9" x14ac:dyDescent="0.15">
      <c r="C310" s="8">
        <f>9.5-0.175-0.15</f>
        <v>9.1749999999999989</v>
      </c>
      <c r="D310" s="9">
        <v>2</v>
      </c>
      <c r="E310" s="8">
        <f>0.294*2+0.2*4</f>
        <v>1.3879999999999999</v>
      </c>
      <c r="F310" s="13">
        <f t="shared" si="15"/>
        <v>25.47</v>
      </c>
      <c r="G310" s="21">
        <v>54.63</v>
      </c>
      <c r="H310" s="13">
        <f t="shared" si="16"/>
        <v>1</v>
      </c>
      <c r="I310" s="11" t="s">
        <v>407</v>
      </c>
    </row>
    <row r="311" spans="1:9" x14ac:dyDescent="0.15">
      <c r="C311" s="8">
        <f>12-0.175*2</f>
        <v>11.65</v>
      </c>
      <c r="D311" s="9">
        <v>2</v>
      </c>
      <c r="E311" s="8">
        <f>0.294*2+0.2*4</f>
        <v>1.3879999999999999</v>
      </c>
      <c r="F311" s="13">
        <f t="shared" si="15"/>
        <v>32.340000000000003</v>
      </c>
      <c r="G311" s="21">
        <v>54.63</v>
      </c>
      <c r="H311" s="13">
        <f t="shared" si="16"/>
        <v>1.27</v>
      </c>
      <c r="I311" s="11" t="s">
        <v>407</v>
      </c>
    </row>
    <row r="312" spans="1:9" x14ac:dyDescent="0.15">
      <c r="A312" s="7" t="s">
        <v>416</v>
      </c>
      <c r="B312" s="7" t="s">
        <v>418</v>
      </c>
      <c r="C312" s="8">
        <f>19.1-0.2*2</f>
        <v>18.700000000000003</v>
      </c>
      <c r="D312" s="9">
        <v>2</v>
      </c>
      <c r="E312" s="8">
        <f>0.6*2+0.2*4</f>
        <v>2</v>
      </c>
      <c r="F312" s="13">
        <f t="shared" si="15"/>
        <v>74.8</v>
      </c>
      <c r="G312" s="21">
        <v>102.25</v>
      </c>
      <c r="H312" s="13">
        <f t="shared" si="16"/>
        <v>3.82</v>
      </c>
      <c r="I312" s="11" t="s">
        <v>407</v>
      </c>
    </row>
    <row r="313" spans="1:9" x14ac:dyDescent="0.15">
      <c r="C313" s="8">
        <f>19.5-0.2*2</f>
        <v>19.100000000000001</v>
      </c>
      <c r="D313" s="9">
        <v>2</v>
      </c>
      <c r="E313" s="8">
        <f>0.6*2+0.2*4</f>
        <v>2</v>
      </c>
      <c r="F313" s="13">
        <f t="shared" si="15"/>
        <v>76.400000000000006</v>
      </c>
      <c r="G313" s="21">
        <v>102.25</v>
      </c>
      <c r="H313" s="13">
        <f t="shared" si="16"/>
        <v>3.91</v>
      </c>
      <c r="I313" s="11" t="s">
        <v>407</v>
      </c>
    </row>
    <row r="314" spans="1:9" x14ac:dyDescent="0.15">
      <c r="A314" s="7" t="s">
        <v>456</v>
      </c>
      <c r="B314" s="7" t="s">
        <v>404</v>
      </c>
      <c r="C314" s="8">
        <f>1.2*2^0.5</f>
        <v>1.697056274847714</v>
      </c>
      <c r="D314" s="9">
        <v>20</v>
      </c>
      <c r="E314" s="8">
        <f>0.14*2+0.058*4</f>
        <v>0.51200000000000001</v>
      </c>
      <c r="F314" s="13">
        <f t="shared" si="15"/>
        <v>17.38</v>
      </c>
      <c r="G314" s="21">
        <v>14.5</v>
      </c>
      <c r="H314" s="13">
        <f t="shared" si="16"/>
        <v>0.49</v>
      </c>
      <c r="I314" s="11" t="s">
        <v>407</v>
      </c>
    </row>
    <row r="315" spans="1:9" x14ac:dyDescent="0.15">
      <c r="A315" s="7" t="s">
        <v>458</v>
      </c>
      <c r="F315" s="13">
        <f t="shared" si="15"/>
        <v>0</v>
      </c>
      <c r="H315" s="13">
        <f t="shared" si="16"/>
        <v>0</v>
      </c>
    </row>
    <row r="316" spans="1:9" x14ac:dyDescent="0.15">
      <c r="A316" s="7" t="s">
        <v>345</v>
      </c>
      <c r="B316" s="7" t="s">
        <v>220</v>
      </c>
      <c r="C316" s="8">
        <v>3</v>
      </c>
      <c r="D316" s="9">
        <v>2</v>
      </c>
      <c r="E316" s="8">
        <f>0.148*2+0.1*4</f>
        <v>0.69599999999999995</v>
      </c>
      <c r="F316" s="13">
        <f t="shared" si="15"/>
        <v>4.18</v>
      </c>
      <c r="G316" s="21">
        <v>20.25</v>
      </c>
      <c r="H316" s="13">
        <f t="shared" si="16"/>
        <v>0.12</v>
      </c>
      <c r="I316" s="11" t="s">
        <v>433</v>
      </c>
    </row>
    <row r="317" spans="1:9" x14ac:dyDescent="0.15">
      <c r="A317" s="7" t="s">
        <v>346</v>
      </c>
      <c r="B317" s="7" t="s">
        <v>193</v>
      </c>
      <c r="C317" s="8">
        <v>4</v>
      </c>
      <c r="D317" s="9">
        <v>11</v>
      </c>
      <c r="E317" s="8">
        <f>0.194*2+0.15*4</f>
        <v>0.98799999999999999</v>
      </c>
      <c r="F317" s="13">
        <f t="shared" si="15"/>
        <v>43.47</v>
      </c>
      <c r="G317" s="21">
        <v>29.48</v>
      </c>
      <c r="H317" s="13">
        <f t="shared" si="16"/>
        <v>1.3</v>
      </c>
      <c r="I317" s="11" t="s">
        <v>433</v>
      </c>
    </row>
    <row r="318" spans="1:9" x14ac:dyDescent="0.15">
      <c r="C318" s="8">
        <v>3</v>
      </c>
      <c r="D318" s="9">
        <v>1</v>
      </c>
      <c r="E318" s="8">
        <f>0.194*2+0.15*4</f>
        <v>0.98799999999999999</v>
      </c>
      <c r="F318" s="13">
        <f t="shared" si="15"/>
        <v>2.96</v>
      </c>
      <c r="G318" s="21">
        <v>29.48</v>
      </c>
      <c r="H318" s="13">
        <f t="shared" si="16"/>
        <v>0.09</v>
      </c>
      <c r="I318" s="11" t="s">
        <v>433</v>
      </c>
    </row>
    <row r="319" spans="1:9" x14ac:dyDescent="0.15">
      <c r="C319" s="8">
        <f>3-0.175*2</f>
        <v>2.65</v>
      </c>
      <c r="D319" s="9">
        <v>2</v>
      </c>
      <c r="E319" s="8">
        <f>0.194*2+0.15*4</f>
        <v>0.98799999999999999</v>
      </c>
      <c r="F319" s="13">
        <f t="shared" si="15"/>
        <v>5.24</v>
      </c>
      <c r="G319" s="21">
        <v>29.48</v>
      </c>
      <c r="H319" s="13">
        <f t="shared" si="16"/>
        <v>0.16</v>
      </c>
      <c r="I319" s="11" t="s">
        <v>433</v>
      </c>
    </row>
    <row r="320" spans="1:9" x14ac:dyDescent="0.15">
      <c r="C320" s="8">
        <f>3-0.175-0.2</f>
        <v>2.625</v>
      </c>
      <c r="D320" s="9">
        <v>2</v>
      </c>
      <c r="E320" s="8">
        <f>0.194*2+0.15*4</f>
        <v>0.98799999999999999</v>
      </c>
      <c r="F320" s="13">
        <f t="shared" si="15"/>
        <v>5.19</v>
      </c>
      <c r="G320" s="21">
        <v>29.48</v>
      </c>
      <c r="H320" s="13">
        <f t="shared" si="16"/>
        <v>0.15</v>
      </c>
      <c r="I320" s="11" t="s">
        <v>433</v>
      </c>
    </row>
    <row r="321" spans="1:9" x14ac:dyDescent="0.15">
      <c r="A321" s="7" t="s">
        <v>399</v>
      </c>
      <c r="B321" s="7" t="s">
        <v>308</v>
      </c>
      <c r="C321" s="8">
        <v>4</v>
      </c>
      <c r="D321" s="9">
        <v>7</v>
      </c>
      <c r="E321" s="8">
        <f>0.244*2+0.175*4</f>
        <v>1.1879999999999999</v>
      </c>
      <c r="F321" s="13">
        <f t="shared" si="15"/>
        <v>33.26</v>
      </c>
      <c r="G321" s="21">
        <v>42.42</v>
      </c>
      <c r="H321" s="13">
        <f t="shared" si="16"/>
        <v>1.19</v>
      </c>
      <c r="I321" s="11" t="s">
        <v>433</v>
      </c>
    </row>
    <row r="322" spans="1:9" x14ac:dyDescent="0.15">
      <c r="C322" s="8">
        <f>5-0.2-0.175</f>
        <v>4.625</v>
      </c>
      <c r="D322" s="9">
        <v>2</v>
      </c>
      <c r="E322" s="8">
        <f>0.244*2+0.175*4</f>
        <v>1.1879999999999999</v>
      </c>
      <c r="F322" s="13">
        <f t="shared" ref="F322:F385" si="17">ROUND(PRODUCT($C322:$E322),2)</f>
        <v>10.99</v>
      </c>
      <c r="G322" s="21">
        <v>42.42</v>
      </c>
      <c r="H322" s="13">
        <f t="shared" ref="H322:H385" si="18">ROUND(PRODUCT($C322:$D322,$G322)*0.001,2)</f>
        <v>0.39</v>
      </c>
      <c r="I322" s="11" t="s">
        <v>433</v>
      </c>
    </row>
    <row r="323" spans="1:9" x14ac:dyDescent="0.15">
      <c r="A323" s="7" t="s">
        <v>414</v>
      </c>
      <c r="B323" s="7" t="s">
        <v>222</v>
      </c>
      <c r="C323" s="8">
        <f>9.25-0.175</f>
        <v>9.0749999999999993</v>
      </c>
      <c r="D323" s="9">
        <v>2</v>
      </c>
      <c r="E323" s="8">
        <f>0.294*2+0.2*4</f>
        <v>1.3879999999999999</v>
      </c>
      <c r="F323" s="13">
        <f t="shared" si="17"/>
        <v>25.19</v>
      </c>
      <c r="G323" s="21">
        <v>54.63</v>
      </c>
      <c r="H323" s="13">
        <f t="shared" si="18"/>
        <v>0.99</v>
      </c>
      <c r="I323" s="11" t="s">
        <v>433</v>
      </c>
    </row>
    <row r="324" spans="1:9" x14ac:dyDescent="0.15">
      <c r="C324" s="8">
        <f>12-0.175*2</f>
        <v>11.65</v>
      </c>
      <c r="D324" s="9">
        <v>2</v>
      </c>
      <c r="E324" s="8">
        <f>0.294*2+0.2*4</f>
        <v>1.3879999999999999</v>
      </c>
      <c r="F324" s="13">
        <f t="shared" si="17"/>
        <v>32.340000000000003</v>
      </c>
      <c r="G324" s="21">
        <v>54.63</v>
      </c>
      <c r="H324" s="13">
        <f t="shared" si="18"/>
        <v>1.27</v>
      </c>
      <c r="I324" s="11" t="s">
        <v>433</v>
      </c>
    </row>
    <row r="325" spans="1:9" x14ac:dyDescent="0.15">
      <c r="A325" s="7" t="s">
        <v>416</v>
      </c>
      <c r="B325" s="7" t="s">
        <v>418</v>
      </c>
      <c r="C325" s="8">
        <f>19.1-0.2*2</f>
        <v>18.700000000000003</v>
      </c>
      <c r="D325" s="9">
        <v>2</v>
      </c>
      <c r="E325" s="8">
        <f>0.6*2+0.2*4</f>
        <v>2</v>
      </c>
      <c r="F325" s="13">
        <f t="shared" si="17"/>
        <v>74.8</v>
      </c>
      <c r="G325" s="21">
        <v>102.25</v>
      </c>
      <c r="H325" s="13">
        <f t="shared" si="18"/>
        <v>3.82</v>
      </c>
      <c r="I325" s="11" t="s">
        <v>433</v>
      </c>
    </row>
    <row r="326" spans="1:9" x14ac:dyDescent="0.15">
      <c r="C326" s="8">
        <f>19.5-0.2*2</f>
        <v>19.100000000000001</v>
      </c>
      <c r="D326" s="9">
        <v>2</v>
      </c>
      <c r="E326" s="8">
        <f>0.6*2+0.2*4</f>
        <v>2</v>
      </c>
      <c r="F326" s="13">
        <f t="shared" si="17"/>
        <v>76.400000000000006</v>
      </c>
      <c r="G326" s="21">
        <v>102.25</v>
      </c>
      <c r="H326" s="13">
        <f t="shared" si="18"/>
        <v>3.91</v>
      </c>
      <c r="I326" s="11" t="s">
        <v>433</v>
      </c>
    </row>
    <row r="327" spans="1:9" x14ac:dyDescent="0.15">
      <c r="A327" s="7" t="s">
        <v>456</v>
      </c>
      <c r="B327" s="7" t="s">
        <v>404</v>
      </c>
      <c r="C327" s="8">
        <f>1.2*2^0.5</f>
        <v>1.697056274847714</v>
      </c>
      <c r="D327" s="9">
        <v>16</v>
      </c>
      <c r="E327" s="8">
        <f>0.14*2+0.058*4</f>
        <v>0.51200000000000001</v>
      </c>
      <c r="F327" s="13">
        <f t="shared" si="17"/>
        <v>13.9</v>
      </c>
      <c r="G327" s="21">
        <v>14.5</v>
      </c>
      <c r="H327" s="13">
        <f t="shared" si="18"/>
        <v>0.39</v>
      </c>
      <c r="I327" s="11" t="s">
        <v>433</v>
      </c>
    </row>
    <row r="328" spans="1:9" x14ac:dyDescent="0.15">
      <c r="A328" s="7" t="s">
        <v>459</v>
      </c>
      <c r="F328" s="13">
        <f t="shared" si="17"/>
        <v>0</v>
      </c>
      <c r="H328" s="13">
        <f t="shared" si="18"/>
        <v>0</v>
      </c>
    </row>
    <row r="329" spans="1:9" x14ac:dyDescent="0.15">
      <c r="A329" s="7" t="s">
        <v>346</v>
      </c>
      <c r="B329" s="7" t="s">
        <v>193</v>
      </c>
      <c r="C329" s="8">
        <v>4</v>
      </c>
      <c r="D329" s="9">
        <v>11</v>
      </c>
      <c r="E329" s="8">
        <f t="shared" ref="E329:E334" si="19">0.194*2+0.15*4</f>
        <v>0.98799999999999999</v>
      </c>
      <c r="F329" s="13">
        <f t="shared" si="17"/>
        <v>43.47</v>
      </c>
      <c r="G329" s="21">
        <v>29.48</v>
      </c>
      <c r="H329" s="13">
        <f t="shared" si="18"/>
        <v>1.3</v>
      </c>
      <c r="I329" s="11" t="s">
        <v>433</v>
      </c>
    </row>
    <row r="330" spans="1:9" x14ac:dyDescent="0.15">
      <c r="C330" s="8">
        <f>3-0.15-0.2</f>
        <v>2.65</v>
      </c>
      <c r="D330" s="9">
        <v>2</v>
      </c>
      <c r="E330" s="8">
        <f t="shared" si="19"/>
        <v>0.98799999999999999</v>
      </c>
      <c r="F330" s="13">
        <f t="shared" si="17"/>
        <v>5.24</v>
      </c>
      <c r="G330" s="21">
        <v>29.48</v>
      </c>
      <c r="H330" s="13">
        <f t="shared" si="18"/>
        <v>0.16</v>
      </c>
      <c r="I330" s="11" t="s">
        <v>433</v>
      </c>
    </row>
    <row r="331" spans="1:9" x14ac:dyDescent="0.15">
      <c r="C331" s="8">
        <f>3-0.175*2</f>
        <v>2.65</v>
      </c>
      <c r="D331" s="9">
        <v>2</v>
      </c>
      <c r="E331" s="8">
        <f t="shared" si="19"/>
        <v>0.98799999999999999</v>
      </c>
      <c r="F331" s="13">
        <f t="shared" si="17"/>
        <v>5.24</v>
      </c>
      <c r="G331" s="21">
        <v>29.48</v>
      </c>
      <c r="H331" s="13">
        <f t="shared" si="18"/>
        <v>0.16</v>
      </c>
      <c r="I331" s="11" t="s">
        <v>433</v>
      </c>
    </row>
    <row r="332" spans="1:9" x14ac:dyDescent="0.15">
      <c r="C332" s="8">
        <f>3-0.175-0.2</f>
        <v>2.625</v>
      </c>
      <c r="D332" s="9">
        <v>2</v>
      </c>
      <c r="E332" s="8">
        <f t="shared" si="19"/>
        <v>0.98799999999999999</v>
      </c>
      <c r="F332" s="13">
        <f t="shared" si="17"/>
        <v>5.19</v>
      </c>
      <c r="G332" s="21">
        <v>29.48</v>
      </c>
      <c r="H332" s="13">
        <f t="shared" si="18"/>
        <v>0.15</v>
      </c>
      <c r="I332" s="11" t="s">
        <v>433</v>
      </c>
    </row>
    <row r="333" spans="1:9" x14ac:dyDescent="0.15">
      <c r="C333" s="8">
        <f>3-0.2</f>
        <v>2.8</v>
      </c>
      <c r="D333" s="9">
        <v>1</v>
      </c>
      <c r="E333" s="8">
        <f t="shared" si="19"/>
        <v>0.98799999999999999</v>
      </c>
      <c r="F333" s="13">
        <f t="shared" si="17"/>
        <v>2.77</v>
      </c>
      <c r="G333" s="21">
        <v>29.48</v>
      </c>
      <c r="H333" s="13">
        <f t="shared" si="18"/>
        <v>0.08</v>
      </c>
      <c r="I333" s="11" t="s">
        <v>433</v>
      </c>
    </row>
    <row r="334" spans="1:9" x14ac:dyDescent="0.15">
      <c r="C334" s="8">
        <f>3-0.2-0.15</f>
        <v>2.65</v>
      </c>
      <c r="D334" s="9">
        <v>1</v>
      </c>
      <c r="E334" s="8">
        <f t="shared" si="19"/>
        <v>0.98799999999999999</v>
      </c>
      <c r="F334" s="13">
        <f t="shared" si="17"/>
        <v>2.62</v>
      </c>
      <c r="G334" s="21">
        <v>29.48</v>
      </c>
      <c r="H334" s="13">
        <f t="shared" si="18"/>
        <v>0.08</v>
      </c>
      <c r="I334" s="11" t="s">
        <v>433</v>
      </c>
    </row>
    <row r="335" spans="1:9" x14ac:dyDescent="0.15">
      <c r="A335" s="7" t="s">
        <v>399</v>
      </c>
      <c r="B335" s="7" t="s">
        <v>308</v>
      </c>
      <c r="C335" s="8">
        <v>4</v>
      </c>
      <c r="D335" s="9">
        <v>8</v>
      </c>
      <c r="E335" s="8">
        <f>0.244*2+0.175*4</f>
        <v>1.1879999999999999</v>
      </c>
      <c r="F335" s="13">
        <f t="shared" si="17"/>
        <v>38.020000000000003</v>
      </c>
      <c r="G335" s="21">
        <v>42.42</v>
      </c>
      <c r="H335" s="13">
        <f t="shared" si="18"/>
        <v>1.36</v>
      </c>
      <c r="I335" s="11" t="s">
        <v>433</v>
      </c>
    </row>
    <row r="336" spans="1:9" x14ac:dyDescent="0.15">
      <c r="C336" s="8">
        <f>4-0.15</f>
        <v>3.85</v>
      </c>
      <c r="D336" s="9">
        <v>1</v>
      </c>
      <c r="E336" s="8">
        <f>0.244*2+0.175*4</f>
        <v>1.1879999999999999</v>
      </c>
      <c r="F336" s="13">
        <f t="shared" si="17"/>
        <v>4.57</v>
      </c>
      <c r="G336" s="21">
        <v>42.42</v>
      </c>
      <c r="H336" s="13">
        <f t="shared" si="18"/>
        <v>0.16</v>
      </c>
      <c r="I336" s="11" t="s">
        <v>433</v>
      </c>
    </row>
    <row r="337" spans="1:9" x14ac:dyDescent="0.15">
      <c r="C337" s="8">
        <f>5-0.2-0.175</f>
        <v>4.625</v>
      </c>
      <c r="D337" s="9">
        <v>2</v>
      </c>
      <c r="E337" s="8">
        <f>0.244*2+0.175*4</f>
        <v>1.1879999999999999</v>
      </c>
      <c r="F337" s="13">
        <f t="shared" si="17"/>
        <v>10.99</v>
      </c>
      <c r="G337" s="21">
        <v>42.42</v>
      </c>
      <c r="H337" s="13">
        <f t="shared" si="18"/>
        <v>0.39</v>
      </c>
      <c r="I337" s="11" t="s">
        <v>433</v>
      </c>
    </row>
    <row r="338" spans="1:9" x14ac:dyDescent="0.15">
      <c r="A338" s="7" t="s">
        <v>414</v>
      </c>
      <c r="B338" s="7" t="s">
        <v>222</v>
      </c>
      <c r="C338" s="8">
        <f>12-0.175*2</f>
        <v>11.65</v>
      </c>
      <c r="D338" s="9">
        <v>2</v>
      </c>
      <c r="E338" s="8">
        <f>0.294*2+0.2*4</f>
        <v>1.3879999999999999</v>
      </c>
      <c r="F338" s="13">
        <f t="shared" si="17"/>
        <v>32.340000000000003</v>
      </c>
      <c r="G338" s="21">
        <v>54.63</v>
      </c>
      <c r="H338" s="13">
        <f t="shared" si="18"/>
        <v>1.27</v>
      </c>
      <c r="I338" s="11" t="s">
        <v>433</v>
      </c>
    </row>
    <row r="339" spans="1:9" x14ac:dyDescent="0.15">
      <c r="A339" s="7" t="s">
        <v>416</v>
      </c>
      <c r="B339" s="7" t="s">
        <v>418</v>
      </c>
      <c r="C339" s="8">
        <f>19.1-0.2*2</f>
        <v>18.700000000000003</v>
      </c>
      <c r="D339" s="9">
        <v>2</v>
      </c>
      <c r="E339" s="8">
        <f>0.6*2+0.2*4</f>
        <v>2</v>
      </c>
      <c r="F339" s="13">
        <f t="shared" si="17"/>
        <v>74.8</v>
      </c>
      <c r="G339" s="21">
        <v>102.25</v>
      </c>
      <c r="H339" s="13">
        <f t="shared" si="18"/>
        <v>3.82</v>
      </c>
      <c r="I339" s="11" t="s">
        <v>433</v>
      </c>
    </row>
    <row r="340" spans="1:9" x14ac:dyDescent="0.15">
      <c r="C340" s="8">
        <f>19.5-0.2*2</f>
        <v>19.100000000000001</v>
      </c>
      <c r="D340" s="9">
        <v>2</v>
      </c>
      <c r="E340" s="8">
        <f>0.6*2+0.2*4</f>
        <v>2</v>
      </c>
      <c r="F340" s="13">
        <f t="shared" si="17"/>
        <v>76.400000000000006</v>
      </c>
      <c r="G340" s="21">
        <v>102.25</v>
      </c>
      <c r="H340" s="13">
        <f t="shared" si="18"/>
        <v>3.91</v>
      </c>
      <c r="I340" s="11" t="s">
        <v>433</v>
      </c>
    </row>
    <row r="341" spans="1:9" x14ac:dyDescent="0.15">
      <c r="A341" s="7" t="s">
        <v>456</v>
      </c>
      <c r="B341" s="7" t="s">
        <v>404</v>
      </c>
      <c r="C341" s="8">
        <f>1.2*2^0.5</f>
        <v>1.697056274847714</v>
      </c>
      <c r="D341" s="9">
        <v>12</v>
      </c>
      <c r="E341" s="8">
        <f>0.14*2+0.058*4</f>
        <v>0.51200000000000001</v>
      </c>
      <c r="F341" s="13">
        <f t="shared" si="17"/>
        <v>10.43</v>
      </c>
      <c r="G341" s="21">
        <v>14.5</v>
      </c>
      <c r="H341" s="13">
        <f t="shared" si="18"/>
        <v>0.3</v>
      </c>
      <c r="I341" s="11" t="s">
        <v>433</v>
      </c>
    </row>
    <row r="342" spans="1:9" x14ac:dyDescent="0.15">
      <c r="A342" s="7" t="s">
        <v>460</v>
      </c>
      <c r="F342" s="13">
        <f t="shared" si="17"/>
        <v>0</v>
      </c>
      <c r="H342" s="13">
        <f t="shared" si="18"/>
        <v>0</v>
      </c>
    </row>
    <row r="343" spans="1:9" x14ac:dyDescent="0.15">
      <c r="A343" s="7" t="s">
        <v>346</v>
      </c>
      <c r="B343" s="7" t="s">
        <v>193</v>
      </c>
      <c r="C343" s="8">
        <v>4</v>
      </c>
      <c r="D343" s="9">
        <v>7</v>
      </c>
      <c r="E343" s="8">
        <f>0.194*2+0.15*4</f>
        <v>0.98799999999999999</v>
      </c>
      <c r="F343" s="13">
        <f t="shared" si="17"/>
        <v>27.66</v>
      </c>
      <c r="G343" s="21">
        <v>29.48</v>
      </c>
      <c r="H343" s="13">
        <f t="shared" si="18"/>
        <v>0.83</v>
      </c>
      <c r="I343" s="11" t="s">
        <v>433</v>
      </c>
    </row>
    <row r="344" spans="1:9" x14ac:dyDescent="0.15">
      <c r="C344" s="8">
        <f>3-0.15-0.2</f>
        <v>2.65</v>
      </c>
      <c r="D344" s="9">
        <v>2</v>
      </c>
      <c r="E344" s="8">
        <f>0.194*2+0.15*4</f>
        <v>0.98799999999999999</v>
      </c>
      <c r="F344" s="13">
        <f t="shared" si="17"/>
        <v>5.24</v>
      </c>
      <c r="G344" s="21">
        <v>29.48</v>
      </c>
      <c r="H344" s="13">
        <f t="shared" si="18"/>
        <v>0.16</v>
      </c>
      <c r="I344" s="11" t="s">
        <v>433</v>
      </c>
    </row>
    <row r="345" spans="1:9" x14ac:dyDescent="0.15">
      <c r="C345" s="8">
        <f>3-0.175*2</f>
        <v>2.65</v>
      </c>
      <c r="D345" s="9">
        <v>2</v>
      </c>
      <c r="E345" s="8">
        <f>0.194*2+0.15*4</f>
        <v>0.98799999999999999</v>
      </c>
      <c r="F345" s="13">
        <f t="shared" si="17"/>
        <v>5.24</v>
      </c>
      <c r="G345" s="21">
        <v>29.48</v>
      </c>
      <c r="H345" s="13">
        <f t="shared" si="18"/>
        <v>0.16</v>
      </c>
      <c r="I345" s="11" t="s">
        <v>433</v>
      </c>
    </row>
    <row r="346" spans="1:9" x14ac:dyDescent="0.15">
      <c r="C346" s="8">
        <f>3-0.175-0.2</f>
        <v>2.625</v>
      </c>
      <c r="D346" s="9">
        <v>2</v>
      </c>
      <c r="E346" s="8">
        <f>0.194*2+0.15*4</f>
        <v>0.98799999999999999</v>
      </c>
      <c r="F346" s="13">
        <f t="shared" si="17"/>
        <v>5.19</v>
      </c>
      <c r="G346" s="21">
        <v>29.48</v>
      </c>
      <c r="H346" s="13">
        <f t="shared" si="18"/>
        <v>0.15</v>
      </c>
      <c r="I346" s="11" t="s">
        <v>433</v>
      </c>
    </row>
    <row r="347" spans="1:9" x14ac:dyDescent="0.15">
      <c r="A347" s="7" t="s">
        <v>399</v>
      </c>
      <c r="B347" s="7" t="s">
        <v>308</v>
      </c>
      <c r="C347" s="8">
        <v>4</v>
      </c>
      <c r="D347" s="9">
        <v>7</v>
      </c>
      <c r="E347" s="8">
        <f>0.244*2+0.175*4</f>
        <v>1.1879999999999999</v>
      </c>
      <c r="F347" s="13">
        <f t="shared" si="17"/>
        <v>33.26</v>
      </c>
      <c r="G347" s="21">
        <v>42.42</v>
      </c>
      <c r="H347" s="13">
        <f t="shared" si="18"/>
        <v>1.19</v>
      </c>
      <c r="I347" s="11" t="s">
        <v>433</v>
      </c>
    </row>
    <row r="348" spans="1:9" x14ac:dyDescent="0.15">
      <c r="C348" s="8">
        <f>5-0.2-0.175</f>
        <v>4.625</v>
      </c>
      <c r="D348" s="9">
        <v>2</v>
      </c>
      <c r="E348" s="8">
        <f>0.244*2+0.175*4</f>
        <v>1.1879999999999999</v>
      </c>
      <c r="F348" s="13">
        <f t="shared" si="17"/>
        <v>10.99</v>
      </c>
      <c r="G348" s="21">
        <v>42.42</v>
      </c>
      <c r="H348" s="13">
        <f t="shared" si="18"/>
        <v>0.39</v>
      </c>
      <c r="I348" s="11" t="s">
        <v>433</v>
      </c>
    </row>
    <row r="349" spans="1:9" x14ac:dyDescent="0.15">
      <c r="A349" s="7" t="s">
        <v>414</v>
      </c>
      <c r="B349" s="7" t="s">
        <v>222</v>
      </c>
      <c r="C349" s="8">
        <f>12-0.175*2</f>
        <v>11.65</v>
      </c>
      <c r="D349" s="9">
        <v>2</v>
      </c>
      <c r="E349" s="8">
        <f>0.294*2+0.2*4</f>
        <v>1.3879999999999999</v>
      </c>
      <c r="F349" s="13">
        <f t="shared" si="17"/>
        <v>32.340000000000003</v>
      </c>
      <c r="G349" s="21">
        <v>54.63</v>
      </c>
      <c r="H349" s="13">
        <f t="shared" si="18"/>
        <v>1.27</v>
      </c>
      <c r="I349" s="11" t="s">
        <v>433</v>
      </c>
    </row>
    <row r="350" spans="1:9" x14ac:dyDescent="0.15">
      <c r="A350" s="7" t="s">
        <v>416</v>
      </c>
      <c r="B350" s="7" t="s">
        <v>418</v>
      </c>
      <c r="C350" s="8">
        <f>19.1-0.2*2</f>
        <v>18.700000000000003</v>
      </c>
      <c r="D350" s="9">
        <v>2</v>
      </c>
      <c r="E350" s="8">
        <f>0.6*2+0.2*4</f>
        <v>2</v>
      </c>
      <c r="F350" s="13">
        <f t="shared" si="17"/>
        <v>74.8</v>
      </c>
      <c r="G350" s="21">
        <v>102.25</v>
      </c>
      <c r="H350" s="13">
        <f t="shared" si="18"/>
        <v>3.82</v>
      </c>
      <c r="I350" s="11" t="s">
        <v>433</v>
      </c>
    </row>
    <row r="351" spans="1:9" x14ac:dyDescent="0.15">
      <c r="A351" s="7" t="s">
        <v>456</v>
      </c>
      <c r="B351" s="7" t="s">
        <v>404</v>
      </c>
      <c r="C351" s="8">
        <f>1.2*2^0.5</f>
        <v>1.697056274847714</v>
      </c>
      <c r="D351" s="9">
        <v>8</v>
      </c>
      <c r="E351" s="8">
        <f>0.14*2+0.058*4</f>
        <v>0.51200000000000001</v>
      </c>
      <c r="F351" s="13">
        <f t="shared" si="17"/>
        <v>6.95</v>
      </c>
      <c r="G351" s="21">
        <v>14.5</v>
      </c>
      <c r="H351" s="13">
        <f t="shared" si="18"/>
        <v>0.2</v>
      </c>
      <c r="I351" s="11" t="s">
        <v>433</v>
      </c>
    </row>
    <row r="352" spans="1:9" ht="28.5" x14ac:dyDescent="0.15">
      <c r="A352" s="7" t="s">
        <v>461</v>
      </c>
      <c r="F352" s="13">
        <f t="shared" si="17"/>
        <v>0</v>
      </c>
      <c r="H352" s="13">
        <f t="shared" si="18"/>
        <v>0</v>
      </c>
    </row>
    <row r="353" spans="1:9" x14ac:dyDescent="0.15">
      <c r="A353" s="7" t="s">
        <v>40</v>
      </c>
      <c r="F353" s="13">
        <f t="shared" si="17"/>
        <v>0</v>
      </c>
      <c r="H353" s="13">
        <f t="shared" si="18"/>
        <v>0</v>
      </c>
    </row>
    <row r="354" spans="1:9" x14ac:dyDescent="0.15">
      <c r="A354" s="7" t="s">
        <v>445</v>
      </c>
      <c r="B354" s="7" t="s">
        <v>207</v>
      </c>
      <c r="C354" s="8">
        <f>65-60.5-0.53</f>
        <v>3.9699999999999998</v>
      </c>
      <c r="D354" s="9">
        <v>2</v>
      </c>
      <c r="E354" s="8">
        <f>0.3*2+0.3*4</f>
        <v>1.7999999999999998</v>
      </c>
      <c r="F354" s="13">
        <f t="shared" si="17"/>
        <v>14.29</v>
      </c>
      <c r="G354" s="21">
        <v>91.84</v>
      </c>
      <c r="H354" s="13">
        <f t="shared" si="18"/>
        <v>0.73</v>
      </c>
      <c r="I354" s="11" t="s">
        <v>462</v>
      </c>
    </row>
    <row r="355" spans="1:9" x14ac:dyDescent="0.15">
      <c r="C355" s="8">
        <f>69-65</f>
        <v>4</v>
      </c>
      <c r="D355" s="9">
        <v>2</v>
      </c>
      <c r="E355" s="8">
        <f>0.3*2+0.3*4</f>
        <v>1.7999999999999998</v>
      </c>
      <c r="F355" s="13">
        <f t="shared" si="17"/>
        <v>14.4</v>
      </c>
      <c r="G355" s="21">
        <v>91.84</v>
      </c>
      <c r="H355" s="13">
        <f t="shared" si="18"/>
        <v>0.73</v>
      </c>
      <c r="I355" s="11" t="s">
        <v>406</v>
      </c>
    </row>
    <row r="356" spans="1:9" x14ac:dyDescent="0.15">
      <c r="A356" s="7" t="s">
        <v>396</v>
      </c>
      <c r="B356" s="7" t="s">
        <v>397</v>
      </c>
      <c r="C356" s="8">
        <f>66-60.5</f>
        <v>5.5</v>
      </c>
      <c r="D356" s="9">
        <v>8</v>
      </c>
      <c r="E356" s="8">
        <f>0.4*2+0.4*4</f>
        <v>2.4000000000000004</v>
      </c>
      <c r="F356" s="13">
        <f t="shared" si="17"/>
        <v>105.6</v>
      </c>
      <c r="G356" s="21">
        <v>168.41</v>
      </c>
      <c r="H356" s="13">
        <f t="shared" si="18"/>
        <v>7.41</v>
      </c>
      <c r="I356" s="11" t="s">
        <v>462</v>
      </c>
    </row>
    <row r="357" spans="1:9" x14ac:dyDescent="0.15">
      <c r="C357" s="8">
        <f>69-66</f>
        <v>3</v>
      </c>
      <c r="D357" s="9">
        <v>8</v>
      </c>
      <c r="E357" s="8">
        <f>0.4*2+0.4*4</f>
        <v>2.4000000000000004</v>
      </c>
      <c r="F357" s="13">
        <f t="shared" si="17"/>
        <v>57.6</v>
      </c>
      <c r="G357" s="21">
        <v>168.41</v>
      </c>
      <c r="H357" s="13">
        <f t="shared" si="18"/>
        <v>4.04</v>
      </c>
      <c r="I357" s="11" t="s">
        <v>406</v>
      </c>
    </row>
    <row r="358" spans="1:9" x14ac:dyDescent="0.15">
      <c r="A358" s="7" t="s">
        <v>453</v>
      </c>
      <c r="F358" s="13">
        <f t="shared" si="17"/>
        <v>0</v>
      </c>
      <c r="H358" s="13">
        <f t="shared" si="18"/>
        <v>0</v>
      </c>
    </row>
    <row r="359" spans="1:9" x14ac:dyDescent="0.15">
      <c r="A359" s="7" t="s">
        <v>346</v>
      </c>
      <c r="B359" s="7" t="s">
        <v>193</v>
      </c>
      <c r="C359" s="8">
        <f>3-0.15-0.2</f>
        <v>2.65</v>
      </c>
      <c r="D359" s="9">
        <v>2</v>
      </c>
      <c r="E359" s="8">
        <f>0.194*2+0.15*4</f>
        <v>0.98799999999999999</v>
      </c>
      <c r="F359" s="13">
        <f t="shared" si="17"/>
        <v>5.24</v>
      </c>
      <c r="G359" s="21">
        <v>29.48</v>
      </c>
      <c r="H359" s="13">
        <f t="shared" si="18"/>
        <v>0.16</v>
      </c>
      <c r="I359" s="11" t="s">
        <v>408</v>
      </c>
    </row>
    <row r="360" spans="1:9" x14ac:dyDescent="0.15">
      <c r="A360" s="7" t="s">
        <v>399</v>
      </c>
      <c r="B360" s="7" t="s">
        <v>308</v>
      </c>
      <c r="C360" s="8">
        <v>4</v>
      </c>
      <c r="D360" s="9">
        <v>2</v>
      </c>
      <c r="E360" s="8">
        <f>0.244*2+0.175*4</f>
        <v>1.1879999999999999</v>
      </c>
      <c r="F360" s="13">
        <f t="shared" si="17"/>
        <v>9.5</v>
      </c>
      <c r="G360" s="21">
        <v>42.42</v>
      </c>
      <c r="H360" s="13">
        <f t="shared" si="18"/>
        <v>0.34</v>
      </c>
      <c r="I360" s="11" t="s">
        <v>408</v>
      </c>
    </row>
    <row r="361" spans="1:9" x14ac:dyDescent="0.15">
      <c r="A361" s="7" t="s">
        <v>454</v>
      </c>
      <c r="F361" s="13">
        <f t="shared" si="17"/>
        <v>0</v>
      </c>
      <c r="H361" s="13">
        <f t="shared" si="18"/>
        <v>0</v>
      </c>
    </row>
    <row r="362" spans="1:9" x14ac:dyDescent="0.15">
      <c r="A362" s="7" t="s">
        <v>346</v>
      </c>
      <c r="B362" s="7" t="s">
        <v>193</v>
      </c>
      <c r="C362" s="8">
        <f>3-0.15-0.2</f>
        <v>2.65</v>
      </c>
      <c r="D362" s="9">
        <v>2</v>
      </c>
      <c r="E362" s="8">
        <f>0.194*2+0.15*4</f>
        <v>0.98799999999999999</v>
      </c>
      <c r="F362" s="13">
        <f t="shared" si="17"/>
        <v>5.24</v>
      </c>
      <c r="G362" s="21">
        <v>29.48</v>
      </c>
      <c r="H362" s="13">
        <f t="shared" si="18"/>
        <v>0.16</v>
      </c>
      <c r="I362" s="11" t="s">
        <v>408</v>
      </c>
    </row>
    <row r="363" spans="1:9" x14ac:dyDescent="0.15">
      <c r="A363" s="7" t="s">
        <v>399</v>
      </c>
      <c r="B363" s="7" t="s">
        <v>308</v>
      </c>
      <c r="C363" s="8">
        <v>4</v>
      </c>
      <c r="D363" s="9">
        <v>2</v>
      </c>
      <c r="E363" s="8">
        <f>0.244*2+0.175*4</f>
        <v>1.1879999999999999</v>
      </c>
      <c r="F363" s="13">
        <f t="shared" si="17"/>
        <v>9.5</v>
      </c>
      <c r="G363" s="21">
        <v>42.42</v>
      </c>
      <c r="H363" s="13">
        <f t="shared" si="18"/>
        <v>0.34</v>
      </c>
      <c r="I363" s="11" t="s">
        <v>408</v>
      </c>
    </row>
    <row r="364" spans="1:9" x14ac:dyDescent="0.15">
      <c r="A364" s="7" t="s">
        <v>463</v>
      </c>
      <c r="F364" s="13">
        <f t="shared" si="17"/>
        <v>0</v>
      </c>
      <c r="H364" s="13">
        <f t="shared" si="18"/>
        <v>0</v>
      </c>
    </row>
    <row r="365" spans="1:9" x14ac:dyDescent="0.15">
      <c r="A365" s="7" t="s">
        <v>346</v>
      </c>
      <c r="B365" s="7" t="s">
        <v>193</v>
      </c>
      <c r="C365" s="8">
        <v>4</v>
      </c>
      <c r="D365" s="9">
        <v>7</v>
      </c>
      <c r="E365" s="8">
        <f>0.194*2+0.15*4</f>
        <v>0.98799999999999999</v>
      </c>
      <c r="F365" s="13">
        <f t="shared" si="17"/>
        <v>27.66</v>
      </c>
      <c r="G365" s="21">
        <v>29.48</v>
      </c>
      <c r="H365" s="13">
        <f t="shared" si="18"/>
        <v>0.83</v>
      </c>
      <c r="I365" s="11" t="s">
        <v>408</v>
      </c>
    </row>
    <row r="366" spans="1:9" x14ac:dyDescent="0.15">
      <c r="C366" s="8">
        <f>4-0.2*2</f>
        <v>3.6</v>
      </c>
      <c r="D366" s="9">
        <v>2</v>
      </c>
      <c r="E366" s="8">
        <f>0.194*2+0.15*4</f>
        <v>0.98799999999999999</v>
      </c>
      <c r="F366" s="13">
        <f t="shared" si="17"/>
        <v>7.11</v>
      </c>
      <c r="G366" s="21">
        <v>29.48</v>
      </c>
      <c r="H366" s="13">
        <f t="shared" si="18"/>
        <v>0.21</v>
      </c>
      <c r="I366" s="11" t="s">
        <v>408</v>
      </c>
    </row>
    <row r="367" spans="1:9" x14ac:dyDescent="0.15">
      <c r="A367" s="7" t="s">
        <v>399</v>
      </c>
      <c r="B367" s="7" t="s">
        <v>308</v>
      </c>
      <c r="C367" s="8">
        <v>4</v>
      </c>
      <c r="D367" s="9">
        <v>4</v>
      </c>
      <c r="E367" s="8">
        <f>0.244*2+0.175*4</f>
        <v>1.1879999999999999</v>
      </c>
      <c r="F367" s="13">
        <f t="shared" si="17"/>
        <v>19.010000000000002</v>
      </c>
      <c r="G367" s="21">
        <v>42.42</v>
      </c>
      <c r="H367" s="13">
        <f t="shared" si="18"/>
        <v>0.68</v>
      </c>
      <c r="I367" s="11" t="s">
        <v>408</v>
      </c>
    </row>
    <row r="368" spans="1:9" x14ac:dyDescent="0.15">
      <c r="A368" s="7" t="s">
        <v>465</v>
      </c>
      <c r="B368" s="7" t="s">
        <v>467</v>
      </c>
      <c r="C368" s="8">
        <f>16.5-0.2*2</f>
        <v>16.100000000000001</v>
      </c>
      <c r="D368" s="9">
        <v>2</v>
      </c>
      <c r="E368" s="8">
        <f>0.45*2+0.2*4</f>
        <v>1.7000000000000002</v>
      </c>
      <c r="F368" s="13">
        <f t="shared" si="17"/>
        <v>54.74</v>
      </c>
      <c r="G368" s="21">
        <v>73.77</v>
      </c>
      <c r="H368" s="13">
        <f t="shared" si="18"/>
        <v>2.38</v>
      </c>
      <c r="I368" s="11" t="s">
        <v>408</v>
      </c>
    </row>
    <row r="369" spans="1:9" x14ac:dyDescent="0.15">
      <c r="C369" s="8">
        <f>14.3-0.2*2</f>
        <v>13.9</v>
      </c>
      <c r="D369" s="9">
        <v>2</v>
      </c>
      <c r="E369" s="8">
        <f>0.45*2+0.2*4</f>
        <v>1.7000000000000002</v>
      </c>
      <c r="F369" s="13">
        <f t="shared" si="17"/>
        <v>47.26</v>
      </c>
      <c r="G369" s="21">
        <v>73.77</v>
      </c>
      <c r="H369" s="13">
        <f t="shared" si="18"/>
        <v>2.0499999999999998</v>
      </c>
      <c r="I369" s="11" t="s">
        <v>408</v>
      </c>
    </row>
    <row r="370" spans="1:9" x14ac:dyDescent="0.15">
      <c r="A370" s="7" t="s">
        <v>456</v>
      </c>
      <c r="B370" s="7" t="s">
        <v>404</v>
      </c>
      <c r="C370" s="8">
        <f>1.2*2^0.5</f>
        <v>1.697056274847714</v>
      </c>
      <c r="D370" s="9">
        <v>6</v>
      </c>
      <c r="E370" s="8">
        <f>0.14*2+0.058*4</f>
        <v>0.51200000000000001</v>
      </c>
      <c r="F370" s="13">
        <f t="shared" si="17"/>
        <v>5.21</v>
      </c>
      <c r="G370" s="21">
        <v>14.5</v>
      </c>
      <c r="H370" s="13">
        <f t="shared" si="18"/>
        <v>0.15</v>
      </c>
      <c r="I370" s="11" t="s">
        <v>408</v>
      </c>
    </row>
    <row r="371" spans="1:9" x14ac:dyDescent="0.15">
      <c r="A371" s="7" t="s">
        <v>468</v>
      </c>
      <c r="F371" s="13">
        <f t="shared" si="17"/>
        <v>0</v>
      </c>
      <c r="H371" s="13">
        <f t="shared" si="18"/>
        <v>0</v>
      </c>
    </row>
    <row r="372" spans="1:9" x14ac:dyDescent="0.15">
      <c r="A372" s="7" t="s">
        <v>346</v>
      </c>
      <c r="B372" s="7" t="s">
        <v>193</v>
      </c>
      <c r="C372" s="8">
        <v>4</v>
      </c>
      <c r="D372" s="9">
        <v>7</v>
      </c>
      <c r="E372" s="8">
        <f>0.194*2+0.15*4</f>
        <v>0.98799999999999999</v>
      </c>
      <c r="F372" s="13">
        <f t="shared" si="17"/>
        <v>27.66</v>
      </c>
      <c r="G372" s="21">
        <v>29.48</v>
      </c>
      <c r="H372" s="13">
        <f t="shared" si="18"/>
        <v>0.83</v>
      </c>
      <c r="I372" s="11" t="s">
        <v>433</v>
      </c>
    </row>
    <row r="373" spans="1:9" x14ac:dyDescent="0.15">
      <c r="C373" s="8">
        <f>4-0.2*2</f>
        <v>3.6</v>
      </c>
      <c r="D373" s="9">
        <v>2</v>
      </c>
      <c r="E373" s="8">
        <f>0.194*2+0.15*4</f>
        <v>0.98799999999999999</v>
      </c>
      <c r="F373" s="13">
        <f t="shared" si="17"/>
        <v>7.11</v>
      </c>
      <c r="G373" s="21">
        <v>29.48</v>
      </c>
      <c r="H373" s="13">
        <f t="shared" si="18"/>
        <v>0.21</v>
      </c>
      <c r="I373" s="11" t="s">
        <v>433</v>
      </c>
    </row>
    <row r="374" spans="1:9" x14ac:dyDescent="0.15">
      <c r="A374" s="7" t="s">
        <v>399</v>
      </c>
      <c r="B374" s="7" t="s">
        <v>308</v>
      </c>
      <c r="C374" s="8">
        <v>4</v>
      </c>
      <c r="D374" s="9">
        <v>4</v>
      </c>
      <c r="E374" s="8">
        <f>0.244*2+0.175*4</f>
        <v>1.1879999999999999</v>
      </c>
      <c r="F374" s="13">
        <f t="shared" si="17"/>
        <v>19.010000000000002</v>
      </c>
      <c r="G374" s="21">
        <v>42.42</v>
      </c>
      <c r="H374" s="13">
        <f t="shared" si="18"/>
        <v>0.68</v>
      </c>
      <c r="I374" s="11" t="s">
        <v>433</v>
      </c>
    </row>
    <row r="375" spans="1:9" x14ac:dyDescent="0.15">
      <c r="A375" s="7" t="s">
        <v>464</v>
      </c>
      <c r="B375" s="7" t="s">
        <v>466</v>
      </c>
      <c r="C375" s="8">
        <f>16.5-0.2*2</f>
        <v>16.100000000000001</v>
      </c>
      <c r="D375" s="9">
        <v>2</v>
      </c>
      <c r="E375" s="8">
        <f>0.45*2+0.2*4</f>
        <v>1.7000000000000002</v>
      </c>
      <c r="F375" s="13">
        <f t="shared" si="17"/>
        <v>54.74</v>
      </c>
      <c r="G375" s="21">
        <v>73.77</v>
      </c>
      <c r="H375" s="13">
        <f t="shared" si="18"/>
        <v>2.38</v>
      </c>
      <c r="I375" s="11" t="s">
        <v>433</v>
      </c>
    </row>
    <row r="376" spans="1:9" x14ac:dyDescent="0.15">
      <c r="C376" s="8">
        <f>14.3-0.2*2</f>
        <v>13.9</v>
      </c>
      <c r="D376" s="9">
        <v>2</v>
      </c>
      <c r="E376" s="8">
        <f>0.45*2+0.2*4</f>
        <v>1.7000000000000002</v>
      </c>
      <c r="F376" s="13">
        <f t="shared" si="17"/>
        <v>47.26</v>
      </c>
      <c r="G376" s="21">
        <v>73.77</v>
      </c>
      <c r="H376" s="13">
        <f t="shared" si="18"/>
        <v>2.0499999999999998</v>
      </c>
      <c r="I376" s="11" t="s">
        <v>433</v>
      </c>
    </row>
    <row r="377" spans="1:9" x14ac:dyDescent="0.15">
      <c r="A377" s="7" t="s">
        <v>438</v>
      </c>
      <c r="B377" s="7" t="s">
        <v>403</v>
      </c>
      <c r="C377" s="8">
        <f>1.2*2^0.5</f>
        <v>1.697056274847714</v>
      </c>
      <c r="D377" s="9">
        <v>6</v>
      </c>
      <c r="E377" s="8">
        <f>0.14*2+0.058*4</f>
        <v>0.51200000000000001</v>
      </c>
      <c r="F377" s="13">
        <f t="shared" si="17"/>
        <v>5.21</v>
      </c>
      <c r="G377" s="21">
        <v>14.5</v>
      </c>
      <c r="H377" s="13">
        <f t="shared" si="18"/>
        <v>0.15</v>
      </c>
      <c r="I377" s="11" t="s">
        <v>433</v>
      </c>
    </row>
    <row r="378" spans="1:9" x14ac:dyDescent="0.15">
      <c r="A378" s="7" t="s">
        <v>469</v>
      </c>
      <c r="F378" s="13">
        <f t="shared" si="17"/>
        <v>0</v>
      </c>
      <c r="H378" s="13">
        <f t="shared" si="18"/>
        <v>0</v>
      </c>
    </row>
    <row r="379" spans="1:9" x14ac:dyDescent="0.15">
      <c r="A379" s="7" t="s">
        <v>346</v>
      </c>
      <c r="B379" s="7" t="s">
        <v>193</v>
      </c>
      <c r="C379" s="8">
        <v>4</v>
      </c>
      <c r="D379" s="9">
        <v>7</v>
      </c>
      <c r="E379" s="8">
        <f>0.194*2+0.15*4</f>
        <v>0.98799999999999999</v>
      </c>
      <c r="F379" s="13">
        <f t="shared" si="17"/>
        <v>27.66</v>
      </c>
      <c r="G379" s="21">
        <v>29.48</v>
      </c>
      <c r="H379" s="13">
        <f t="shared" si="18"/>
        <v>0.83</v>
      </c>
      <c r="I379" s="11" t="s">
        <v>433</v>
      </c>
    </row>
    <row r="380" spans="1:9" x14ac:dyDescent="0.15">
      <c r="C380" s="8">
        <f>3-0.15-0.2</f>
        <v>2.65</v>
      </c>
      <c r="D380" s="9">
        <v>2</v>
      </c>
      <c r="E380" s="8">
        <f>0.194*2+0.15*4</f>
        <v>0.98799999999999999</v>
      </c>
      <c r="F380" s="13">
        <f t="shared" si="17"/>
        <v>5.24</v>
      </c>
      <c r="G380" s="21">
        <v>29.48</v>
      </c>
      <c r="H380" s="13">
        <f t="shared" si="18"/>
        <v>0.16</v>
      </c>
      <c r="I380" s="11" t="s">
        <v>433</v>
      </c>
    </row>
    <row r="381" spans="1:9" x14ac:dyDescent="0.15">
      <c r="C381" s="8">
        <f>4-0.2*2</f>
        <v>3.6</v>
      </c>
      <c r="D381" s="9">
        <v>2</v>
      </c>
      <c r="E381" s="8">
        <f>0.194*2+0.15*4</f>
        <v>0.98799999999999999</v>
      </c>
      <c r="F381" s="13">
        <f t="shared" si="17"/>
        <v>7.11</v>
      </c>
      <c r="G381" s="21">
        <v>29.48</v>
      </c>
      <c r="H381" s="13">
        <f t="shared" si="18"/>
        <v>0.21</v>
      </c>
      <c r="I381" s="11" t="s">
        <v>433</v>
      </c>
    </row>
    <row r="382" spans="1:9" x14ac:dyDescent="0.15">
      <c r="A382" s="7" t="s">
        <v>399</v>
      </c>
      <c r="B382" s="7" t="s">
        <v>308</v>
      </c>
      <c r="C382" s="8">
        <v>4</v>
      </c>
      <c r="D382" s="9">
        <v>5</v>
      </c>
      <c r="E382" s="8">
        <f>0.244*2+0.175*4</f>
        <v>1.1879999999999999</v>
      </c>
      <c r="F382" s="13">
        <f t="shared" si="17"/>
        <v>23.76</v>
      </c>
      <c r="G382" s="21">
        <v>42.42</v>
      </c>
      <c r="H382" s="13">
        <f t="shared" si="18"/>
        <v>0.85</v>
      </c>
      <c r="I382" s="11" t="s">
        <v>433</v>
      </c>
    </row>
    <row r="383" spans="1:9" x14ac:dyDescent="0.15">
      <c r="A383" s="7" t="s">
        <v>464</v>
      </c>
      <c r="B383" s="7" t="s">
        <v>466</v>
      </c>
      <c r="C383" s="8">
        <f>16.5-0.2*2</f>
        <v>16.100000000000001</v>
      </c>
      <c r="D383" s="9">
        <v>2</v>
      </c>
      <c r="E383" s="8">
        <f>0.45*2+0.2*4</f>
        <v>1.7000000000000002</v>
      </c>
      <c r="F383" s="13">
        <f t="shared" si="17"/>
        <v>54.74</v>
      </c>
      <c r="G383" s="21">
        <v>73.77</v>
      </c>
      <c r="H383" s="13">
        <f t="shared" si="18"/>
        <v>2.38</v>
      </c>
      <c r="I383" s="11" t="s">
        <v>410</v>
      </c>
    </row>
    <row r="384" spans="1:9" x14ac:dyDescent="0.15">
      <c r="C384" s="8">
        <f>14.3-0.2*2</f>
        <v>13.9</v>
      </c>
      <c r="D384" s="9">
        <v>2</v>
      </c>
      <c r="E384" s="8">
        <f>0.45*2+0.2*4</f>
        <v>1.7000000000000002</v>
      </c>
      <c r="F384" s="13">
        <f t="shared" si="17"/>
        <v>47.26</v>
      </c>
      <c r="G384" s="21">
        <v>73.77</v>
      </c>
      <c r="H384" s="13">
        <f t="shared" si="18"/>
        <v>2.0499999999999998</v>
      </c>
      <c r="I384" s="11" t="s">
        <v>410</v>
      </c>
    </row>
    <row r="385" spans="1:9" x14ac:dyDescent="0.15">
      <c r="A385" s="7" t="s">
        <v>438</v>
      </c>
      <c r="B385" s="7" t="s">
        <v>403</v>
      </c>
      <c r="C385" s="8">
        <f>1.2*2^0.5</f>
        <v>1.697056274847714</v>
      </c>
      <c r="D385" s="9">
        <v>6</v>
      </c>
      <c r="E385" s="8">
        <f>0.14*2+0.058*4</f>
        <v>0.51200000000000001</v>
      </c>
      <c r="F385" s="13">
        <f t="shared" si="17"/>
        <v>5.21</v>
      </c>
      <c r="G385" s="21">
        <v>14.5</v>
      </c>
      <c r="H385" s="13">
        <f t="shared" si="18"/>
        <v>0.15</v>
      </c>
      <c r="I385" s="11" t="s">
        <v>433</v>
      </c>
    </row>
    <row r="386" spans="1:9" ht="28.5" x14ac:dyDescent="0.15">
      <c r="A386" s="7" t="s">
        <v>477</v>
      </c>
      <c r="F386" s="13">
        <f t="shared" ref="F386:F449" si="20">ROUND(PRODUCT($C386:$E386),2)</f>
        <v>0</v>
      </c>
      <c r="H386" s="13">
        <f t="shared" ref="H386:H449" si="21">ROUND(PRODUCT($C386:$D386,$G386)*0.001,2)</f>
        <v>0</v>
      </c>
    </row>
    <row r="387" spans="1:9" x14ac:dyDescent="0.15">
      <c r="A387" s="7" t="s">
        <v>478</v>
      </c>
      <c r="F387" s="13">
        <f t="shared" si="20"/>
        <v>0</v>
      </c>
      <c r="H387" s="13">
        <f t="shared" si="21"/>
        <v>0</v>
      </c>
    </row>
    <row r="388" spans="1:9" x14ac:dyDescent="0.15">
      <c r="A388" s="7" t="s">
        <v>479</v>
      </c>
      <c r="B388" s="7" t="s">
        <v>480</v>
      </c>
      <c r="C388" s="8">
        <f>66.15-60.65-0.53</f>
        <v>4.9700000000000069</v>
      </c>
      <c r="D388" s="9">
        <v>2</v>
      </c>
      <c r="E388" s="8">
        <f>0.25*2+0.25*4</f>
        <v>1.5</v>
      </c>
      <c r="F388" s="13">
        <f t="shared" si="20"/>
        <v>14.91</v>
      </c>
      <c r="G388" s="21">
        <v>70.63</v>
      </c>
      <c r="H388" s="13">
        <f t="shared" si="21"/>
        <v>0.7</v>
      </c>
      <c r="I388" s="11" t="s">
        <v>484</v>
      </c>
    </row>
    <row r="389" spans="1:9" x14ac:dyDescent="0.15">
      <c r="C389" s="8">
        <f>69.15-66.15</f>
        <v>3</v>
      </c>
      <c r="D389" s="9">
        <v>2</v>
      </c>
      <c r="E389" s="8">
        <f>0.25*2+0.25*4</f>
        <v>1.5</v>
      </c>
      <c r="F389" s="13">
        <f t="shared" si="20"/>
        <v>9</v>
      </c>
      <c r="G389" s="21">
        <v>70.63</v>
      </c>
      <c r="H389" s="13">
        <f t="shared" si="21"/>
        <v>0.42</v>
      </c>
      <c r="I389" s="11" t="s">
        <v>485</v>
      </c>
    </row>
    <row r="390" spans="1:9" x14ac:dyDescent="0.15">
      <c r="A390" s="7" t="s">
        <v>481</v>
      </c>
      <c r="B390" s="7" t="s">
        <v>482</v>
      </c>
      <c r="C390" s="8">
        <f>66.15-60.65-0.53</f>
        <v>4.9700000000000069</v>
      </c>
      <c r="D390" s="9">
        <v>4</v>
      </c>
      <c r="E390" s="8">
        <f>0.3*2+0.3*4</f>
        <v>1.7999999999999998</v>
      </c>
      <c r="F390" s="13">
        <f t="shared" si="20"/>
        <v>35.78</v>
      </c>
      <c r="G390" s="21">
        <v>91.84</v>
      </c>
      <c r="H390" s="13">
        <f t="shared" si="21"/>
        <v>1.83</v>
      </c>
      <c r="I390" s="11" t="s">
        <v>484</v>
      </c>
    </row>
    <row r="391" spans="1:9" x14ac:dyDescent="0.15">
      <c r="C391" s="8">
        <f>69.15-66.15</f>
        <v>3</v>
      </c>
      <c r="D391" s="9">
        <v>2</v>
      </c>
      <c r="E391" s="8">
        <f>0.3*2+0.3*4</f>
        <v>1.7999999999999998</v>
      </c>
      <c r="F391" s="13">
        <f t="shared" si="20"/>
        <v>10.8</v>
      </c>
      <c r="G391" s="21">
        <v>91.84</v>
      </c>
      <c r="H391" s="13">
        <f t="shared" si="21"/>
        <v>0.55000000000000004</v>
      </c>
      <c r="I391" s="11" t="s">
        <v>485</v>
      </c>
    </row>
    <row r="392" spans="1:9" x14ac:dyDescent="0.15">
      <c r="C392" s="8">
        <f>67.65-66.15</f>
        <v>1.5</v>
      </c>
      <c r="D392" s="9">
        <v>2</v>
      </c>
      <c r="E392" s="8">
        <f>0.3*2+0.3*4</f>
        <v>1.7999999999999998</v>
      </c>
      <c r="F392" s="13">
        <f t="shared" si="20"/>
        <v>5.4</v>
      </c>
      <c r="G392" s="21">
        <v>91.84</v>
      </c>
      <c r="H392" s="13">
        <f t="shared" si="21"/>
        <v>0.28000000000000003</v>
      </c>
      <c r="I392" s="11" t="s">
        <v>485</v>
      </c>
    </row>
    <row r="393" spans="1:9" x14ac:dyDescent="0.15">
      <c r="A393" s="7" t="s">
        <v>486</v>
      </c>
      <c r="F393" s="13">
        <f t="shared" si="20"/>
        <v>0</v>
      </c>
      <c r="H393" s="13">
        <f t="shared" si="21"/>
        <v>0</v>
      </c>
    </row>
    <row r="394" spans="1:9" x14ac:dyDescent="0.15">
      <c r="A394" s="7" t="s">
        <v>487</v>
      </c>
      <c r="B394" s="7" t="s">
        <v>220</v>
      </c>
      <c r="C394" s="8">
        <v>2</v>
      </c>
      <c r="D394" s="9">
        <v>4</v>
      </c>
      <c r="E394" s="8">
        <f>0.148*2+0.1*4</f>
        <v>0.69599999999999995</v>
      </c>
      <c r="F394" s="13">
        <f t="shared" si="20"/>
        <v>5.57</v>
      </c>
      <c r="G394" s="21">
        <v>20.25</v>
      </c>
      <c r="H394" s="13">
        <f t="shared" si="21"/>
        <v>0.16</v>
      </c>
      <c r="I394" s="11" t="s">
        <v>489</v>
      </c>
    </row>
    <row r="395" spans="1:9" x14ac:dyDescent="0.15">
      <c r="A395" s="7" t="s">
        <v>488</v>
      </c>
      <c r="B395" s="7" t="s">
        <v>193</v>
      </c>
      <c r="C395" s="8">
        <f>3-0.15</f>
        <v>2.85</v>
      </c>
      <c r="D395" s="9">
        <v>2</v>
      </c>
      <c r="E395" s="8">
        <f>0.194*2+0.15*4</f>
        <v>0.98799999999999999</v>
      </c>
      <c r="F395" s="13">
        <f t="shared" si="20"/>
        <v>5.63</v>
      </c>
      <c r="G395" s="21">
        <v>29.48</v>
      </c>
      <c r="H395" s="13">
        <f t="shared" si="21"/>
        <v>0.17</v>
      </c>
      <c r="I395" s="11" t="s">
        <v>489</v>
      </c>
    </row>
    <row r="396" spans="1:9" x14ac:dyDescent="0.15">
      <c r="A396" s="7" t="s">
        <v>414</v>
      </c>
      <c r="B396" s="7" t="s">
        <v>222</v>
      </c>
      <c r="C396" s="8">
        <f>8-0.15*2</f>
        <v>7.7</v>
      </c>
      <c r="D396" s="9">
        <v>2</v>
      </c>
      <c r="E396" s="8">
        <f>0.294*2+0.2*4</f>
        <v>1.3879999999999999</v>
      </c>
      <c r="F396" s="13">
        <f t="shared" si="20"/>
        <v>21.38</v>
      </c>
      <c r="G396" s="21">
        <v>54.63</v>
      </c>
      <c r="H396" s="13">
        <f t="shared" si="21"/>
        <v>0.84</v>
      </c>
      <c r="I396" s="11" t="s">
        <v>489</v>
      </c>
    </row>
    <row r="397" spans="1:9" x14ac:dyDescent="0.15">
      <c r="A397" s="7" t="s">
        <v>490</v>
      </c>
      <c r="F397" s="13">
        <f t="shared" si="20"/>
        <v>0</v>
      </c>
      <c r="H397" s="13">
        <f t="shared" si="21"/>
        <v>0</v>
      </c>
    </row>
    <row r="398" spans="1:9" x14ac:dyDescent="0.15">
      <c r="A398" s="7" t="s">
        <v>344</v>
      </c>
      <c r="B398" s="7" t="s">
        <v>307</v>
      </c>
      <c r="C398" s="8">
        <v>2</v>
      </c>
      <c r="D398" s="9">
        <v>4</v>
      </c>
      <c r="E398" s="8">
        <f>0.148*2+0.1*4</f>
        <v>0.69599999999999995</v>
      </c>
      <c r="F398" s="13">
        <f t="shared" si="20"/>
        <v>5.57</v>
      </c>
      <c r="G398" s="21">
        <v>20.25</v>
      </c>
      <c r="H398" s="13">
        <f t="shared" si="21"/>
        <v>0.16</v>
      </c>
      <c r="I398" s="11" t="s">
        <v>491</v>
      </c>
    </row>
    <row r="399" spans="1:9" x14ac:dyDescent="0.15">
      <c r="A399" s="7" t="s">
        <v>346</v>
      </c>
      <c r="B399" s="7" t="s">
        <v>193</v>
      </c>
      <c r="C399" s="8">
        <f>3-0.15</f>
        <v>2.85</v>
      </c>
      <c r="D399" s="9">
        <v>2</v>
      </c>
      <c r="E399" s="8">
        <f>0.194*2+0.15*4</f>
        <v>0.98799999999999999</v>
      </c>
      <c r="F399" s="13">
        <f t="shared" si="20"/>
        <v>5.63</v>
      </c>
      <c r="G399" s="21">
        <v>29.48</v>
      </c>
      <c r="H399" s="13">
        <f t="shared" si="21"/>
        <v>0.17</v>
      </c>
      <c r="I399" s="11" t="s">
        <v>491</v>
      </c>
    </row>
    <row r="400" spans="1:9" x14ac:dyDescent="0.15">
      <c r="A400" s="7" t="s">
        <v>413</v>
      </c>
      <c r="B400" s="7" t="s">
        <v>309</v>
      </c>
      <c r="C400" s="8">
        <f>8-0.15*2</f>
        <v>7.7</v>
      </c>
      <c r="D400" s="9">
        <v>2</v>
      </c>
      <c r="E400" s="8">
        <f>0.294*2+0.2*4</f>
        <v>1.3879999999999999</v>
      </c>
      <c r="F400" s="13">
        <f t="shared" si="20"/>
        <v>21.38</v>
      </c>
      <c r="G400" s="21">
        <v>54.63</v>
      </c>
      <c r="H400" s="13">
        <f t="shared" si="21"/>
        <v>0.84</v>
      </c>
      <c r="I400" s="11" t="s">
        <v>491</v>
      </c>
    </row>
    <row r="401" spans="1:9" x14ac:dyDescent="0.15">
      <c r="A401" s="7" t="s">
        <v>492</v>
      </c>
      <c r="F401" s="13">
        <f t="shared" si="20"/>
        <v>0</v>
      </c>
      <c r="H401" s="13">
        <f t="shared" si="21"/>
        <v>0</v>
      </c>
    </row>
    <row r="402" spans="1:9" x14ac:dyDescent="0.15">
      <c r="A402" s="7" t="s">
        <v>346</v>
      </c>
      <c r="B402" s="7" t="s">
        <v>193</v>
      </c>
      <c r="C402" s="8">
        <f>3-0.15</f>
        <v>2.85</v>
      </c>
      <c r="D402" s="9">
        <v>2</v>
      </c>
      <c r="E402" s="8">
        <f>0.194*2+0.15*4</f>
        <v>0.98799999999999999</v>
      </c>
      <c r="F402" s="13">
        <f t="shared" si="20"/>
        <v>5.63</v>
      </c>
      <c r="G402" s="21">
        <v>29.48</v>
      </c>
      <c r="H402" s="13">
        <f t="shared" si="21"/>
        <v>0.17</v>
      </c>
      <c r="I402" s="11" t="s">
        <v>491</v>
      </c>
    </row>
    <row r="403" spans="1:9" ht="28.5" x14ac:dyDescent="0.15">
      <c r="A403" s="7" t="s">
        <v>493</v>
      </c>
      <c r="F403" s="13">
        <f t="shared" si="20"/>
        <v>0</v>
      </c>
      <c r="H403" s="13">
        <f t="shared" si="21"/>
        <v>0</v>
      </c>
    </row>
    <row r="404" spans="1:9" x14ac:dyDescent="0.15">
      <c r="A404" s="7" t="s">
        <v>479</v>
      </c>
      <c r="B404" s="7" t="s">
        <v>480</v>
      </c>
      <c r="C404" s="8">
        <f>65.15-60.65-0.53</f>
        <v>3.9700000000000069</v>
      </c>
      <c r="D404" s="9">
        <v>2</v>
      </c>
      <c r="E404" s="8">
        <f>0.25*2+0.25*4</f>
        <v>1.5</v>
      </c>
      <c r="F404" s="13">
        <f t="shared" si="20"/>
        <v>11.91</v>
      </c>
      <c r="G404" s="21">
        <v>70.63</v>
      </c>
      <c r="H404" s="13">
        <f t="shared" si="21"/>
        <v>0.56000000000000005</v>
      </c>
      <c r="I404" s="11" t="s">
        <v>484</v>
      </c>
    </row>
    <row r="405" spans="1:9" x14ac:dyDescent="0.15">
      <c r="C405" s="8">
        <f>69.65-65.15</f>
        <v>4.5</v>
      </c>
      <c r="D405" s="9">
        <v>2</v>
      </c>
      <c r="E405" s="8">
        <f>0.25*2+0.25*4</f>
        <v>1.5</v>
      </c>
      <c r="F405" s="13">
        <f t="shared" si="20"/>
        <v>13.5</v>
      </c>
      <c r="G405" s="21">
        <v>70.63</v>
      </c>
      <c r="H405" s="13">
        <f t="shared" si="21"/>
        <v>0.64</v>
      </c>
      <c r="I405" s="11" t="s">
        <v>485</v>
      </c>
    </row>
    <row r="406" spans="1:9" x14ac:dyDescent="0.15">
      <c r="A406" s="7" t="s">
        <v>481</v>
      </c>
      <c r="B406" s="7" t="s">
        <v>482</v>
      </c>
      <c r="C406" s="8">
        <f>68.15-60.65-0.53</f>
        <v>6.9700000000000069</v>
      </c>
      <c r="D406" s="9">
        <v>4</v>
      </c>
      <c r="E406" s="8">
        <f>0.3*2+0.3*4</f>
        <v>1.7999999999999998</v>
      </c>
      <c r="F406" s="13">
        <f t="shared" si="20"/>
        <v>50.18</v>
      </c>
      <c r="G406" s="21">
        <v>91.84</v>
      </c>
      <c r="H406" s="13">
        <f t="shared" si="21"/>
        <v>2.56</v>
      </c>
      <c r="I406" s="11" t="s">
        <v>494</v>
      </c>
    </row>
    <row r="407" spans="1:9" x14ac:dyDescent="0.15">
      <c r="C407" s="8">
        <f>69.65-68.15</f>
        <v>1.5</v>
      </c>
      <c r="D407" s="9">
        <v>4</v>
      </c>
      <c r="E407" s="8">
        <f>0.3*2+0.3*4</f>
        <v>1.7999999999999998</v>
      </c>
      <c r="F407" s="13">
        <f t="shared" si="20"/>
        <v>10.8</v>
      </c>
      <c r="G407" s="21">
        <v>91.84</v>
      </c>
      <c r="H407" s="13">
        <f t="shared" si="21"/>
        <v>0.55000000000000004</v>
      </c>
      <c r="I407" s="11" t="s">
        <v>485</v>
      </c>
    </row>
    <row r="408" spans="1:9" x14ac:dyDescent="0.15">
      <c r="A408" s="7" t="s">
        <v>495</v>
      </c>
      <c r="F408" s="13">
        <f t="shared" si="20"/>
        <v>0</v>
      </c>
      <c r="H408" s="13">
        <f t="shared" si="21"/>
        <v>0</v>
      </c>
    </row>
    <row r="409" spans="1:9" x14ac:dyDescent="0.15">
      <c r="A409" s="7" t="s">
        <v>344</v>
      </c>
      <c r="B409" s="7" t="s">
        <v>307</v>
      </c>
      <c r="C409" s="8">
        <f>3-0.15</f>
        <v>2.85</v>
      </c>
      <c r="D409" s="9">
        <v>2</v>
      </c>
      <c r="E409" s="8">
        <f>0.148*2+0.1*4</f>
        <v>0.69599999999999995</v>
      </c>
      <c r="F409" s="13">
        <f t="shared" si="20"/>
        <v>3.97</v>
      </c>
      <c r="G409" s="21">
        <v>20.25</v>
      </c>
      <c r="H409" s="13">
        <f t="shared" si="21"/>
        <v>0.12</v>
      </c>
      <c r="I409" s="11" t="s">
        <v>496</v>
      </c>
    </row>
    <row r="410" spans="1:9" x14ac:dyDescent="0.15">
      <c r="A410" s="7" t="s">
        <v>497</v>
      </c>
      <c r="F410" s="13">
        <f t="shared" si="20"/>
        <v>0</v>
      </c>
      <c r="H410" s="13">
        <f t="shared" si="21"/>
        <v>0</v>
      </c>
    </row>
    <row r="411" spans="1:9" x14ac:dyDescent="0.15">
      <c r="A411" s="7" t="s">
        <v>346</v>
      </c>
      <c r="B411" s="7" t="s">
        <v>193</v>
      </c>
      <c r="C411" s="8">
        <v>3.5</v>
      </c>
      <c r="D411" s="9">
        <v>1</v>
      </c>
      <c r="E411" s="8">
        <f>0.194*2+0.15*4</f>
        <v>0.98799999999999999</v>
      </c>
      <c r="F411" s="13">
        <f t="shared" si="20"/>
        <v>3.46</v>
      </c>
      <c r="G411" s="21">
        <v>29.48</v>
      </c>
      <c r="H411" s="13">
        <f t="shared" si="21"/>
        <v>0.1</v>
      </c>
      <c r="I411" s="11" t="s">
        <v>498</v>
      </c>
    </row>
    <row r="412" spans="1:9" x14ac:dyDescent="0.15">
      <c r="A412" s="7" t="s">
        <v>499</v>
      </c>
      <c r="F412" s="13">
        <f t="shared" si="20"/>
        <v>0</v>
      </c>
      <c r="H412" s="13">
        <f t="shared" si="21"/>
        <v>0</v>
      </c>
    </row>
    <row r="413" spans="1:9" x14ac:dyDescent="0.15">
      <c r="A413" s="7" t="s">
        <v>344</v>
      </c>
      <c r="B413" s="7" t="s">
        <v>307</v>
      </c>
      <c r="C413" s="8">
        <f>3-0.15</f>
        <v>2.85</v>
      </c>
      <c r="D413" s="9">
        <v>2</v>
      </c>
      <c r="E413" s="8">
        <f>0.148*2+0.1*4</f>
        <v>0.69599999999999995</v>
      </c>
      <c r="F413" s="13">
        <f t="shared" si="20"/>
        <v>3.97</v>
      </c>
      <c r="G413" s="21">
        <v>20.25</v>
      </c>
      <c r="H413" s="13">
        <f t="shared" si="21"/>
        <v>0.12</v>
      </c>
      <c r="I413" s="11" t="s">
        <v>498</v>
      </c>
    </row>
    <row r="414" spans="1:9" x14ac:dyDescent="0.15">
      <c r="A414" s="7" t="s">
        <v>346</v>
      </c>
      <c r="B414" s="7" t="s">
        <v>193</v>
      </c>
      <c r="C414" s="8">
        <v>3.5</v>
      </c>
      <c r="D414" s="9">
        <v>1</v>
      </c>
      <c r="E414" s="8">
        <f>0.194*2+0.15*4</f>
        <v>0.98799999999999999</v>
      </c>
      <c r="F414" s="13">
        <f t="shared" si="20"/>
        <v>3.46</v>
      </c>
      <c r="G414" s="21">
        <v>29.48</v>
      </c>
      <c r="H414" s="13">
        <f t="shared" si="21"/>
        <v>0.1</v>
      </c>
      <c r="I414" s="11" t="s">
        <v>498</v>
      </c>
    </row>
    <row r="415" spans="1:9" x14ac:dyDescent="0.15">
      <c r="C415" s="8">
        <f>3.5-0.125*2</f>
        <v>3.25</v>
      </c>
      <c r="D415" s="9">
        <v>1</v>
      </c>
      <c r="E415" s="8">
        <f>0.194*2+0.15*4</f>
        <v>0.98799999999999999</v>
      </c>
      <c r="F415" s="13">
        <f t="shared" si="20"/>
        <v>3.21</v>
      </c>
      <c r="G415" s="21">
        <v>29.48</v>
      </c>
      <c r="H415" s="13">
        <f t="shared" si="21"/>
        <v>0.1</v>
      </c>
      <c r="I415" s="11" t="s">
        <v>498</v>
      </c>
    </row>
    <row r="416" spans="1:9" x14ac:dyDescent="0.15">
      <c r="A416" s="7" t="s">
        <v>500</v>
      </c>
      <c r="F416" s="13">
        <f t="shared" si="20"/>
        <v>0</v>
      </c>
      <c r="H416" s="13">
        <f t="shared" si="21"/>
        <v>0</v>
      </c>
    </row>
    <row r="417" spans="1:9" x14ac:dyDescent="0.15">
      <c r="A417" s="7" t="s">
        <v>344</v>
      </c>
      <c r="B417" s="7" t="s">
        <v>307</v>
      </c>
      <c r="C417" s="8">
        <f>3-0.15</f>
        <v>2.85</v>
      </c>
      <c r="D417" s="9">
        <v>2</v>
      </c>
      <c r="E417" s="8">
        <f>0.148*2+0.1*4</f>
        <v>0.69599999999999995</v>
      </c>
      <c r="F417" s="13">
        <f t="shared" si="20"/>
        <v>3.97</v>
      </c>
      <c r="G417" s="21">
        <v>20.25</v>
      </c>
      <c r="H417" s="13">
        <f t="shared" si="21"/>
        <v>0.12</v>
      </c>
      <c r="I417" s="11" t="s">
        <v>501</v>
      </c>
    </row>
    <row r="418" spans="1:9" x14ac:dyDescent="0.15">
      <c r="A418" s="7" t="s">
        <v>346</v>
      </c>
      <c r="B418" s="7" t="s">
        <v>193</v>
      </c>
      <c r="C418" s="8">
        <v>3.5</v>
      </c>
      <c r="D418" s="9">
        <v>1</v>
      </c>
      <c r="E418" s="8">
        <f>0.194*2+0.15*4</f>
        <v>0.98799999999999999</v>
      </c>
      <c r="F418" s="13">
        <f t="shared" si="20"/>
        <v>3.46</v>
      </c>
      <c r="G418" s="21">
        <v>29.48</v>
      </c>
      <c r="H418" s="13">
        <f t="shared" si="21"/>
        <v>0.1</v>
      </c>
      <c r="I418" s="11" t="s">
        <v>501</v>
      </c>
    </row>
    <row r="419" spans="1:9" x14ac:dyDescent="0.15">
      <c r="C419" s="8">
        <f>3.5-0.125*2</f>
        <v>3.25</v>
      </c>
      <c r="D419" s="9">
        <v>1</v>
      </c>
      <c r="E419" s="8">
        <f>0.194*2+0.15*4</f>
        <v>0.98799999999999999</v>
      </c>
      <c r="F419" s="13">
        <f t="shared" si="20"/>
        <v>3.21</v>
      </c>
      <c r="G419" s="21">
        <v>29.48</v>
      </c>
      <c r="H419" s="13">
        <f t="shared" si="21"/>
        <v>0.1</v>
      </c>
      <c r="I419" s="11" t="s">
        <v>501</v>
      </c>
    </row>
    <row r="420" spans="1:9" x14ac:dyDescent="0.15">
      <c r="A420" s="7" t="s">
        <v>502</v>
      </c>
      <c r="F420" s="13">
        <f t="shared" si="20"/>
        <v>0</v>
      </c>
      <c r="H420" s="13">
        <f t="shared" si="21"/>
        <v>0</v>
      </c>
    </row>
    <row r="421" spans="1:9" x14ac:dyDescent="0.15">
      <c r="A421" s="7" t="s">
        <v>344</v>
      </c>
      <c r="B421" s="7" t="s">
        <v>307</v>
      </c>
      <c r="C421" s="8">
        <v>3.5</v>
      </c>
      <c r="D421" s="9">
        <v>3</v>
      </c>
      <c r="E421" s="8">
        <f>0.148*2+0.1*4</f>
        <v>0.69599999999999995</v>
      </c>
      <c r="F421" s="13">
        <f t="shared" si="20"/>
        <v>7.31</v>
      </c>
      <c r="G421" s="21">
        <v>20.25</v>
      </c>
      <c r="H421" s="13">
        <f t="shared" si="21"/>
        <v>0.21</v>
      </c>
      <c r="I421" s="11" t="s">
        <v>498</v>
      </c>
    </row>
    <row r="422" spans="1:9" x14ac:dyDescent="0.15">
      <c r="A422" s="7" t="s">
        <v>503</v>
      </c>
      <c r="B422" s="7" t="s">
        <v>193</v>
      </c>
      <c r="C422" s="8">
        <v>3.5</v>
      </c>
      <c r="D422" s="9">
        <v>2</v>
      </c>
      <c r="E422" s="8">
        <f>0.194*2+0.15*4</f>
        <v>0.98799999999999999</v>
      </c>
      <c r="F422" s="13">
        <f t="shared" si="20"/>
        <v>6.92</v>
      </c>
      <c r="G422" s="21">
        <v>29.48</v>
      </c>
      <c r="H422" s="13">
        <f t="shared" si="21"/>
        <v>0.21</v>
      </c>
      <c r="I422" s="11" t="s">
        <v>498</v>
      </c>
    </row>
    <row r="423" spans="1:9" x14ac:dyDescent="0.15">
      <c r="C423" s="8">
        <f>3.5-0.125*2</f>
        <v>3.25</v>
      </c>
      <c r="D423" s="9">
        <v>1</v>
      </c>
      <c r="E423" s="8">
        <f>0.194*2+0.15*4</f>
        <v>0.98799999999999999</v>
      </c>
      <c r="F423" s="13">
        <f t="shared" si="20"/>
        <v>3.21</v>
      </c>
      <c r="G423" s="21">
        <v>29.48</v>
      </c>
      <c r="H423" s="13">
        <f t="shared" si="21"/>
        <v>0.1</v>
      </c>
      <c r="I423" s="11" t="s">
        <v>501</v>
      </c>
    </row>
    <row r="424" spans="1:9" x14ac:dyDescent="0.15">
      <c r="A424" s="7" t="s">
        <v>414</v>
      </c>
      <c r="B424" s="7" t="s">
        <v>222</v>
      </c>
      <c r="C424" s="8">
        <f>8-0.15*2</f>
        <v>7.7</v>
      </c>
      <c r="D424" s="9">
        <v>2</v>
      </c>
      <c r="E424" s="8">
        <f>0.294*2+0.2*4</f>
        <v>1.3879999999999999</v>
      </c>
      <c r="F424" s="13">
        <f t="shared" si="20"/>
        <v>21.38</v>
      </c>
      <c r="G424" s="21">
        <v>54.63</v>
      </c>
      <c r="H424" s="13">
        <f t="shared" si="21"/>
        <v>0.84</v>
      </c>
      <c r="I424" s="11" t="s">
        <v>498</v>
      </c>
    </row>
    <row r="425" spans="1:9" x14ac:dyDescent="0.15">
      <c r="A425" s="7" t="s">
        <v>505</v>
      </c>
      <c r="B425" s="7" t="s">
        <v>506</v>
      </c>
      <c r="C425" s="8">
        <f>1.2-0.15</f>
        <v>1.05</v>
      </c>
      <c r="D425" s="9">
        <f>1*2</f>
        <v>2</v>
      </c>
      <c r="E425" s="8">
        <f>0.194*2+0.15*4</f>
        <v>0.98799999999999999</v>
      </c>
      <c r="F425" s="13">
        <f t="shared" si="20"/>
        <v>2.0699999999999998</v>
      </c>
      <c r="G425" s="21">
        <v>29.48</v>
      </c>
      <c r="H425" s="13">
        <f t="shared" si="21"/>
        <v>0.06</v>
      </c>
      <c r="I425" s="11" t="s">
        <v>498</v>
      </c>
    </row>
    <row r="426" spans="1:9" x14ac:dyDescent="0.15">
      <c r="B426" s="7" t="s">
        <v>508</v>
      </c>
      <c r="C426" s="8">
        <v>0.17599999999999999</v>
      </c>
      <c r="D426" s="9">
        <f>2*2</f>
        <v>4</v>
      </c>
      <c r="E426" s="8">
        <f>0.07*2</f>
        <v>0.14000000000000001</v>
      </c>
      <c r="F426" s="13">
        <f t="shared" si="20"/>
        <v>0.1</v>
      </c>
      <c r="G426" s="21">
        <f>0.07*0.008*7850</f>
        <v>4.3960000000000008</v>
      </c>
      <c r="H426" s="13">
        <f t="shared" si="21"/>
        <v>0</v>
      </c>
      <c r="I426" s="11" t="s">
        <v>498</v>
      </c>
    </row>
    <row r="427" spans="1:9" x14ac:dyDescent="0.15">
      <c r="B427" s="7" t="s">
        <v>510</v>
      </c>
      <c r="C427" s="8">
        <f>(1.2-0.2-0.15)/SIN(60/180*PI())</f>
        <v>0.98149545762236379</v>
      </c>
      <c r="D427" s="9">
        <f>1*2</f>
        <v>2</v>
      </c>
      <c r="E427" s="8">
        <f>0.126*2+0.053*4</f>
        <v>0.46399999999999997</v>
      </c>
      <c r="F427" s="13">
        <f t="shared" si="20"/>
        <v>0.91</v>
      </c>
      <c r="G427" s="21">
        <v>12.4</v>
      </c>
      <c r="H427" s="13">
        <f t="shared" si="21"/>
        <v>0.02</v>
      </c>
      <c r="I427" s="11" t="s">
        <v>498</v>
      </c>
    </row>
    <row r="428" spans="1:9" x14ac:dyDescent="0.15">
      <c r="A428" s="7" t="s">
        <v>511</v>
      </c>
      <c r="F428" s="13">
        <f t="shared" si="20"/>
        <v>0</v>
      </c>
      <c r="H428" s="13">
        <f t="shared" si="21"/>
        <v>0</v>
      </c>
    </row>
    <row r="429" spans="1:9" x14ac:dyDescent="0.15">
      <c r="A429" s="7" t="s">
        <v>344</v>
      </c>
      <c r="B429" s="7" t="s">
        <v>307</v>
      </c>
      <c r="C429" s="8">
        <v>3.5</v>
      </c>
      <c r="D429" s="9">
        <v>3</v>
      </c>
      <c r="E429" s="8">
        <f>0.148*2+0.1*4</f>
        <v>0.69599999999999995</v>
      </c>
      <c r="F429" s="13">
        <f t="shared" si="20"/>
        <v>7.31</v>
      </c>
      <c r="G429" s="21">
        <v>20.25</v>
      </c>
      <c r="H429" s="13">
        <f t="shared" si="21"/>
        <v>0.21</v>
      </c>
      <c r="I429" s="11" t="s">
        <v>512</v>
      </c>
    </row>
    <row r="430" spans="1:9" x14ac:dyDescent="0.15">
      <c r="C430" s="8">
        <f>3-0.15</f>
        <v>2.85</v>
      </c>
      <c r="D430" s="9">
        <v>2</v>
      </c>
      <c r="E430" s="8">
        <f>0.148*2+0.1*4</f>
        <v>0.69599999999999995</v>
      </c>
      <c r="F430" s="13">
        <f t="shared" si="20"/>
        <v>3.97</v>
      </c>
      <c r="G430" s="21">
        <v>20.25</v>
      </c>
      <c r="H430" s="13">
        <f t="shared" si="21"/>
        <v>0.12</v>
      </c>
      <c r="I430" s="11" t="s">
        <v>512</v>
      </c>
    </row>
    <row r="431" spans="1:9" x14ac:dyDescent="0.15">
      <c r="A431" s="7" t="s">
        <v>346</v>
      </c>
      <c r="B431" s="7" t="s">
        <v>193</v>
      </c>
      <c r="C431" s="8">
        <v>3.5</v>
      </c>
      <c r="D431" s="9">
        <v>2</v>
      </c>
      <c r="E431" s="8">
        <f>0.194*2+0.15*4</f>
        <v>0.98799999999999999</v>
      </c>
      <c r="F431" s="13">
        <f t="shared" si="20"/>
        <v>6.92</v>
      </c>
      <c r="G431" s="21">
        <v>29.48</v>
      </c>
      <c r="H431" s="13">
        <f t="shared" si="21"/>
        <v>0.21</v>
      </c>
      <c r="I431" s="11" t="s">
        <v>513</v>
      </c>
    </row>
    <row r="432" spans="1:9" x14ac:dyDescent="0.15">
      <c r="C432" s="8">
        <f>3.5-0.125*2</f>
        <v>3.25</v>
      </c>
      <c r="D432" s="9">
        <v>1</v>
      </c>
      <c r="E432" s="8">
        <f>0.194*2+0.15*4</f>
        <v>0.98799999999999999</v>
      </c>
      <c r="F432" s="13">
        <f t="shared" si="20"/>
        <v>3.21</v>
      </c>
      <c r="G432" s="21">
        <v>29.48</v>
      </c>
      <c r="H432" s="13">
        <f t="shared" si="21"/>
        <v>0.1</v>
      </c>
      <c r="I432" s="11" t="s">
        <v>513</v>
      </c>
    </row>
    <row r="433" spans="1:9" x14ac:dyDescent="0.15">
      <c r="A433" s="7" t="s">
        <v>413</v>
      </c>
      <c r="B433" s="7" t="s">
        <v>309</v>
      </c>
      <c r="C433" s="8">
        <f>8-0.15*2</f>
        <v>7.7</v>
      </c>
      <c r="D433" s="9">
        <v>2</v>
      </c>
      <c r="E433" s="8">
        <f>0.294*2+0.2*4</f>
        <v>1.3879999999999999</v>
      </c>
      <c r="F433" s="13">
        <f t="shared" si="20"/>
        <v>21.38</v>
      </c>
      <c r="G433" s="21">
        <v>54.63</v>
      </c>
      <c r="H433" s="13">
        <f t="shared" si="21"/>
        <v>0.84</v>
      </c>
      <c r="I433" s="11" t="s">
        <v>513</v>
      </c>
    </row>
    <row r="434" spans="1:9" x14ac:dyDescent="0.15">
      <c r="A434" s="7" t="s">
        <v>504</v>
      </c>
      <c r="B434" s="7" t="s">
        <v>193</v>
      </c>
      <c r="C434" s="8">
        <f>1.2-0.15</f>
        <v>1.05</v>
      </c>
      <c r="D434" s="9">
        <f>1*2</f>
        <v>2</v>
      </c>
      <c r="E434" s="8">
        <f>0.194*2+0.15*4</f>
        <v>0.98799999999999999</v>
      </c>
      <c r="F434" s="13">
        <f t="shared" si="20"/>
        <v>2.0699999999999998</v>
      </c>
      <c r="G434" s="21">
        <v>29.48</v>
      </c>
      <c r="H434" s="13">
        <f t="shared" si="21"/>
        <v>0.06</v>
      </c>
      <c r="I434" s="11" t="s">
        <v>513</v>
      </c>
    </row>
    <row r="435" spans="1:9" x14ac:dyDescent="0.15">
      <c r="B435" s="7" t="s">
        <v>507</v>
      </c>
      <c r="C435" s="8">
        <v>0.17599999999999999</v>
      </c>
      <c r="D435" s="9">
        <f>2*2</f>
        <v>4</v>
      </c>
      <c r="E435" s="8">
        <f>0.07*2</f>
        <v>0.14000000000000001</v>
      </c>
      <c r="F435" s="13">
        <f t="shared" si="20"/>
        <v>0.1</v>
      </c>
      <c r="G435" s="21">
        <f>0.07*0.008*7850</f>
        <v>4.3960000000000008</v>
      </c>
      <c r="H435" s="13">
        <f t="shared" si="21"/>
        <v>0</v>
      </c>
      <c r="I435" s="11" t="s">
        <v>513</v>
      </c>
    </row>
    <row r="436" spans="1:9" x14ac:dyDescent="0.15">
      <c r="B436" s="7" t="s">
        <v>509</v>
      </c>
      <c r="C436" s="8">
        <f>(1.2-0.2-0.15)/SIN(60/180*PI())</f>
        <v>0.98149545762236379</v>
      </c>
      <c r="D436" s="9">
        <f>1*2</f>
        <v>2</v>
      </c>
      <c r="E436" s="8">
        <f>0.126*2+0.053*4</f>
        <v>0.46399999999999997</v>
      </c>
      <c r="F436" s="13">
        <f t="shared" si="20"/>
        <v>0.91</v>
      </c>
      <c r="G436" s="21">
        <v>12.4</v>
      </c>
      <c r="H436" s="13">
        <f t="shared" si="21"/>
        <v>0.02</v>
      </c>
      <c r="I436" s="11" t="s">
        <v>513</v>
      </c>
    </row>
    <row r="437" spans="1:9" ht="28.5" x14ac:dyDescent="0.15">
      <c r="A437" s="7" t="s">
        <v>514</v>
      </c>
      <c r="F437" s="13">
        <f t="shared" si="20"/>
        <v>0</v>
      </c>
      <c r="H437" s="13">
        <f t="shared" si="21"/>
        <v>0</v>
      </c>
    </row>
    <row r="438" spans="1:9" x14ac:dyDescent="0.15">
      <c r="A438" s="7" t="s">
        <v>478</v>
      </c>
      <c r="F438" s="13">
        <f t="shared" si="20"/>
        <v>0</v>
      </c>
      <c r="H438" s="13">
        <f t="shared" si="21"/>
        <v>0</v>
      </c>
    </row>
    <row r="439" spans="1:9" x14ac:dyDescent="0.15">
      <c r="A439" s="7" t="s">
        <v>479</v>
      </c>
      <c r="B439" s="7" t="s">
        <v>480</v>
      </c>
      <c r="C439" s="8">
        <f>65.15-60.65-0.53</f>
        <v>3.9700000000000069</v>
      </c>
      <c r="D439" s="9">
        <v>4</v>
      </c>
      <c r="E439" s="8">
        <f>0.25*2+0.25*4</f>
        <v>1.5</v>
      </c>
      <c r="F439" s="13">
        <f t="shared" si="20"/>
        <v>23.82</v>
      </c>
      <c r="G439" s="21">
        <v>70.63</v>
      </c>
      <c r="H439" s="13">
        <f t="shared" si="21"/>
        <v>1.1200000000000001</v>
      </c>
      <c r="I439" s="11" t="s">
        <v>484</v>
      </c>
    </row>
    <row r="440" spans="1:9" x14ac:dyDescent="0.15">
      <c r="C440" s="8">
        <f>66.65-65.15</f>
        <v>1.5</v>
      </c>
      <c r="D440" s="9">
        <v>4</v>
      </c>
      <c r="E440" s="8">
        <f>0.25*2+0.25*4</f>
        <v>1.5</v>
      </c>
      <c r="F440" s="13">
        <f t="shared" si="20"/>
        <v>9</v>
      </c>
      <c r="G440" s="21">
        <v>70.63</v>
      </c>
      <c r="H440" s="13">
        <f t="shared" si="21"/>
        <v>0.42</v>
      </c>
      <c r="I440" s="11" t="s">
        <v>485</v>
      </c>
    </row>
    <row r="441" spans="1:9" x14ac:dyDescent="0.15">
      <c r="A441" s="7" t="s">
        <v>515</v>
      </c>
      <c r="F441" s="13">
        <f t="shared" si="20"/>
        <v>0</v>
      </c>
      <c r="H441" s="13">
        <f t="shared" si="21"/>
        <v>0</v>
      </c>
    </row>
    <row r="442" spans="1:9" x14ac:dyDescent="0.15">
      <c r="A442" s="7" t="s">
        <v>344</v>
      </c>
      <c r="B442" s="7" t="s">
        <v>307</v>
      </c>
      <c r="C442" s="8">
        <v>3</v>
      </c>
      <c r="D442" s="9">
        <v>3</v>
      </c>
      <c r="E442" s="8">
        <f>0.148*2+0.1*4</f>
        <v>0.69599999999999995</v>
      </c>
      <c r="F442" s="13">
        <f t="shared" si="20"/>
        <v>6.26</v>
      </c>
      <c r="G442" s="21">
        <v>20.25</v>
      </c>
      <c r="H442" s="13">
        <f t="shared" si="21"/>
        <v>0.18</v>
      </c>
      <c r="I442" s="11" t="s">
        <v>516</v>
      </c>
    </row>
    <row r="443" spans="1:9" x14ac:dyDescent="0.15">
      <c r="A443" s="7" t="s">
        <v>346</v>
      </c>
      <c r="B443" s="7" t="s">
        <v>193</v>
      </c>
      <c r="C443" s="8">
        <f>3-0.125*2</f>
        <v>2.75</v>
      </c>
      <c r="D443" s="9">
        <v>2</v>
      </c>
      <c r="E443" s="8">
        <f>0.194*2+0.15*4</f>
        <v>0.98799999999999999</v>
      </c>
      <c r="F443" s="13">
        <f t="shared" si="20"/>
        <v>5.43</v>
      </c>
      <c r="G443" s="21">
        <v>29.48</v>
      </c>
      <c r="H443" s="13">
        <f t="shared" si="21"/>
        <v>0.16</v>
      </c>
      <c r="I443" s="11" t="s">
        <v>516</v>
      </c>
    </row>
    <row r="444" spans="1:9" x14ac:dyDescent="0.15">
      <c r="A444" s="7" t="s">
        <v>499</v>
      </c>
      <c r="F444" s="13">
        <f t="shared" si="20"/>
        <v>0</v>
      </c>
      <c r="H444" s="13">
        <f t="shared" si="21"/>
        <v>0</v>
      </c>
    </row>
    <row r="445" spans="1:9" x14ac:dyDescent="0.15">
      <c r="A445" s="7" t="s">
        <v>344</v>
      </c>
      <c r="B445" s="7" t="s">
        <v>307</v>
      </c>
      <c r="C445" s="8">
        <v>3</v>
      </c>
      <c r="D445" s="9">
        <v>3</v>
      </c>
      <c r="E445" s="8">
        <f>0.148*2+0.1*4</f>
        <v>0.69599999999999995</v>
      </c>
      <c r="F445" s="13">
        <f t="shared" si="20"/>
        <v>6.26</v>
      </c>
      <c r="G445" s="21">
        <v>20.25</v>
      </c>
      <c r="H445" s="13">
        <f t="shared" si="21"/>
        <v>0.18</v>
      </c>
      <c r="I445" s="11" t="s">
        <v>407</v>
      </c>
    </row>
    <row r="446" spans="1:9" x14ac:dyDescent="0.15">
      <c r="A446" s="7" t="s">
        <v>346</v>
      </c>
      <c r="B446" s="7" t="s">
        <v>193</v>
      </c>
      <c r="C446" s="8">
        <f>3-0.125*2</f>
        <v>2.75</v>
      </c>
      <c r="D446" s="9">
        <v>2</v>
      </c>
      <c r="E446" s="8">
        <f>0.194*2+0.15*4</f>
        <v>0.98799999999999999</v>
      </c>
      <c r="F446" s="13">
        <f t="shared" si="20"/>
        <v>5.43</v>
      </c>
      <c r="G446" s="21">
        <v>29.48</v>
      </c>
      <c r="H446" s="13">
        <f t="shared" si="21"/>
        <v>0.16</v>
      </c>
      <c r="I446" s="11" t="s">
        <v>407</v>
      </c>
    </row>
    <row r="447" spans="1:9" x14ac:dyDescent="0.15">
      <c r="A447" s="7" t="s">
        <v>517</v>
      </c>
      <c r="F447" s="13">
        <f t="shared" si="20"/>
        <v>0</v>
      </c>
      <c r="H447" s="13">
        <f t="shared" si="21"/>
        <v>0</v>
      </c>
    </row>
    <row r="448" spans="1:9" x14ac:dyDescent="0.15">
      <c r="A448" s="7" t="s">
        <v>344</v>
      </c>
      <c r="B448" s="7" t="s">
        <v>307</v>
      </c>
      <c r="C448" s="8">
        <v>3</v>
      </c>
      <c r="D448" s="9">
        <v>3</v>
      </c>
      <c r="E448" s="8">
        <f>0.148*2+0.1*4</f>
        <v>0.69599999999999995</v>
      </c>
      <c r="F448" s="13">
        <f t="shared" si="20"/>
        <v>6.26</v>
      </c>
      <c r="G448" s="21">
        <v>20.25</v>
      </c>
      <c r="H448" s="13">
        <f t="shared" si="21"/>
        <v>0.18</v>
      </c>
      <c r="I448" s="11" t="s">
        <v>518</v>
      </c>
    </row>
    <row r="449" spans="1:9" x14ac:dyDescent="0.15">
      <c r="A449" s="7" t="s">
        <v>346</v>
      </c>
      <c r="B449" s="7" t="s">
        <v>193</v>
      </c>
      <c r="C449" s="8">
        <f>3-0.125*2</f>
        <v>2.75</v>
      </c>
      <c r="D449" s="9">
        <v>2</v>
      </c>
      <c r="E449" s="8">
        <f>0.194*2+0.15*4</f>
        <v>0.98799999999999999</v>
      </c>
      <c r="F449" s="13">
        <f t="shared" si="20"/>
        <v>5.43</v>
      </c>
      <c r="G449" s="21">
        <v>29.48</v>
      </c>
      <c r="H449" s="13">
        <f t="shared" si="21"/>
        <v>0.16</v>
      </c>
      <c r="I449" s="11" t="s">
        <v>518</v>
      </c>
    </row>
    <row r="450" spans="1:9" ht="28.5" x14ac:dyDescent="0.15">
      <c r="A450" s="7" t="s">
        <v>519</v>
      </c>
      <c r="F450" s="13">
        <f t="shared" ref="F450:F513" si="22">ROUND(PRODUCT($C450:$E450),2)</f>
        <v>0</v>
      </c>
      <c r="H450" s="13">
        <f t="shared" ref="H450:H513" si="23">ROUND(PRODUCT($C450:$D450,$G450)*0.001,2)</f>
        <v>0</v>
      </c>
    </row>
    <row r="451" spans="1:9" x14ac:dyDescent="0.15">
      <c r="A451" s="7" t="s">
        <v>479</v>
      </c>
      <c r="B451" s="7" t="s">
        <v>480</v>
      </c>
      <c r="C451" s="8">
        <f>65.15-60.65-0.53</f>
        <v>3.9700000000000069</v>
      </c>
      <c r="D451" s="9">
        <v>2</v>
      </c>
      <c r="E451" s="8">
        <f>0.25*2+0.25*4</f>
        <v>1.5</v>
      </c>
      <c r="F451" s="13">
        <f t="shared" si="22"/>
        <v>11.91</v>
      </c>
      <c r="G451" s="21">
        <v>70.63</v>
      </c>
      <c r="H451" s="13">
        <f t="shared" si="23"/>
        <v>0.56000000000000005</v>
      </c>
      <c r="I451" s="11" t="s">
        <v>484</v>
      </c>
    </row>
    <row r="452" spans="1:9" x14ac:dyDescent="0.15">
      <c r="C452" s="8">
        <f>66.65-65.15</f>
        <v>1.5</v>
      </c>
      <c r="D452" s="9">
        <v>2</v>
      </c>
      <c r="E452" s="8">
        <f>0.25*2+0.25*4</f>
        <v>1.5</v>
      </c>
      <c r="F452" s="13">
        <f t="shared" si="22"/>
        <v>4.5</v>
      </c>
      <c r="G452" s="21">
        <v>70.63</v>
      </c>
      <c r="H452" s="13">
        <f t="shared" si="23"/>
        <v>0.21</v>
      </c>
      <c r="I452" s="11" t="s">
        <v>485</v>
      </c>
    </row>
    <row r="453" spans="1:9" x14ac:dyDescent="0.15">
      <c r="A453" s="7" t="s">
        <v>481</v>
      </c>
      <c r="B453" s="7" t="s">
        <v>482</v>
      </c>
      <c r="C453" s="8">
        <f>65.15-60.65-0.53</f>
        <v>3.9700000000000069</v>
      </c>
      <c r="D453" s="9">
        <v>4</v>
      </c>
      <c r="E453" s="8">
        <f>0.3*2+0.3*4</f>
        <v>1.7999999999999998</v>
      </c>
      <c r="F453" s="13">
        <f t="shared" si="22"/>
        <v>28.58</v>
      </c>
      <c r="G453" s="21">
        <v>91.84</v>
      </c>
      <c r="H453" s="13">
        <f t="shared" si="23"/>
        <v>1.46</v>
      </c>
      <c r="I453" s="11" t="s">
        <v>484</v>
      </c>
    </row>
    <row r="454" spans="1:9" x14ac:dyDescent="0.15">
      <c r="C454" s="8">
        <f>66.65-65.15</f>
        <v>1.5</v>
      </c>
      <c r="D454" s="9">
        <v>4</v>
      </c>
      <c r="E454" s="8">
        <f>0.3*2+0.3*4</f>
        <v>1.7999999999999998</v>
      </c>
      <c r="F454" s="13">
        <f t="shared" si="22"/>
        <v>10.8</v>
      </c>
      <c r="G454" s="21">
        <v>91.84</v>
      </c>
      <c r="H454" s="13">
        <f t="shared" si="23"/>
        <v>0.55000000000000004</v>
      </c>
      <c r="I454" s="11" t="s">
        <v>485</v>
      </c>
    </row>
    <row r="455" spans="1:9" x14ac:dyDescent="0.15">
      <c r="A455" s="7" t="s">
        <v>520</v>
      </c>
      <c r="B455" s="7" t="s">
        <v>521</v>
      </c>
      <c r="C455" s="8">
        <f>((3-0.15*2)^2+(3-0.53)^2)^0.5</f>
        <v>3.6593578671674076</v>
      </c>
      <c r="D455" s="9">
        <v>4</v>
      </c>
      <c r="E455" s="8">
        <f>0.09*6</f>
        <v>0.54</v>
      </c>
      <c r="F455" s="13">
        <f t="shared" si="22"/>
        <v>7.9</v>
      </c>
      <c r="G455" s="21">
        <f>8.35*2</f>
        <v>16.7</v>
      </c>
      <c r="H455" s="13">
        <f t="shared" si="23"/>
        <v>0.24</v>
      </c>
      <c r="I455" s="11" t="s">
        <v>522</v>
      </c>
    </row>
    <row r="456" spans="1:9" x14ac:dyDescent="0.15">
      <c r="C456" s="8">
        <f>(1.5^2+1.5^2)^0.5</f>
        <v>2.1213203435596424</v>
      </c>
      <c r="D456" s="9">
        <v>4</v>
      </c>
      <c r="E456" s="8">
        <f>0.09*6</f>
        <v>0.54</v>
      </c>
      <c r="F456" s="13">
        <f t="shared" si="22"/>
        <v>4.58</v>
      </c>
      <c r="G456" s="21">
        <f t="shared" ref="G456:G457" si="24">8.35*2</f>
        <v>16.7</v>
      </c>
      <c r="H456" s="13">
        <f t="shared" si="23"/>
        <v>0.14000000000000001</v>
      </c>
      <c r="I456" s="11" t="s">
        <v>522</v>
      </c>
    </row>
    <row r="457" spans="1:9" x14ac:dyDescent="0.15">
      <c r="C457" s="8">
        <f>(1.5^2+1.5^2)^0.5</f>
        <v>2.1213203435596424</v>
      </c>
      <c r="D457" s="9">
        <v>4</v>
      </c>
      <c r="E457" s="8">
        <f>0.09*6</f>
        <v>0.54</v>
      </c>
      <c r="F457" s="13">
        <f t="shared" si="22"/>
        <v>4.58</v>
      </c>
      <c r="G457" s="21">
        <f t="shared" si="24"/>
        <v>16.7</v>
      </c>
      <c r="H457" s="13">
        <f t="shared" si="23"/>
        <v>0.14000000000000001</v>
      </c>
      <c r="I457" s="11" t="s">
        <v>523</v>
      </c>
    </row>
    <row r="458" spans="1:9" x14ac:dyDescent="0.15">
      <c r="A458" s="7" t="s">
        <v>515</v>
      </c>
      <c r="F458" s="13">
        <f t="shared" si="22"/>
        <v>0</v>
      </c>
      <c r="H458" s="13">
        <f t="shared" si="23"/>
        <v>0</v>
      </c>
    </row>
    <row r="459" spans="1:9" x14ac:dyDescent="0.15">
      <c r="A459" s="7" t="s">
        <v>344</v>
      </c>
      <c r="B459" s="7" t="s">
        <v>307</v>
      </c>
      <c r="C459" s="8">
        <v>3</v>
      </c>
      <c r="D459" s="9">
        <v>3</v>
      </c>
      <c r="E459" s="8">
        <f>0.148*2+0.1*4</f>
        <v>0.69599999999999995</v>
      </c>
      <c r="F459" s="13">
        <f t="shared" si="22"/>
        <v>6.26</v>
      </c>
      <c r="G459" s="21">
        <v>20.25</v>
      </c>
      <c r="H459" s="13">
        <f t="shared" si="23"/>
        <v>0.18</v>
      </c>
      <c r="I459" s="11" t="s">
        <v>496</v>
      </c>
    </row>
    <row r="460" spans="1:9" x14ac:dyDescent="0.15">
      <c r="A460" s="7" t="s">
        <v>346</v>
      </c>
      <c r="B460" s="7" t="s">
        <v>193</v>
      </c>
      <c r="C460" s="8">
        <v>3</v>
      </c>
      <c r="D460" s="9">
        <v>2</v>
      </c>
      <c r="E460" s="8">
        <f>0.194*2+0.15*4</f>
        <v>0.98799999999999999</v>
      </c>
      <c r="F460" s="13">
        <f t="shared" si="22"/>
        <v>5.93</v>
      </c>
      <c r="G460" s="21">
        <v>29.48</v>
      </c>
      <c r="H460" s="13">
        <f t="shared" si="23"/>
        <v>0.18</v>
      </c>
      <c r="I460" s="11" t="s">
        <v>496</v>
      </c>
    </row>
    <row r="461" spans="1:9" x14ac:dyDescent="0.15">
      <c r="C461" s="8">
        <f>5-0.125-0.15</f>
        <v>4.7249999999999996</v>
      </c>
      <c r="D461" s="9">
        <v>2</v>
      </c>
      <c r="E461" s="8">
        <f>0.194*2+0.15*4</f>
        <v>0.98799999999999999</v>
      </c>
      <c r="F461" s="13">
        <f t="shared" si="22"/>
        <v>9.34</v>
      </c>
      <c r="G461" s="21">
        <v>29.48</v>
      </c>
      <c r="H461" s="13">
        <f t="shared" si="23"/>
        <v>0.28000000000000003</v>
      </c>
      <c r="I461" s="11" t="s">
        <v>496</v>
      </c>
    </row>
    <row r="462" spans="1:9" x14ac:dyDescent="0.15">
      <c r="C462" s="8">
        <f>3-0.15*2</f>
        <v>2.7</v>
      </c>
      <c r="D462" s="9">
        <v>2</v>
      </c>
      <c r="E462" s="8">
        <f>0.194*2+0.15*4</f>
        <v>0.98799999999999999</v>
      </c>
      <c r="F462" s="13">
        <f t="shared" si="22"/>
        <v>5.34</v>
      </c>
      <c r="G462" s="21">
        <v>29.48</v>
      </c>
      <c r="H462" s="13">
        <f t="shared" si="23"/>
        <v>0.16</v>
      </c>
      <c r="I462" s="11" t="s">
        <v>496</v>
      </c>
    </row>
    <row r="463" spans="1:9" x14ac:dyDescent="0.15">
      <c r="A463" s="7" t="s">
        <v>428</v>
      </c>
      <c r="B463" s="7" t="s">
        <v>58</v>
      </c>
      <c r="C463" s="8">
        <f>(3^2+1.5^2)^0.5</f>
        <v>3.3541019662496847</v>
      </c>
      <c r="D463" s="9">
        <v>4</v>
      </c>
      <c r="E463" s="8">
        <f>0.09*4</f>
        <v>0.36</v>
      </c>
      <c r="F463" s="13">
        <f t="shared" si="22"/>
        <v>4.83</v>
      </c>
      <c r="G463" s="21">
        <v>8.35</v>
      </c>
      <c r="H463" s="13">
        <f t="shared" si="23"/>
        <v>0.11</v>
      </c>
      <c r="I463" s="11" t="s">
        <v>496</v>
      </c>
    </row>
    <row r="464" spans="1:9" x14ac:dyDescent="0.15">
      <c r="B464" s="7" t="s">
        <v>358</v>
      </c>
      <c r="C464" s="8">
        <v>3</v>
      </c>
      <c r="D464" s="9">
        <v>1</v>
      </c>
      <c r="E464" s="8">
        <f>0.14*2+0.08*4</f>
        <v>0.60000000000000009</v>
      </c>
      <c r="F464" s="13">
        <f t="shared" si="22"/>
        <v>1.8</v>
      </c>
      <c r="G464" s="21">
        <v>16.899999999999999</v>
      </c>
      <c r="H464" s="13">
        <f t="shared" si="23"/>
        <v>0.05</v>
      </c>
      <c r="I464" s="11" t="s">
        <v>496</v>
      </c>
    </row>
    <row r="465" spans="1:9" x14ac:dyDescent="0.15">
      <c r="A465" s="7" t="s">
        <v>499</v>
      </c>
      <c r="F465" s="13">
        <f t="shared" si="22"/>
        <v>0</v>
      </c>
      <c r="H465" s="13">
        <f t="shared" si="23"/>
        <v>0</v>
      </c>
    </row>
    <row r="466" spans="1:9" x14ac:dyDescent="0.15">
      <c r="A466" s="7" t="s">
        <v>344</v>
      </c>
      <c r="B466" s="7" t="s">
        <v>307</v>
      </c>
      <c r="C466" s="8">
        <v>3</v>
      </c>
      <c r="D466" s="9">
        <v>3</v>
      </c>
      <c r="E466" s="8">
        <f>0.148*2+0.1*4</f>
        <v>0.69599999999999995</v>
      </c>
      <c r="F466" s="13">
        <f t="shared" si="22"/>
        <v>6.26</v>
      </c>
      <c r="G466" s="21">
        <v>20.25</v>
      </c>
      <c r="H466" s="13">
        <f t="shared" si="23"/>
        <v>0.18</v>
      </c>
      <c r="I466" s="11" t="s">
        <v>407</v>
      </c>
    </row>
    <row r="467" spans="1:9" x14ac:dyDescent="0.15">
      <c r="A467" s="7" t="s">
        <v>346</v>
      </c>
      <c r="B467" s="7" t="s">
        <v>193</v>
      </c>
      <c r="C467" s="8">
        <v>3</v>
      </c>
      <c r="D467" s="9">
        <v>2</v>
      </c>
      <c r="E467" s="8">
        <f>0.194*2+0.15*4</f>
        <v>0.98799999999999999</v>
      </c>
      <c r="F467" s="13">
        <f t="shared" si="22"/>
        <v>5.93</v>
      </c>
      <c r="G467" s="21">
        <v>29.48</v>
      </c>
      <c r="H467" s="13">
        <f t="shared" si="23"/>
        <v>0.18</v>
      </c>
      <c r="I467" s="11" t="s">
        <v>407</v>
      </c>
    </row>
    <row r="468" spans="1:9" x14ac:dyDescent="0.15">
      <c r="C468" s="8">
        <f>5-0.125-0.15</f>
        <v>4.7249999999999996</v>
      </c>
      <c r="D468" s="9">
        <v>2</v>
      </c>
      <c r="E468" s="8">
        <f>0.194*2+0.15*4</f>
        <v>0.98799999999999999</v>
      </c>
      <c r="F468" s="13">
        <f t="shared" si="22"/>
        <v>9.34</v>
      </c>
      <c r="G468" s="21">
        <v>29.48</v>
      </c>
      <c r="H468" s="13">
        <f t="shared" si="23"/>
        <v>0.28000000000000003</v>
      </c>
      <c r="I468" s="11" t="s">
        <v>407</v>
      </c>
    </row>
    <row r="469" spans="1:9" x14ac:dyDescent="0.15">
      <c r="C469" s="8">
        <f>3-0.15*2</f>
        <v>2.7</v>
      </c>
      <c r="D469" s="9">
        <v>2</v>
      </c>
      <c r="E469" s="8">
        <f>0.194*2+0.15*4</f>
        <v>0.98799999999999999</v>
      </c>
      <c r="F469" s="13">
        <f t="shared" si="22"/>
        <v>5.34</v>
      </c>
      <c r="G469" s="21">
        <v>29.48</v>
      </c>
      <c r="H469" s="13">
        <f t="shared" si="23"/>
        <v>0.16</v>
      </c>
      <c r="I469" s="11" t="s">
        <v>407</v>
      </c>
    </row>
    <row r="470" spans="1:9" x14ac:dyDescent="0.15">
      <c r="A470" s="7" t="s">
        <v>428</v>
      </c>
      <c r="B470" s="7" t="s">
        <v>58</v>
      </c>
      <c r="C470" s="8">
        <f>(3^2+1.5^2)^0.5</f>
        <v>3.3541019662496847</v>
      </c>
      <c r="D470" s="9">
        <v>4</v>
      </c>
      <c r="E470" s="8">
        <f>0.09*4</f>
        <v>0.36</v>
      </c>
      <c r="F470" s="13">
        <f t="shared" si="22"/>
        <v>4.83</v>
      </c>
      <c r="G470" s="21">
        <v>8.35</v>
      </c>
      <c r="H470" s="13">
        <f t="shared" si="23"/>
        <v>0.11</v>
      </c>
      <c r="I470" s="11" t="s">
        <v>407</v>
      </c>
    </row>
    <row r="471" spans="1:9" x14ac:dyDescent="0.15">
      <c r="B471" s="7" t="s">
        <v>358</v>
      </c>
      <c r="C471" s="8">
        <v>3</v>
      </c>
      <c r="D471" s="9">
        <v>1</v>
      </c>
      <c r="E471" s="8">
        <f>0.14*2+0.08*4</f>
        <v>0.60000000000000009</v>
      </c>
      <c r="F471" s="13">
        <f t="shared" si="22"/>
        <v>1.8</v>
      </c>
      <c r="G471" s="21">
        <v>16.899999999999999</v>
      </c>
      <c r="H471" s="13">
        <f t="shared" si="23"/>
        <v>0.05</v>
      </c>
      <c r="I471" s="11" t="s">
        <v>407</v>
      </c>
    </row>
    <row r="472" spans="1:9" x14ac:dyDescent="0.15">
      <c r="A472" s="7" t="s">
        <v>500</v>
      </c>
      <c r="F472" s="13">
        <f t="shared" si="22"/>
        <v>0</v>
      </c>
      <c r="H472" s="13">
        <f t="shared" si="23"/>
        <v>0</v>
      </c>
    </row>
    <row r="473" spans="1:9" x14ac:dyDescent="0.15">
      <c r="A473" s="7" t="s">
        <v>344</v>
      </c>
      <c r="B473" s="7" t="s">
        <v>307</v>
      </c>
      <c r="C473" s="8">
        <v>3</v>
      </c>
      <c r="D473" s="9">
        <v>3</v>
      </c>
      <c r="E473" s="8">
        <f>0.148*2+0.1*4</f>
        <v>0.69599999999999995</v>
      </c>
      <c r="F473" s="13">
        <f t="shared" si="22"/>
        <v>6.26</v>
      </c>
      <c r="G473" s="21">
        <v>20.25</v>
      </c>
      <c r="H473" s="13">
        <f t="shared" si="23"/>
        <v>0.18</v>
      </c>
      <c r="I473" s="11" t="s">
        <v>491</v>
      </c>
    </row>
    <row r="474" spans="1:9" x14ac:dyDescent="0.15">
      <c r="A474" s="7" t="s">
        <v>346</v>
      </c>
      <c r="B474" s="7" t="s">
        <v>193</v>
      </c>
      <c r="C474" s="8">
        <v>3</v>
      </c>
      <c r="D474" s="9">
        <v>2</v>
      </c>
      <c r="E474" s="8">
        <f>0.194*2+0.15*4</f>
        <v>0.98799999999999999</v>
      </c>
      <c r="F474" s="13">
        <f t="shared" si="22"/>
        <v>5.93</v>
      </c>
      <c r="G474" s="21">
        <v>29.48</v>
      </c>
      <c r="H474" s="13">
        <f t="shared" si="23"/>
        <v>0.18</v>
      </c>
      <c r="I474" s="11" t="s">
        <v>491</v>
      </c>
    </row>
    <row r="475" spans="1:9" x14ac:dyDescent="0.15">
      <c r="C475" s="8">
        <f>5-0.125-0.15</f>
        <v>4.7249999999999996</v>
      </c>
      <c r="D475" s="9">
        <v>2</v>
      </c>
      <c r="E475" s="8">
        <f>0.194*2+0.15*4</f>
        <v>0.98799999999999999</v>
      </c>
      <c r="F475" s="13">
        <f t="shared" si="22"/>
        <v>9.34</v>
      </c>
      <c r="G475" s="21">
        <v>29.48</v>
      </c>
      <c r="H475" s="13">
        <f t="shared" si="23"/>
        <v>0.28000000000000003</v>
      </c>
      <c r="I475" s="11" t="s">
        <v>491</v>
      </c>
    </row>
    <row r="476" spans="1:9" x14ac:dyDescent="0.15">
      <c r="C476" s="8">
        <f>3-0.15*2</f>
        <v>2.7</v>
      </c>
      <c r="D476" s="9">
        <v>2</v>
      </c>
      <c r="E476" s="8">
        <f>0.194*2+0.15*4</f>
        <v>0.98799999999999999</v>
      </c>
      <c r="F476" s="13">
        <f t="shared" si="22"/>
        <v>5.34</v>
      </c>
      <c r="G476" s="21">
        <v>29.48</v>
      </c>
      <c r="H476" s="13">
        <f t="shared" si="23"/>
        <v>0.16</v>
      </c>
      <c r="I476" s="11" t="s">
        <v>491</v>
      </c>
    </row>
    <row r="477" spans="1:9" x14ac:dyDescent="0.15">
      <c r="A477" s="7" t="s">
        <v>428</v>
      </c>
      <c r="B477" s="7" t="s">
        <v>58</v>
      </c>
      <c r="C477" s="8">
        <f>(3^2+1.5^2)^0.5</f>
        <v>3.3541019662496847</v>
      </c>
      <c r="D477" s="9">
        <v>4</v>
      </c>
      <c r="E477" s="8">
        <f>0.09*4</f>
        <v>0.36</v>
      </c>
      <c r="F477" s="13">
        <f t="shared" si="22"/>
        <v>4.83</v>
      </c>
      <c r="G477" s="21">
        <v>8.35</v>
      </c>
      <c r="H477" s="13">
        <f t="shared" si="23"/>
        <v>0.11</v>
      </c>
      <c r="I477" s="11" t="s">
        <v>491</v>
      </c>
    </row>
    <row r="478" spans="1:9" x14ac:dyDescent="0.15">
      <c r="B478" s="7" t="s">
        <v>358</v>
      </c>
      <c r="C478" s="8">
        <v>3</v>
      </c>
      <c r="D478" s="9">
        <v>1</v>
      </c>
      <c r="E478" s="8">
        <f>0.14*2+0.08*4</f>
        <v>0.60000000000000009</v>
      </c>
      <c r="F478" s="13">
        <f t="shared" si="22"/>
        <v>1.8</v>
      </c>
      <c r="G478" s="21">
        <v>16.899999999999999</v>
      </c>
      <c r="H478" s="13">
        <f t="shared" si="23"/>
        <v>0.05</v>
      </c>
      <c r="I478" s="11" t="s">
        <v>491</v>
      </c>
    </row>
    <row r="479" spans="1:9" ht="28.5" x14ac:dyDescent="0.15">
      <c r="A479" s="7" t="s">
        <v>524</v>
      </c>
      <c r="F479" s="13">
        <f t="shared" si="22"/>
        <v>0</v>
      </c>
      <c r="H479" s="13">
        <f t="shared" si="23"/>
        <v>0</v>
      </c>
    </row>
    <row r="480" spans="1:9" x14ac:dyDescent="0.15">
      <c r="A480" s="7" t="s">
        <v>478</v>
      </c>
      <c r="F480" s="13">
        <f t="shared" si="22"/>
        <v>0</v>
      </c>
      <c r="H480" s="13">
        <f t="shared" si="23"/>
        <v>0</v>
      </c>
    </row>
    <row r="481" spans="1:9" x14ac:dyDescent="0.15">
      <c r="A481" s="7" t="s">
        <v>525</v>
      </c>
      <c r="B481" s="7" t="s">
        <v>526</v>
      </c>
      <c r="C481" s="8">
        <f>4.5-0.53</f>
        <v>3.9699999999999998</v>
      </c>
      <c r="D481" s="9">
        <v>3</v>
      </c>
      <c r="E481" s="8">
        <f>0.2*2+0.2*4</f>
        <v>1.2000000000000002</v>
      </c>
      <c r="F481" s="13">
        <f t="shared" si="22"/>
        <v>14.29</v>
      </c>
      <c r="G481" s="21">
        <v>48.73</v>
      </c>
      <c r="H481" s="13">
        <f t="shared" si="23"/>
        <v>0.57999999999999996</v>
      </c>
      <c r="I481" s="11" t="s">
        <v>484</v>
      </c>
    </row>
    <row r="482" spans="1:9" x14ac:dyDescent="0.15">
      <c r="C482" s="8">
        <f>67-60.48-4.5</f>
        <v>2.0200000000000031</v>
      </c>
      <c r="D482" s="9">
        <v>3</v>
      </c>
      <c r="E482" s="8">
        <f>0.2*2+0.2*4</f>
        <v>1.2000000000000002</v>
      </c>
      <c r="F482" s="13">
        <f t="shared" si="22"/>
        <v>7.27</v>
      </c>
      <c r="G482" s="21">
        <v>48.73</v>
      </c>
      <c r="H482" s="13">
        <f t="shared" si="23"/>
        <v>0.3</v>
      </c>
      <c r="I482" s="11" t="s">
        <v>485</v>
      </c>
    </row>
    <row r="483" spans="1:9" x14ac:dyDescent="0.15">
      <c r="A483" s="7" t="s">
        <v>527</v>
      </c>
      <c r="F483" s="13">
        <f t="shared" si="22"/>
        <v>0</v>
      </c>
      <c r="H483" s="13">
        <f t="shared" si="23"/>
        <v>0</v>
      </c>
    </row>
    <row r="484" spans="1:9" x14ac:dyDescent="0.15">
      <c r="A484" s="7" t="s">
        <v>344</v>
      </c>
      <c r="B484" s="7" t="s">
        <v>307</v>
      </c>
      <c r="C484" s="8">
        <v>3</v>
      </c>
      <c r="D484" s="9">
        <v>1</v>
      </c>
      <c r="E484" s="8">
        <f>0.148*2+0.1*4</f>
        <v>0.69599999999999995</v>
      </c>
      <c r="F484" s="13">
        <f t="shared" si="22"/>
        <v>2.09</v>
      </c>
      <c r="G484" s="21">
        <v>20.25</v>
      </c>
      <c r="H484" s="13">
        <f t="shared" si="23"/>
        <v>0.06</v>
      </c>
      <c r="I484" s="11" t="s">
        <v>496</v>
      </c>
    </row>
    <row r="485" spans="1:9" x14ac:dyDescent="0.15">
      <c r="C485" s="8">
        <f>3-0.1</f>
        <v>2.9</v>
      </c>
      <c r="D485" s="9">
        <v>1</v>
      </c>
      <c r="E485" s="8">
        <f>0.148*2+0.1*4</f>
        <v>0.69599999999999995</v>
      </c>
      <c r="F485" s="13">
        <f t="shared" si="22"/>
        <v>2.02</v>
      </c>
      <c r="G485" s="21">
        <v>20.25</v>
      </c>
      <c r="H485" s="13">
        <f t="shared" si="23"/>
        <v>0.06</v>
      </c>
      <c r="I485" s="11" t="s">
        <v>496</v>
      </c>
    </row>
    <row r="486" spans="1:9" x14ac:dyDescent="0.15">
      <c r="A486" s="7" t="s">
        <v>528</v>
      </c>
      <c r="F486" s="13">
        <f t="shared" si="22"/>
        <v>0</v>
      </c>
      <c r="H486" s="13">
        <f t="shared" si="23"/>
        <v>0</v>
      </c>
    </row>
    <row r="487" spans="1:9" x14ac:dyDescent="0.15">
      <c r="A487" s="7" t="s">
        <v>346</v>
      </c>
      <c r="B487" s="7" t="s">
        <v>193</v>
      </c>
      <c r="C487" s="8">
        <v>3</v>
      </c>
      <c r="D487" s="9">
        <v>1</v>
      </c>
      <c r="E487" s="8">
        <f>0.194*2+0.15*4</f>
        <v>0.98799999999999999</v>
      </c>
      <c r="F487" s="13">
        <f t="shared" si="22"/>
        <v>2.96</v>
      </c>
      <c r="G487" s="21">
        <v>29.48</v>
      </c>
      <c r="H487" s="13">
        <f t="shared" si="23"/>
        <v>0.09</v>
      </c>
      <c r="I487" s="11" t="s">
        <v>491</v>
      </c>
    </row>
    <row r="488" spans="1:9" x14ac:dyDescent="0.15">
      <c r="C488" s="8">
        <f>3-0.1</f>
        <v>2.9</v>
      </c>
      <c r="D488" s="9">
        <v>1</v>
      </c>
      <c r="E488" s="8">
        <f>0.194*2+0.15*4</f>
        <v>0.98799999999999999</v>
      </c>
      <c r="F488" s="13">
        <f t="shared" si="22"/>
        <v>2.87</v>
      </c>
      <c r="G488" s="21">
        <v>29.48</v>
      </c>
      <c r="H488" s="13">
        <f t="shared" si="23"/>
        <v>0.09</v>
      </c>
      <c r="I488" s="11" t="s">
        <v>491</v>
      </c>
    </row>
    <row r="489" spans="1:9" x14ac:dyDescent="0.15">
      <c r="C489" s="8">
        <f>(2.5^2+2.5^2)^0.5</f>
        <v>3.5355339059327378</v>
      </c>
      <c r="D489" s="9">
        <v>1</v>
      </c>
      <c r="E489" s="8">
        <f>0.194*2+0.15*4</f>
        <v>0.98799999999999999</v>
      </c>
      <c r="F489" s="13">
        <f t="shared" si="22"/>
        <v>3.49</v>
      </c>
      <c r="G489" s="21">
        <v>29.48</v>
      </c>
      <c r="H489" s="13">
        <f t="shared" si="23"/>
        <v>0.1</v>
      </c>
      <c r="I489" s="11" t="s">
        <v>491</v>
      </c>
    </row>
    <row r="490" spans="1:9" ht="28.5" x14ac:dyDescent="0.15">
      <c r="A490" s="7" t="s">
        <v>529</v>
      </c>
      <c r="F490" s="13">
        <f t="shared" si="22"/>
        <v>0</v>
      </c>
      <c r="H490" s="13">
        <f t="shared" si="23"/>
        <v>0</v>
      </c>
    </row>
    <row r="491" spans="1:9" x14ac:dyDescent="0.15">
      <c r="A491" s="7" t="s">
        <v>478</v>
      </c>
      <c r="F491" s="13">
        <f t="shared" si="22"/>
        <v>0</v>
      </c>
      <c r="H491" s="13">
        <f t="shared" si="23"/>
        <v>0</v>
      </c>
    </row>
    <row r="492" spans="1:9" x14ac:dyDescent="0.15">
      <c r="A492" s="7" t="s">
        <v>479</v>
      </c>
      <c r="B492" s="7" t="s">
        <v>480</v>
      </c>
      <c r="C492" s="8">
        <f>4.5-0.53</f>
        <v>3.9699999999999998</v>
      </c>
      <c r="D492" s="9">
        <v>4</v>
      </c>
      <c r="E492" s="8">
        <f>0.25*2+0.25*4</f>
        <v>1.5</v>
      </c>
      <c r="F492" s="13">
        <f t="shared" si="22"/>
        <v>23.82</v>
      </c>
      <c r="G492" s="21">
        <v>70.63</v>
      </c>
      <c r="H492" s="13">
        <f t="shared" si="23"/>
        <v>1.1200000000000001</v>
      </c>
      <c r="I492" s="11" t="s">
        <v>530</v>
      </c>
    </row>
    <row r="493" spans="1:9" x14ac:dyDescent="0.15">
      <c r="C493" s="8">
        <f>66.1-60.65-4.5</f>
        <v>0.94999999999999574</v>
      </c>
      <c r="D493" s="9">
        <v>4</v>
      </c>
      <c r="E493" s="8">
        <f>0.25*2+0.25*4</f>
        <v>1.5</v>
      </c>
      <c r="F493" s="13">
        <f t="shared" si="22"/>
        <v>5.7</v>
      </c>
      <c r="G493" s="21">
        <v>70.63</v>
      </c>
      <c r="H493" s="13">
        <f t="shared" si="23"/>
        <v>0.27</v>
      </c>
      <c r="I493" s="11" t="s">
        <v>531</v>
      </c>
    </row>
    <row r="494" spans="1:9" x14ac:dyDescent="0.15">
      <c r="A494" s="7" t="s">
        <v>532</v>
      </c>
      <c r="B494" s="7" t="s">
        <v>533</v>
      </c>
      <c r="C494" s="8">
        <f>66.1-60.65-0.53</f>
        <v>4.9199999999999955</v>
      </c>
      <c r="D494" s="9">
        <v>4</v>
      </c>
      <c r="E494" s="8">
        <f>0.4*2+0.4*4</f>
        <v>2.4000000000000004</v>
      </c>
      <c r="F494" s="13">
        <f t="shared" si="22"/>
        <v>47.23</v>
      </c>
      <c r="G494" s="21">
        <v>168.41</v>
      </c>
      <c r="H494" s="13">
        <f t="shared" si="23"/>
        <v>3.31</v>
      </c>
      <c r="I494" s="11" t="s">
        <v>484</v>
      </c>
    </row>
    <row r="495" spans="1:9" x14ac:dyDescent="0.15">
      <c r="A495" s="7" t="s">
        <v>515</v>
      </c>
      <c r="F495" s="13">
        <f t="shared" si="22"/>
        <v>0</v>
      </c>
      <c r="H495" s="13">
        <f t="shared" si="23"/>
        <v>0</v>
      </c>
    </row>
    <row r="496" spans="1:9" x14ac:dyDescent="0.15">
      <c r="A496" s="7" t="s">
        <v>346</v>
      </c>
      <c r="B496" s="7" t="s">
        <v>193</v>
      </c>
      <c r="C496" s="8">
        <v>3</v>
      </c>
      <c r="D496" s="9">
        <v>1</v>
      </c>
      <c r="E496" s="8">
        <f>0.194*2+0.15*4</f>
        <v>0.98799999999999999</v>
      </c>
      <c r="F496" s="13">
        <f t="shared" si="22"/>
        <v>2.96</v>
      </c>
      <c r="G496" s="21">
        <v>29.48</v>
      </c>
      <c r="H496" s="13">
        <f t="shared" si="23"/>
        <v>0.09</v>
      </c>
      <c r="I496" s="11" t="s">
        <v>496</v>
      </c>
    </row>
    <row r="497" spans="1:9" x14ac:dyDescent="0.15">
      <c r="C497" s="8">
        <f>3.805-0.2-0.125</f>
        <v>3.48</v>
      </c>
      <c r="D497" s="9">
        <v>2</v>
      </c>
      <c r="E497" s="8">
        <f>0.194*2+0.15*4</f>
        <v>0.98799999999999999</v>
      </c>
      <c r="F497" s="13">
        <f t="shared" si="22"/>
        <v>6.88</v>
      </c>
      <c r="G497" s="21">
        <v>29.48</v>
      </c>
      <c r="H497" s="13">
        <f t="shared" si="23"/>
        <v>0.21</v>
      </c>
      <c r="I497" s="11" t="s">
        <v>496</v>
      </c>
    </row>
    <row r="498" spans="1:9" x14ac:dyDescent="0.15">
      <c r="A498" s="7" t="s">
        <v>534</v>
      </c>
      <c r="F498" s="13">
        <f t="shared" si="22"/>
        <v>0</v>
      </c>
      <c r="H498" s="13">
        <f t="shared" si="23"/>
        <v>0</v>
      </c>
    </row>
    <row r="499" spans="1:9" x14ac:dyDescent="0.15">
      <c r="A499" s="7" t="s">
        <v>346</v>
      </c>
      <c r="B499" s="7" t="s">
        <v>193</v>
      </c>
      <c r="C499" s="8">
        <v>3</v>
      </c>
      <c r="D499" s="9">
        <v>1</v>
      </c>
      <c r="E499" s="8">
        <f>0.194*2+0.15*4</f>
        <v>0.98799999999999999</v>
      </c>
      <c r="F499" s="13">
        <f t="shared" si="22"/>
        <v>2.96</v>
      </c>
      <c r="G499" s="21">
        <v>29.48</v>
      </c>
      <c r="H499" s="13">
        <f t="shared" si="23"/>
        <v>0.09</v>
      </c>
      <c r="I499" s="11" t="s">
        <v>496</v>
      </c>
    </row>
    <row r="500" spans="1:9" x14ac:dyDescent="0.15">
      <c r="C500" s="8">
        <f>3-0.125-0.2</f>
        <v>2.6749999999999998</v>
      </c>
      <c r="D500" s="9">
        <v>2</v>
      </c>
      <c r="E500" s="8">
        <f>0.194*2+0.15*4</f>
        <v>0.98799999999999999</v>
      </c>
      <c r="F500" s="13">
        <f t="shared" si="22"/>
        <v>5.29</v>
      </c>
      <c r="G500" s="21">
        <v>29.48</v>
      </c>
      <c r="H500" s="13">
        <f t="shared" si="23"/>
        <v>0.16</v>
      </c>
      <c r="I500" s="11" t="s">
        <v>496</v>
      </c>
    </row>
    <row r="501" spans="1:9" x14ac:dyDescent="0.15">
      <c r="A501" s="7" t="s">
        <v>535</v>
      </c>
      <c r="F501" s="13">
        <f t="shared" si="22"/>
        <v>0</v>
      </c>
      <c r="H501" s="13">
        <f t="shared" si="23"/>
        <v>0</v>
      </c>
    </row>
    <row r="502" spans="1:9" x14ac:dyDescent="0.15">
      <c r="A502" s="7" t="s">
        <v>344</v>
      </c>
      <c r="B502" s="7" t="s">
        <v>307</v>
      </c>
      <c r="C502" s="8">
        <v>3</v>
      </c>
      <c r="D502" s="9">
        <v>8</v>
      </c>
      <c r="E502" s="8">
        <f>0.148*2+0.1*4</f>
        <v>0.69599999999999995</v>
      </c>
      <c r="F502" s="13">
        <f t="shared" si="22"/>
        <v>16.7</v>
      </c>
      <c r="G502" s="21">
        <v>20.25</v>
      </c>
      <c r="H502" s="13">
        <f t="shared" si="23"/>
        <v>0.49</v>
      </c>
      <c r="I502" s="11" t="s">
        <v>496</v>
      </c>
    </row>
    <row r="503" spans="1:9" x14ac:dyDescent="0.15">
      <c r="A503" s="7" t="s">
        <v>346</v>
      </c>
      <c r="B503" s="7" t="s">
        <v>193</v>
      </c>
      <c r="C503" s="8">
        <v>3</v>
      </c>
      <c r="D503" s="9">
        <v>2</v>
      </c>
      <c r="E503" s="8">
        <f>0.194*2+0.15*4</f>
        <v>0.98799999999999999</v>
      </c>
      <c r="F503" s="13">
        <f t="shared" si="22"/>
        <v>5.93</v>
      </c>
      <c r="G503" s="21">
        <v>29.48</v>
      </c>
      <c r="H503" s="13">
        <f t="shared" si="23"/>
        <v>0.18</v>
      </c>
      <c r="I503" s="11" t="s">
        <v>491</v>
      </c>
    </row>
    <row r="504" spans="1:9" x14ac:dyDescent="0.15">
      <c r="C504" s="8">
        <f>3-0.125-0.2</f>
        <v>2.6749999999999998</v>
      </c>
      <c r="D504" s="9">
        <v>2</v>
      </c>
      <c r="E504" s="8">
        <f>0.194*2+0.15*4</f>
        <v>0.98799999999999999</v>
      </c>
      <c r="F504" s="13">
        <f t="shared" si="22"/>
        <v>5.29</v>
      </c>
      <c r="G504" s="21">
        <v>29.48</v>
      </c>
      <c r="H504" s="13">
        <f t="shared" si="23"/>
        <v>0.16</v>
      </c>
      <c r="I504" s="11" t="s">
        <v>491</v>
      </c>
    </row>
    <row r="505" spans="1:9" x14ac:dyDescent="0.15">
      <c r="C505" s="8">
        <f>3.805-0.2-0.125</f>
        <v>3.48</v>
      </c>
      <c r="D505" s="9">
        <v>2</v>
      </c>
      <c r="E505" s="8">
        <f>0.194*2+0.15*4</f>
        <v>0.98799999999999999</v>
      </c>
      <c r="F505" s="13">
        <f t="shared" si="22"/>
        <v>6.88</v>
      </c>
      <c r="G505" s="21">
        <v>29.48</v>
      </c>
      <c r="H505" s="13">
        <f t="shared" si="23"/>
        <v>0.21</v>
      </c>
      <c r="I505" s="11" t="s">
        <v>491</v>
      </c>
    </row>
    <row r="506" spans="1:9" x14ac:dyDescent="0.15">
      <c r="A506" s="7" t="s">
        <v>536</v>
      </c>
      <c r="B506" s="7" t="s">
        <v>537</v>
      </c>
      <c r="C506" s="8">
        <v>3</v>
      </c>
      <c r="D506" s="9">
        <v>2</v>
      </c>
      <c r="E506" s="8">
        <f>0.244*2+0.175*4</f>
        <v>1.1879999999999999</v>
      </c>
      <c r="F506" s="13">
        <f t="shared" si="22"/>
        <v>7.13</v>
      </c>
      <c r="G506" s="21">
        <v>42.42</v>
      </c>
      <c r="H506" s="13">
        <f t="shared" si="23"/>
        <v>0.25</v>
      </c>
      <c r="I506" s="11" t="s">
        <v>496</v>
      </c>
    </row>
    <row r="507" spans="1:9" x14ac:dyDescent="0.15">
      <c r="A507" s="7" t="s">
        <v>538</v>
      </c>
      <c r="B507" s="7" t="s">
        <v>418</v>
      </c>
      <c r="C507" s="8">
        <f>28-0.2*2</f>
        <v>27.6</v>
      </c>
      <c r="D507" s="9">
        <v>2</v>
      </c>
      <c r="E507" s="8">
        <f>0.6*2+0.2*4</f>
        <v>2</v>
      </c>
      <c r="F507" s="13">
        <f t="shared" si="22"/>
        <v>110.4</v>
      </c>
      <c r="G507" s="21">
        <v>102.25</v>
      </c>
      <c r="H507" s="13">
        <f t="shared" si="23"/>
        <v>5.64</v>
      </c>
      <c r="I507" s="11" t="s">
        <v>496</v>
      </c>
    </row>
    <row r="508" spans="1:9" x14ac:dyDescent="0.15">
      <c r="A508" s="7" t="s">
        <v>438</v>
      </c>
      <c r="B508" s="7" t="s">
        <v>403</v>
      </c>
      <c r="C508" s="8">
        <f>1.2*2^0.5</f>
        <v>1.697056274847714</v>
      </c>
      <c r="D508" s="9">
        <v>4</v>
      </c>
      <c r="E508" s="8">
        <f>0.14*2+0.058*4</f>
        <v>0.51200000000000001</v>
      </c>
      <c r="F508" s="13">
        <f t="shared" si="22"/>
        <v>3.48</v>
      </c>
      <c r="G508" s="21">
        <v>14.5</v>
      </c>
      <c r="H508" s="13">
        <f t="shared" si="23"/>
        <v>0.1</v>
      </c>
      <c r="I508" s="11" t="s">
        <v>496</v>
      </c>
    </row>
    <row r="509" spans="1:9" x14ac:dyDescent="0.15">
      <c r="A509" s="7" t="s">
        <v>539</v>
      </c>
      <c r="B509" s="7" t="s">
        <v>540</v>
      </c>
      <c r="C509" s="8">
        <f>1.2*2^0.5</f>
        <v>1.697056274847714</v>
      </c>
      <c r="D509" s="9">
        <v>4</v>
      </c>
      <c r="E509" s="8">
        <f>0.194*2+0.15*4</f>
        <v>0.98799999999999999</v>
      </c>
      <c r="F509" s="13">
        <f t="shared" si="22"/>
        <v>6.71</v>
      </c>
      <c r="G509" s="21">
        <v>29.48</v>
      </c>
      <c r="H509" s="13">
        <f t="shared" si="23"/>
        <v>0.2</v>
      </c>
      <c r="I509" s="11" t="s">
        <v>496</v>
      </c>
    </row>
    <row r="510" spans="1:9" ht="28.5" x14ac:dyDescent="0.15">
      <c r="A510" s="7" t="s">
        <v>541</v>
      </c>
      <c r="F510" s="13">
        <f t="shared" si="22"/>
        <v>0</v>
      </c>
      <c r="H510" s="13">
        <f t="shared" si="23"/>
        <v>0</v>
      </c>
    </row>
    <row r="511" spans="1:9" x14ac:dyDescent="0.15">
      <c r="A511" s="7" t="s">
        <v>478</v>
      </c>
      <c r="F511" s="13">
        <f t="shared" si="22"/>
        <v>0</v>
      </c>
      <c r="H511" s="13">
        <f t="shared" si="23"/>
        <v>0</v>
      </c>
    </row>
    <row r="512" spans="1:9" x14ac:dyDescent="0.15">
      <c r="A512" s="7" t="s">
        <v>479</v>
      </c>
      <c r="B512" s="7" t="s">
        <v>480</v>
      </c>
      <c r="C512" s="8">
        <f>63.65-60.6-0.53</f>
        <v>2.5199999999999969</v>
      </c>
      <c r="D512" s="9">
        <v>2</v>
      </c>
      <c r="E512" s="8">
        <f>0.25*2+0.25*4</f>
        <v>1.5</v>
      </c>
      <c r="F512" s="13">
        <f t="shared" si="22"/>
        <v>7.56</v>
      </c>
      <c r="G512" s="21">
        <v>70.63</v>
      </c>
      <c r="H512" s="13">
        <f t="shared" si="23"/>
        <v>0.36</v>
      </c>
      <c r="I512" s="11" t="s">
        <v>484</v>
      </c>
    </row>
    <row r="513" spans="1:9" x14ac:dyDescent="0.15">
      <c r="C513" s="8">
        <f>63.5-60.53-0.53</f>
        <v>2.4399999999999986</v>
      </c>
      <c r="D513" s="9">
        <v>4</v>
      </c>
      <c r="E513" s="8">
        <f>0.25*2+0.25*4</f>
        <v>1.5</v>
      </c>
      <c r="F513" s="13">
        <f t="shared" si="22"/>
        <v>14.64</v>
      </c>
      <c r="G513" s="21">
        <v>70.63</v>
      </c>
      <c r="H513" s="13">
        <f t="shared" si="23"/>
        <v>0.69</v>
      </c>
      <c r="I513" s="11" t="s">
        <v>484</v>
      </c>
    </row>
    <row r="514" spans="1:9" x14ac:dyDescent="0.15">
      <c r="A514" s="7" t="s">
        <v>532</v>
      </c>
      <c r="B514" s="7" t="s">
        <v>533</v>
      </c>
      <c r="C514" s="8">
        <f>66.1-60.6-0.53</f>
        <v>4.9699999999999926</v>
      </c>
      <c r="D514" s="9">
        <v>2</v>
      </c>
      <c r="E514" s="8">
        <f>0.4*2+0.4*4</f>
        <v>2.4000000000000004</v>
      </c>
      <c r="F514" s="13">
        <f t="shared" ref="F514:F577" si="25">ROUND(PRODUCT($C514:$E514),2)</f>
        <v>23.86</v>
      </c>
      <c r="G514" s="21">
        <v>168.41</v>
      </c>
      <c r="H514" s="13">
        <f t="shared" ref="H514:H577" si="26">ROUND(PRODUCT($C514:$D514,$G514)*0.001,2)</f>
        <v>1.67</v>
      </c>
      <c r="I514" s="11" t="s">
        <v>484</v>
      </c>
    </row>
    <row r="515" spans="1:9" x14ac:dyDescent="0.15">
      <c r="C515" s="8">
        <f>66.1-60.56-0.53</f>
        <v>5.0099999999999918</v>
      </c>
      <c r="D515" s="9">
        <v>2</v>
      </c>
      <c r="E515" s="8">
        <f>0.4*2+0.4*4</f>
        <v>2.4000000000000004</v>
      </c>
      <c r="F515" s="13">
        <f t="shared" si="25"/>
        <v>24.05</v>
      </c>
      <c r="G515" s="21">
        <v>168.41</v>
      </c>
      <c r="H515" s="13">
        <f t="shared" si="26"/>
        <v>1.69</v>
      </c>
      <c r="I515" s="11" t="s">
        <v>484</v>
      </c>
    </row>
    <row r="516" spans="1:9" x14ac:dyDescent="0.15">
      <c r="A516" s="7" t="s">
        <v>520</v>
      </c>
      <c r="B516" s="7" t="s">
        <v>521</v>
      </c>
      <c r="C516" s="8">
        <f>((3-0.125*2)^2+(63.5-60.53-0.53)^2)^0.5</f>
        <v>3.6764248938336812</v>
      </c>
      <c r="D516" s="9">
        <v>4</v>
      </c>
      <c r="E516" s="8">
        <f>0.09*6</f>
        <v>0.54</v>
      </c>
      <c r="F516" s="13">
        <f t="shared" si="25"/>
        <v>7.94</v>
      </c>
      <c r="G516" s="21">
        <f>8.35*2</f>
        <v>16.7</v>
      </c>
      <c r="H516" s="13">
        <f t="shared" si="26"/>
        <v>0.25</v>
      </c>
      <c r="I516" s="11" t="s">
        <v>542</v>
      </c>
    </row>
    <row r="517" spans="1:9" x14ac:dyDescent="0.15">
      <c r="A517" s="7" t="s">
        <v>543</v>
      </c>
      <c r="F517" s="13">
        <f t="shared" si="25"/>
        <v>0</v>
      </c>
      <c r="H517" s="13">
        <f t="shared" si="26"/>
        <v>0</v>
      </c>
    </row>
    <row r="518" spans="1:9" x14ac:dyDescent="0.15">
      <c r="A518" s="7" t="s">
        <v>346</v>
      </c>
      <c r="B518" s="7" t="s">
        <v>193</v>
      </c>
      <c r="C518" s="8">
        <v>3</v>
      </c>
      <c r="D518" s="9">
        <v>3</v>
      </c>
      <c r="E518" s="8">
        <f>0.194*2+0.15*4</f>
        <v>0.98799999999999999</v>
      </c>
      <c r="F518" s="13">
        <f t="shared" si="25"/>
        <v>8.89</v>
      </c>
      <c r="G518" s="21">
        <v>29.48</v>
      </c>
      <c r="H518" s="13">
        <f t="shared" si="26"/>
        <v>0.27</v>
      </c>
      <c r="I518" s="11" t="s">
        <v>544</v>
      </c>
    </row>
    <row r="519" spans="1:9" x14ac:dyDescent="0.15">
      <c r="C519" s="8">
        <f>3.724-0.2-0.125</f>
        <v>3.399</v>
      </c>
      <c r="D519" s="9">
        <v>2</v>
      </c>
      <c r="E519" s="8">
        <f>0.194*2+0.15*4</f>
        <v>0.98799999999999999</v>
      </c>
      <c r="F519" s="13">
        <f t="shared" si="25"/>
        <v>6.72</v>
      </c>
      <c r="G519" s="21">
        <v>29.48</v>
      </c>
      <c r="H519" s="13">
        <f t="shared" si="26"/>
        <v>0.2</v>
      </c>
      <c r="I519" s="11" t="s">
        <v>544</v>
      </c>
    </row>
    <row r="520" spans="1:9" x14ac:dyDescent="0.15">
      <c r="C520" s="8">
        <f>3-0.125*2</f>
        <v>2.75</v>
      </c>
      <c r="D520" s="9">
        <v>2</v>
      </c>
      <c r="E520" s="8">
        <f>0.194*2+0.15*4</f>
        <v>0.98799999999999999</v>
      </c>
      <c r="F520" s="13">
        <f t="shared" si="25"/>
        <v>5.43</v>
      </c>
      <c r="G520" s="21">
        <v>29.48</v>
      </c>
      <c r="H520" s="13">
        <f t="shared" si="26"/>
        <v>0.16</v>
      </c>
      <c r="I520" s="11" t="s">
        <v>544</v>
      </c>
    </row>
    <row r="521" spans="1:9" x14ac:dyDescent="0.15">
      <c r="A521" s="7" t="s">
        <v>428</v>
      </c>
      <c r="B521" s="7" t="s">
        <v>58</v>
      </c>
      <c r="C521" s="8">
        <f>(1.5^2+3^2)^0.5</f>
        <v>3.3541019662496847</v>
      </c>
      <c r="D521" s="9">
        <v>4</v>
      </c>
      <c r="E521" s="8">
        <f>0.09*4</f>
        <v>0.36</v>
      </c>
      <c r="F521" s="13">
        <f t="shared" si="25"/>
        <v>4.83</v>
      </c>
      <c r="G521" s="21">
        <v>8.35</v>
      </c>
      <c r="H521" s="13">
        <f t="shared" si="26"/>
        <v>0.11</v>
      </c>
      <c r="I521" s="11" t="s">
        <v>544</v>
      </c>
    </row>
    <row r="522" spans="1:9" x14ac:dyDescent="0.15">
      <c r="B522" s="7" t="s">
        <v>358</v>
      </c>
      <c r="C522" s="8">
        <v>3</v>
      </c>
      <c r="D522" s="9">
        <v>1</v>
      </c>
      <c r="E522" s="8">
        <f>0.14*2+0.08*4</f>
        <v>0.60000000000000009</v>
      </c>
      <c r="F522" s="13">
        <f t="shared" si="25"/>
        <v>1.8</v>
      </c>
      <c r="G522" s="21">
        <v>16.899999999999999</v>
      </c>
      <c r="H522" s="13">
        <f t="shared" si="26"/>
        <v>0.05</v>
      </c>
      <c r="I522" s="11" t="s">
        <v>544</v>
      </c>
    </row>
    <row r="523" spans="1:9" x14ac:dyDescent="0.15">
      <c r="A523" s="7" t="s">
        <v>515</v>
      </c>
      <c r="F523" s="13">
        <f t="shared" si="25"/>
        <v>0</v>
      </c>
      <c r="H523" s="13">
        <f t="shared" si="26"/>
        <v>0</v>
      </c>
    </row>
    <row r="524" spans="1:9" x14ac:dyDescent="0.15">
      <c r="A524" s="7" t="s">
        <v>346</v>
      </c>
      <c r="B524" s="7" t="s">
        <v>193</v>
      </c>
      <c r="C524" s="8">
        <v>3</v>
      </c>
      <c r="D524" s="9">
        <v>2</v>
      </c>
      <c r="E524" s="8">
        <f>0.194*2+0.15*4</f>
        <v>0.98799999999999999</v>
      </c>
      <c r="F524" s="13">
        <f t="shared" si="25"/>
        <v>5.93</v>
      </c>
      <c r="G524" s="21">
        <v>29.48</v>
      </c>
      <c r="H524" s="13">
        <f t="shared" si="26"/>
        <v>0.18</v>
      </c>
      <c r="I524" s="11" t="s">
        <v>545</v>
      </c>
    </row>
    <row r="525" spans="1:9" x14ac:dyDescent="0.15">
      <c r="C525" s="8">
        <f>3.805-0.125-0.2</f>
        <v>3.48</v>
      </c>
      <c r="D525" s="9">
        <v>2</v>
      </c>
      <c r="E525" s="8">
        <f>0.194*2+0.15*4</f>
        <v>0.98799999999999999</v>
      </c>
      <c r="F525" s="13">
        <f t="shared" si="25"/>
        <v>6.88</v>
      </c>
      <c r="G525" s="21">
        <v>29.48</v>
      </c>
      <c r="H525" s="13">
        <f t="shared" si="26"/>
        <v>0.21</v>
      </c>
      <c r="I525" s="11" t="s">
        <v>545</v>
      </c>
    </row>
    <row r="526" spans="1:9" x14ac:dyDescent="0.15">
      <c r="A526" s="7" t="s">
        <v>546</v>
      </c>
      <c r="F526" s="13">
        <f t="shared" si="25"/>
        <v>0</v>
      </c>
      <c r="H526" s="13">
        <f t="shared" si="26"/>
        <v>0</v>
      </c>
    </row>
    <row r="527" spans="1:9" x14ac:dyDescent="0.15">
      <c r="A527" s="7" t="s">
        <v>344</v>
      </c>
      <c r="B527" s="7" t="s">
        <v>307</v>
      </c>
      <c r="C527" s="8">
        <v>3</v>
      </c>
      <c r="D527" s="9">
        <v>4</v>
      </c>
      <c r="E527" s="8">
        <f>0.148*2+0.1*4</f>
        <v>0.69599999999999995</v>
      </c>
      <c r="F527" s="13">
        <f t="shared" si="25"/>
        <v>8.35</v>
      </c>
      <c r="G527" s="21">
        <v>20.25</v>
      </c>
      <c r="H527" s="13">
        <f t="shared" si="26"/>
        <v>0.24</v>
      </c>
      <c r="I527" s="11" t="s">
        <v>545</v>
      </c>
    </row>
    <row r="528" spans="1:9" x14ac:dyDescent="0.15">
      <c r="A528" s="7" t="s">
        <v>346</v>
      </c>
      <c r="B528" s="7" t="s">
        <v>193</v>
      </c>
      <c r="C528" s="8">
        <v>3</v>
      </c>
      <c r="D528" s="9">
        <v>2</v>
      </c>
      <c r="E528" s="8">
        <f>0.194*2+0.15*4</f>
        <v>0.98799999999999999</v>
      </c>
      <c r="F528" s="13">
        <f t="shared" si="25"/>
        <v>5.93</v>
      </c>
      <c r="G528" s="21">
        <v>29.48</v>
      </c>
      <c r="H528" s="13">
        <f t="shared" si="26"/>
        <v>0.18</v>
      </c>
      <c r="I528" s="11" t="s">
        <v>545</v>
      </c>
    </row>
    <row r="529" spans="1:9" x14ac:dyDescent="0.15">
      <c r="A529" s="7" t="s">
        <v>547</v>
      </c>
      <c r="B529" s="7" t="s">
        <v>548</v>
      </c>
      <c r="C529" s="8">
        <f>16-0.2*2</f>
        <v>15.6</v>
      </c>
      <c r="D529" s="9">
        <v>2</v>
      </c>
      <c r="E529" s="8">
        <f>0.4*2+0.2*4</f>
        <v>1.6</v>
      </c>
      <c r="F529" s="13">
        <f t="shared" si="25"/>
        <v>49.92</v>
      </c>
      <c r="G529" s="21">
        <v>64.3</v>
      </c>
      <c r="H529" s="13">
        <f t="shared" si="26"/>
        <v>2.0099999999999998</v>
      </c>
      <c r="I529" s="11" t="s">
        <v>545</v>
      </c>
    </row>
    <row r="530" spans="1:9" x14ac:dyDescent="0.15">
      <c r="A530" s="7" t="s">
        <v>438</v>
      </c>
      <c r="B530" s="7" t="s">
        <v>403</v>
      </c>
      <c r="C530" s="8">
        <f>1.2*2^0.5</f>
        <v>1.697056274847714</v>
      </c>
      <c r="D530" s="9">
        <v>4</v>
      </c>
      <c r="E530" s="8">
        <f>0.14*2+0.058*4</f>
        <v>0.51200000000000001</v>
      </c>
      <c r="F530" s="13">
        <f t="shared" si="25"/>
        <v>3.48</v>
      </c>
      <c r="G530" s="21">
        <v>14.5</v>
      </c>
      <c r="H530" s="13">
        <f t="shared" si="26"/>
        <v>0.1</v>
      </c>
      <c r="I530" s="11" t="s">
        <v>496</v>
      </c>
    </row>
    <row r="531" spans="1:9" ht="28.5" x14ac:dyDescent="0.15">
      <c r="A531" s="7" t="s">
        <v>549</v>
      </c>
      <c r="F531" s="13">
        <f t="shared" si="25"/>
        <v>0</v>
      </c>
      <c r="H531" s="13">
        <f t="shared" si="26"/>
        <v>0</v>
      </c>
    </row>
    <row r="532" spans="1:9" x14ac:dyDescent="0.15">
      <c r="A532" s="7" t="s">
        <v>479</v>
      </c>
      <c r="B532" s="7" t="s">
        <v>480</v>
      </c>
      <c r="C532" s="8">
        <f>4.5-0.53</f>
        <v>3.9699999999999998</v>
      </c>
      <c r="D532" s="9">
        <v>4</v>
      </c>
      <c r="E532" s="8">
        <f>0.25*2+0.25*4</f>
        <v>1.5</v>
      </c>
      <c r="F532" s="13">
        <f t="shared" si="25"/>
        <v>23.82</v>
      </c>
      <c r="G532" s="21">
        <v>70.63</v>
      </c>
      <c r="H532" s="13">
        <f t="shared" si="26"/>
        <v>1.1200000000000001</v>
      </c>
      <c r="I532" s="11" t="s">
        <v>484</v>
      </c>
    </row>
    <row r="533" spans="1:9" x14ac:dyDescent="0.15">
      <c r="C533" s="8">
        <f>66.1-60.52-4.5</f>
        <v>1.0799999999999912</v>
      </c>
      <c r="D533" s="9">
        <v>2</v>
      </c>
      <c r="E533" s="8">
        <f>0.25*2+0.25*4</f>
        <v>1.5</v>
      </c>
      <c r="F533" s="13">
        <f t="shared" si="25"/>
        <v>3.24</v>
      </c>
      <c r="G533" s="21">
        <v>70.63</v>
      </c>
      <c r="H533" s="13">
        <f t="shared" si="26"/>
        <v>0.15</v>
      </c>
      <c r="I533" s="11" t="s">
        <v>485</v>
      </c>
    </row>
    <row r="534" spans="1:9" x14ac:dyDescent="0.15">
      <c r="C534" s="8">
        <f>66.1-60.5-4.5</f>
        <v>1.0999999999999943</v>
      </c>
      <c r="D534" s="9">
        <v>2</v>
      </c>
      <c r="E534" s="8">
        <f>0.25*2+0.25*4</f>
        <v>1.5</v>
      </c>
      <c r="F534" s="13">
        <f t="shared" si="25"/>
        <v>3.3</v>
      </c>
      <c r="G534" s="21">
        <v>70.63</v>
      </c>
      <c r="H534" s="13">
        <f t="shared" si="26"/>
        <v>0.16</v>
      </c>
      <c r="I534" s="11" t="s">
        <v>485</v>
      </c>
    </row>
    <row r="535" spans="1:9" x14ac:dyDescent="0.15">
      <c r="A535" s="7" t="s">
        <v>532</v>
      </c>
      <c r="B535" s="7" t="s">
        <v>533</v>
      </c>
      <c r="C535" s="8">
        <f>4.5-0.53</f>
        <v>3.9699999999999998</v>
      </c>
      <c r="D535" s="9">
        <v>4</v>
      </c>
      <c r="E535" s="8">
        <f>0.4*2+0.4*4</f>
        <v>2.4000000000000004</v>
      </c>
      <c r="F535" s="13">
        <f t="shared" si="25"/>
        <v>38.11</v>
      </c>
      <c r="G535" s="21">
        <v>168.41</v>
      </c>
      <c r="H535" s="13">
        <f t="shared" si="26"/>
        <v>2.67</v>
      </c>
      <c r="I535" s="11" t="s">
        <v>484</v>
      </c>
    </row>
    <row r="536" spans="1:9" x14ac:dyDescent="0.15">
      <c r="C536" s="8">
        <f>66.1-60.6-4.5</f>
        <v>0.99999999999999289</v>
      </c>
      <c r="D536" s="9">
        <v>2</v>
      </c>
      <c r="E536" s="8">
        <f>0.4*2+0.4*4</f>
        <v>2.4000000000000004</v>
      </c>
      <c r="F536" s="13">
        <f t="shared" si="25"/>
        <v>4.8</v>
      </c>
      <c r="G536" s="21">
        <v>168.41</v>
      </c>
      <c r="H536" s="13">
        <f t="shared" si="26"/>
        <v>0.34</v>
      </c>
      <c r="I536" s="11" t="s">
        <v>485</v>
      </c>
    </row>
    <row r="537" spans="1:9" x14ac:dyDescent="0.15">
      <c r="C537" s="8">
        <f>66.1-60.5-4.5</f>
        <v>1.0999999999999943</v>
      </c>
      <c r="D537" s="9">
        <v>2</v>
      </c>
      <c r="E537" s="8">
        <f>0.4*2+0.4*4</f>
        <v>2.4000000000000004</v>
      </c>
      <c r="F537" s="13">
        <f t="shared" si="25"/>
        <v>5.28</v>
      </c>
      <c r="G537" s="21">
        <v>168.41</v>
      </c>
      <c r="H537" s="13">
        <f t="shared" si="26"/>
        <v>0.37</v>
      </c>
      <c r="I537" s="11" t="s">
        <v>485</v>
      </c>
    </row>
    <row r="538" spans="1:9" x14ac:dyDescent="0.15">
      <c r="A538" s="7" t="s">
        <v>550</v>
      </c>
      <c r="F538" s="13">
        <f t="shared" si="25"/>
        <v>0</v>
      </c>
      <c r="H538" s="13">
        <f t="shared" si="26"/>
        <v>0</v>
      </c>
    </row>
    <row r="539" spans="1:9" x14ac:dyDescent="0.15">
      <c r="A539" s="7" t="s">
        <v>346</v>
      </c>
      <c r="B539" s="7" t="s">
        <v>193</v>
      </c>
      <c r="C539" s="8">
        <v>3</v>
      </c>
      <c r="D539" s="9">
        <v>2</v>
      </c>
      <c r="E539" s="8">
        <f>0.194*2+0.15*4</f>
        <v>0.98799999999999999</v>
      </c>
      <c r="F539" s="13">
        <f t="shared" si="25"/>
        <v>5.93</v>
      </c>
      <c r="G539" s="21">
        <v>29.48</v>
      </c>
      <c r="H539" s="13">
        <f t="shared" si="26"/>
        <v>0.18</v>
      </c>
      <c r="I539" s="11" t="s">
        <v>496</v>
      </c>
    </row>
    <row r="540" spans="1:9" x14ac:dyDescent="0.15">
      <c r="C540" s="8">
        <f>3.726-0.125-0.2</f>
        <v>3.4009999999999998</v>
      </c>
      <c r="D540" s="9">
        <v>2</v>
      </c>
      <c r="E540" s="8">
        <f>0.194*2+0.15*4</f>
        <v>0.98799999999999999</v>
      </c>
      <c r="F540" s="13">
        <f t="shared" si="25"/>
        <v>6.72</v>
      </c>
      <c r="G540" s="21">
        <v>29.48</v>
      </c>
      <c r="H540" s="13">
        <f t="shared" si="26"/>
        <v>0.2</v>
      </c>
      <c r="I540" s="11" t="s">
        <v>496</v>
      </c>
    </row>
    <row r="541" spans="1:9" x14ac:dyDescent="0.15">
      <c r="C541" s="8">
        <f>3-0.2-0.125</f>
        <v>2.6749999999999998</v>
      </c>
      <c r="D541" s="9">
        <v>2</v>
      </c>
      <c r="E541" s="8">
        <f>0.194*2+0.15*4</f>
        <v>0.98799999999999999</v>
      </c>
      <c r="F541" s="13">
        <f t="shared" si="25"/>
        <v>5.29</v>
      </c>
      <c r="G541" s="21">
        <v>29.48</v>
      </c>
      <c r="H541" s="13">
        <f t="shared" si="26"/>
        <v>0.16</v>
      </c>
      <c r="I541" s="11" t="s">
        <v>496</v>
      </c>
    </row>
    <row r="542" spans="1:9" x14ac:dyDescent="0.15">
      <c r="A542" s="7" t="s">
        <v>551</v>
      </c>
      <c r="F542" s="13">
        <f t="shared" si="25"/>
        <v>0</v>
      </c>
      <c r="H542" s="13">
        <f t="shared" si="26"/>
        <v>0</v>
      </c>
    </row>
    <row r="543" spans="1:9" x14ac:dyDescent="0.15">
      <c r="A543" s="7" t="s">
        <v>344</v>
      </c>
      <c r="B543" s="7" t="s">
        <v>307</v>
      </c>
      <c r="C543" s="8">
        <v>3</v>
      </c>
      <c r="D543" s="9">
        <v>8</v>
      </c>
      <c r="E543" s="8">
        <f>0.148*2+0.1*4</f>
        <v>0.69599999999999995</v>
      </c>
      <c r="F543" s="13">
        <f t="shared" si="25"/>
        <v>16.7</v>
      </c>
      <c r="G543" s="21">
        <v>20.25</v>
      </c>
      <c r="H543" s="13">
        <f t="shared" si="26"/>
        <v>0.49</v>
      </c>
      <c r="I543" s="11" t="s">
        <v>496</v>
      </c>
    </row>
    <row r="544" spans="1:9" x14ac:dyDescent="0.15">
      <c r="A544" s="7" t="s">
        <v>346</v>
      </c>
      <c r="B544" s="7" t="s">
        <v>193</v>
      </c>
      <c r="C544" s="8">
        <v>3</v>
      </c>
      <c r="D544" s="9">
        <v>2</v>
      </c>
      <c r="E544" s="8">
        <f>0.194*2+0.15*4</f>
        <v>0.98799999999999999</v>
      </c>
      <c r="F544" s="13">
        <f t="shared" si="25"/>
        <v>5.93</v>
      </c>
      <c r="G544" s="21">
        <v>29.48</v>
      </c>
      <c r="H544" s="13">
        <f t="shared" si="26"/>
        <v>0.18</v>
      </c>
      <c r="I544" s="11" t="s">
        <v>552</v>
      </c>
    </row>
    <row r="545" spans="1:9" x14ac:dyDescent="0.15">
      <c r="C545" s="8">
        <f>3.726-0.125-0.2</f>
        <v>3.4009999999999998</v>
      </c>
      <c r="D545" s="9">
        <v>2</v>
      </c>
      <c r="E545" s="8">
        <f>0.194*2+0.15*4</f>
        <v>0.98799999999999999</v>
      </c>
      <c r="F545" s="13">
        <f t="shared" si="25"/>
        <v>6.72</v>
      </c>
      <c r="G545" s="21">
        <v>29.48</v>
      </c>
      <c r="H545" s="13">
        <f t="shared" si="26"/>
        <v>0.2</v>
      </c>
      <c r="I545" s="11" t="s">
        <v>552</v>
      </c>
    </row>
    <row r="546" spans="1:9" x14ac:dyDescent="0.15">
      <c r="C546" s="8">
        <f>3-0.2-0.125</f>
        <v>2.6749999999999998</v>
      </c>
      <c r="D546" s="9">
        <v>2</v>
      </c>
      <c r="E546" s="8">
        <f>0.194*2+0.15*4</f>
        <v>0.98799999999999999</v>
      </c>
      <c r="F546" s="13">
        <f t="shared" si="25"/>
        <v>5.29</v>
      </c>
      <c r="G546" s="21">
        <v>29.48</v>
      </c>
      <c r="H546" s="13">
        <f t="shared" si="26"/>
        <v>0.16</v>
      </c>
      <c r="I546" s="11" t="s">
        <v>552</v>
      </c>
    </row>
    <row r="547" spans="1:9" x14ac:dyDescent="0.15">
      <c r="A547" s="7" t="s">
        <v>536</v>
      </c>
      <c r="B547" s="7" t="s">
        <v>553</v>
      </c>
      <c r="C547" s="8">
        <v>3</v>
      </c>
      <c r="D547" s="9">
        <v>2</v>
      </c>
      <c r="E547" s="8">
        <f>0.244*2+0.175*4</f>
        <v>1.1879999999999999</v>
      </c>
      <c r="F547" s="13">
        <f t="shared" si="25"/>
        <v>7.13</v>
      </c>
      <c r="G547" s="21">
        <v>42.42</v>
      </c>
      <c r="H547" s="13">
        <f t="shared" si="26"/>
        <v>0.25</v>
      </c>
      <c r="I547" s="11" t="s">
        <v>496</v>
      </c>
    </row>
    <row r="548" spans="1:9" x14ac:dyDescent="0.15">
      <c r="A548" s="7" t="s">
        <v>538</v>
      </c>
      <c r="B548" s="7" t="s">
        <v>418</v>
      </c>
      <c r="C548" s="8">
        <f>28-0.2*2</f>
        <v>27.6</v>
      </c>
      <c r="D548" s="9">
        <v>2</v>
      </c>
      <c r="E548" s="8">
        <f>0.6*2+0.2*4</f>
        <v>2</v>
      </c>
      <c r="F548" s="13">
        <f t="shared" si="25"/>
        <v>110.4</v>
      </c>
      <c r="G548" s="21">
        <v>102.25</v>
      </c>
      <c r="H548" s="13">
        <f t="shared" si="26"/>
        <v>5.64</v>
      </c>
      <c r="I548" s="11" t="s">
        <v>496</v>
      </c>
    </row>
    <row r="549" spans="1:9" x14ac:dyDescent="0.15">
      <c r="A549" s="7" t="s">
        <v>438</v>
      </c>
      <c r="B549" s="7" t="s">
        <v>403</v>
      </c>
      <c r="C549" s="8">
        <f>1.2*2^0.5</f>
        <v>1.697056274847714</v>
      </c>
      <c r="D549" s="9">
        <v>4</v>
      </c>
      <c r="E549" s="8">
        <f>0.14*2+0.058*4</f>
        <v>0.51200000000000001</v>
      </c>
      <c r="F549" s="13">
        <f t="shared" si="25"/>
        <v>3.48</v>
      </c>
      <c r="G549" s="21">
        <v>14.5</v>
      </c>
      <c r="H549" s="13">
        <f t="shared" si="26"/>
        <v>0.1</v>
      </c>
      <c r="I549" s="11" t="s">
        <v>496</v>
      </c>
    </row>
    <row r="550" spans="1:9" x14ac:dyDescent="0.15">
      <c r="A550" s="7" t="s">
        <v>539</v>
      </c>
      <c r="B550" s="7" t="s">
        <v>540</v>
      </c>
      <c r="C550" s="8">
        <f>1.2*2^0.5</f>
        <v>1.697056274847714</v>
      </c>
      <c r="D550" s="9">
        <v>4</v>
      </c>
      <c r="E550" s="8">
        <f>0.194*2+0.15*4</f>
        <v>0.98799999999999999</v>
      </c>
      <c r="F550" s="13">
        <f t="shared" si="25"/>
        <v>6.71</v>
      </c>
      <c r="G550" s="21">
        <v>29.48</v>
      </c>
      <c r="H550" s="13">
        <f t="shared" si="26"/>
        <v>0.2</v>
      </c>
      <c r="I550" s="11" t="s">
        <v>496</v>
      </c>
    </row>
    <row r="551" spans="1:9" ht="28.5" x14ac:dyDescent="0.15">
      <c r="A551" s="7" t="s">
        <v>554</v>
      </c>
      <c r="F551" s="13">
        <f t="shared" si="25"/>
        <v>0</v>
      </c>
      <c r="H551" s="13">
        <f t="shared" si="26"/>
        <v>0</v>
      </c>
    </row>
    <row r="552" spans="1:9" x14ac:dyDescent="0.15">
      <c r="A552" s="7" t="s">
        <v>478</v>
      </c>
      <c r="F552" s="13">
        <f t="shared" si="25"/>
        <v>0</v>
      </c>
      <c r="H552" s="13">
        <f t="shared" si="26"/>
        <v>0</v>
      </c>
    </row>
    <row r="553" spans="1:9" x14ac:dyDescent="0.15">
      <c r="A553" s="7" t="s">
        <v>479</v>
      </c>
      <c r="B553" s="7" t="s">
        <v>480</v>
      </c>
      <c r="C553" s="8">
        <f>4.5-0.53</f>
        <v>3.9699999999999998</v>
      </c>
      <c r="D553" s="9">
        <v>4</v>
      </c>
      <c r="E553" s="8">
        <f>0.25*2+0.25*4</f>
        <v>1.5</v>
      </c>
      <c r="F553" s="13">
        <f t="shared" si="25"/>
        <v>23.82</v>
      </c>
      <c r="G553" s="21">
        <v>70.63</v>
      </c>
      <c r="H553" s="13">
        <f t="shared" si="26"/>
        <v>1.1200000000000001</v>
      </c>
      <c r="I553" s="11" t="s">
        <v>484</v>
      </c>
    </row>
    <row r="554" spans="1:9" x14ac:dyDescent="0.15">
      <c r="C554" s="8">
        <f>67-60.46-0.53</f>
        <v>6.0099999999999989</v>
      </c>
      <c r="D554" s="9">
        <v>2</v>
      </c>
      <c r="E554" s="8">
        <f>0.25*2+0.25*4</f>
        <v>1.5</v>
      </c>
      <c r="F554" s="13">
        <f t="shared" si="25"/>
        <v>18.03</v>
      </c>
      <c r="G554" s="21">
        <v>70.63</v>
      </c>
      <c r="H554" s="13">
        <f t="shared" si="26"/>
        <v>0.85</v>
      </c>
      <c r="I554" s="11" t="s">
        <v>484</v>
      </c>
    </row>
    <row r="555" spans="1:9" x14ac:dyDescent="0.15">
      <c r="C555" s="8">
        <f>68.5-60.47-4.5</f>
        <v>3.5300000000000011</v>
      </c>
      <c r="D555" s="9">
        <v>2</v>
      </c>
      <c r="E555" s="8">
        <f>0.25*2+0.25*4</f>
        <v>1.5</v>
      </c>
      <c r="F555" s="13">
        <f t="shared" si="25"/>
        <v>10.59</v>
      </c>
      <c r="G555" s="21">
        <v>70.63</v>
      </c>
      <c r="H555" s="13">
        <f t="shared" si="26"/>
        <v>0.5</v>
      </c>
      <c r="I555" s="11" t="s">
        <v>485</v>
      </c>
    </row>
    <row r="556" spans="1:9" x14ac:dyDescent="0.15">
      <c r="A556" s="7" t="s">
        <v>481</v>
      </c>
      <c r="B556" s="7" t="s">
        <v>482</v>
      </c>
      <c r="C556" s="8">
        <f>67-60.4-0.53</f>
        <v>6.0700000000000012</v>
      </c>
      <c r="D556" s="9">
        <v>2</v>
      </c>
      <c r="E556" s="8">
        <f>0.3*2+0.3*4</f>
        <v>1.7999999999999998</v>
      </c>
      <c r="F556" s="13">
        <f t="shared" si="25"/>
        <v>21.85</v>
      </c>
      <c r="G556" s="21">
        <v>91.84</v>
      </c>
      <c r="H556" s="13">
        <f t="shared" si="26"/>
        <v>1.1100000000000001</v>
      </c>
      <c r="I556" s="11" t="s">
        <v>484</v>
      </c>
    </row>
    <row r="557" spans="1:9" x14ac:dyDescent="0.15">
      <c r="C557" s="8">
        <f>67-60.43-0.53</f>
        <v>6.04</v>
      </c>
      <c r="D557" s="9">
        <v>2</v>
      </c>
      <c r="E557" s="8">
        <f>0.3*2+0.3*4</f>
        <v>1.7999999999999998</v>
      </c>
      <c r="F557" s="13">
        <f t="shared" si="25"/>
        <v>21.74</v>
      </c>
      <c r="G557" s="21">
        <v>91.84</v>
      </c>
      <c r="H557" s="13">
        <f t="shared" si="26"/>
        <v>1.1100000000000001</v>
      </c>
      <c r="I557" s="11" t="s">
        <v>484</v>
      </c>
    </row>
    <row r="558" spans="1:9" x14ac:dyDescent="0.15">
      <c r="C558" s="8">
        <f>68.5-67</f>
        <v>1.5</v>
      </c>
      <c r="D558" s="9">
        <v>2</v>
      </c>
      <c r="E558" s="8">
        <f>0.3*2+0.3*4</f>
        <v>1.7999999999999998</v>
      </c>
      <c r="F558" s="13">
        <f t="shared" si="25"/>
        <v>5.4</v>
      </c>
      <c r="G558" s="21">
        <v>91.84</v>
      </c>
      <c r="H558" s="13">
        <f t="shared" si="26"/>
        <v>0.28000000000000003</v>
      </c>
      <c r="I558" s="11" t="s">
        <v>485</v>
      </c>
    </row>
    <row r="559" spans="1:9" x14ac:dyDescent="0.15">
      <c r="A559" s="7" t="s">
        <v>555</v>
      </c>
      <c r="B559" s="7" t="s">
        <v>556</v>
      </c>
      <c r="C559" s="8">
        <f>67-60.37-0.53</f>
        <v>6.1000000000000023</v>
      </c>
      <c r="D559" s="9">
        <v>2</v>
      </c>
      <c r="E559" s="8">
        <f>0.35*2+0.35*4</f>
        <v>2.0999999999999996</v>
      </c>
      <c r="F559" s="13">
        <f t="shared" si="25"/>
        <v>25.62</v>
      </c>
      <c r="G559" s="21">
        <v>133.79</v>
      </c>
      <c r="H559" s="13">
        <f t="shared" si="26"/>
        <v>1.63</v>
      </c>
      <c r="I559" s="11" t="s">
        <v>484</v>
      </c>
    </row>
    <row r="560" spans="1:9" x14ac:dyDescent="0.15">
      <c r="C560" s="8">
        <f>68.5-67</f>
        <v>1.5</v>
      </c>
      <c r="D560" s="9">
        <v>2</v>
      </c>
      <c r="E560" s="8">
        <f>0.35*2+0.35*4</f>
        <v>2.0999999999999996</v>
      </c>
      <c r="F560" s="13">
        <f t="shared" si="25"/>
        <v>6.3</v>
      </c>
      <c r="G560" s="21">
        <v>133.79</v>
      </c>
      <c r="H560" s="13">
        <f t="shared" si="26"/>
        <v>0.4</v>
      </c>
      <c r="I560" s="11" t="s">
        <v>485</v>
      </c>
    </row>
    <row r="561" spans="1:9" x14ac:dyDescent="0.15">
      <c r="A561" s="7" t="s">
        <v>532</v>
      </c>
      <c r="B561" s="7" t="s">
        <v>533</v>
      </c>
      <c r="C561" s="8">
        <f>67-60.45-0.53</f>
        <v>6.0199999999999969</v>
      </c>
      <c r="D561" s="9">
        <v>2</v>
      </c>
      <c r="E561" s="8">
        <f>0.4*2+0.4*4</f>
        <v>2.4000000000000004</v>
      </c>
      <c r="F561" s="13">
        <f t="shared" si="25"/>
        <v>28.9</v>
      </c>
      <c r="G561" s="21">
        <v>168.41</v>
      </c>
      <c r="H561" s="13">
        <f t="shared" si="26"/>
        <v>2.0299999999999998</v>
      </c>
      <c r="I561" s="11" t="s">
        <v>484</v>
      </c>
    </row>
    <row r="562" spans="1:9" x14ac:dyDescent="0.15">
      <c r="C562" s="8">
        <f>67-60.35</f>
        <v>6.6499999999999986</v>
      </c>
      <c r="D562" s="9">
        <v>2</v>
      </c>
      <c r="E562" s="8">
        <f>0.4*2+0.4*4</f>
        <v>2.4000000000000004</v>
      </c>
      <c r="F562" s="13">
        <f t="shared" si="25"/>
        <v>31.92</v>
      </c>
      <c r="G562" s="21">
        <v>168.41</v>
      </c>
      <c r="H562" s="13">
        <f t="shared" si="26"/>
        <v>2.2400000000000002</v>
      </c>
      <c r="I562" s="11" t="s">
        <v>484</v>
      </c>
    </row>
    <row r="563" spans="1:9" x14ac:dyDescent="0.15">
      <c r="C563" s="8">
        <f>68.5-67</f>
        <v>1.5</v>
      </c>
      <c r="D563" s="9">
        <v>4</v>
      </c>
      <c r="E563" s="8">
        <f>0.4*2+0.4*4</f>
        <v>2.4000000000000004</v>
      </c>
      <c r="F563" s="13">
        <f t="shared" si="25"/>
        <v>14.4</v>
      </c>
      <c r="G563" s="21">
        <v>168.41</v>
      </c>
      <c r="H563" s="13">
        <f t="shared" si="26"/>
        <v>1.01</v>
      </c>
      <c r="I563" s="11" t="s">
        <v>485</v>
      </c>
    </row>
    <row r="564" spans="1:9" ht="28.5" x14ac:dyDescent="0.15">
      <c r="A564" s="7" t="s">
        <v>557</v>
      </c>
      <c r="F564" s="13">
        <f t="shared" si="25"/>
        <v>0</v>
      </c>
      <c r="H564" s="13">
        <f t="shared" si="26"/>
        <v>0</v>
      </c>
    </row>
    <row r="565" spans="1:9" x14ac:dyDescent="0.15">
      <c r="A565" s="7" t="s">
        <v>346</v>
      </c>
      <c r="B565" s="7" t="s">
        <v>193</v>
      </c>
      <c r="C565" s="8">
        <f>3-0.125-0.2</f>
        <v>2.6749999999999998</v>
      </c>
      <c r="D565" s="9">
        <v>2</v>
      </c>
      <c r="E565" s="8">
        <f>0.194*2+0.15*4</f>
        <v>0.98799999999999999</v>
      </c>
      <c r="F565" s="13">
        <f t="shared" si="25"/>
        <v>5.29</v>
      </c>
      <c r="G565" s="21">
        <v>29.48</v>
      </c>
      <c r="H565" s="13">
        <f t="shared" si="26"/>
        <v>0.16</v>
      </c>
      <c r="I565" s="11" t="s">
        <v>496</v>
      </c>
    </row>
    <row r="566" spans="1:9" x14ac:dyDescent="0.15">
      <c r="C566" s="8">
        <v>3</v>
      </c>
      <c r="D566" s="9">
        <v>1</v>
      </c>
      <c r="E566" s="8">
        <f>0.194*2+0.15*4</f>
        <v>0.98799999999999999</v>
      </c>
      <c r="F566" s="13">
        <f t="shared" si="25"/>
        <v>2.96</v>
      </c>
      <c r="G566" s="21">
        <v>29.48</v>
      </c>
      <c r="H566" s="13">
        <f t="shared" si="26"/>
        <v>0.09</v>
      </c>
      <c r="I566" s="11" t="s">
        <v>496</v>
      </c>
    </row>
    <row r="567" spans="1:9" x14ac:dyDescent="0.15">
      <c r="C567" s="8">
        <f>3.426-0.15-0.125</f>
        <v>3.1510000000000002</v>
      </c>
      <c r="D567" s="9">
        <v>2</v>
      </c>
      <c r="E567" s="8">
        <f>0.194*2+0.15*4</f>
        <v>0.98799999999999999</v>
      </c>
      <c r="F567" s="13">
        <f t="shared" si="25"/>
        <v>6.23</v>
      </c>
      <c r="G567" s="21">
        <v>29.48</v>
      </c>
      <c r="H567" s="13">
        <f t="shared" si="26"/>
        <v>0.19</v>
      </c>
      <c r="I567" s="11" t="s">
        <v>496</v>
      </c>
    </row>
    <row r="568" spans="1:9" x14ac:dyDescent="0.15">
      <c r="C568" s="8">
        <v>3</v>
      </c>
      <c r="D568" s="9">
        <v>2</v>
      </c>
      <c r="E568" s="8">
        <f>0.194*2+0.15*4</f>
        <v>0.98799999999999999</v>
      </c>
      <c r="F568" s="13">
        <f t="shared" si="25"/>
        <v>5.93</v>
      </c>
      <c r="G568" s="21">
        <v>29.48</v>
      </c>
      <c r="H568" s="13">
        <f t="shared" si="26"/>
        <v>0.18</v>
      </c>
      <c r="I568" s="11" t="s">
        <v>496</v>
      </c>
    </row>
    <row r="569" spans="1:9" ht="28.5" x14ac:dyDescent="0.15">
      <c r="A569" s="7" t="s">
        <v>558</v>
      </c>
      <c r="F569" s="13">
        <f t="shared" si="25"/>
        <v>0</v>
      </c>
      <c r="H569" s="13">
        <f t="shared" si="26"/>
        <v>0</v>
      </c>
    </row>
    <row r="570" spans="1:9" x14ac:dyDescent="0.15">
      <c r="A570" s="7" t="s">
        <v>346</v>
      </c>
      <c r="B570" s="7" t="s">
        <v>193</v>
      </c>
      <c r="C570" s="8">
        <f>3-0.125-0.2</f>
        <v>2.6749999999999998</v>
      </c>
      <c r="D570" s="9">
        <v>2</v>
      </c>
      <c r="E570" s="8">
        <f>0.194*2+0.15*4</f>
        <v>0.98799999999999999</v>
      </c>
      <c r="F570" s="13">
        <f t="shared" si="25"/>
        <v>5.29</v>
      </c>
      <c r="G570" s="21">
        <v>29.48</v>
      </c>
      <c r="H570" s="13">
        <f t="shared" si="26"/>
        <v>0.16</v>
      </c>
      <c r="I570" s="11" t="s">
        <v>407</v>
      </c>
    </row>
    <row r="571" spans="1:9" x14ac:dyDescent="0.15">
      <c r="C571" s="8">
        <v>3</v>
      </c>
      <c r="D571" s="9">
        <v>1</v>
      </c>
      <c r="E571" s="8">
        <f>0.194*2+0.15*4</f>
        <v>0.98799999999999999</v>
      </c>
      <c r="F571" s="13">
        <f t="shared" si="25"/>
        <v>2.96</v>
      </c>
      <c r="G571" s="21">
        <v>29.48</v>
      </c>
      <c r="H571" s="13">
        <f t="shared" si="26"/>
        <v>0.09</v>
      </c>
      <c r="I571" s="11" t="s">
        <v>407</v>
      </c>
    </row>
    <row r="572" spans="1:9" x14ac:dyDescent="0.15">
      <c r="C572" s="8">
        <f>3.426-0.15-0.125</f>
        <v>3.1510000000000002</v>
      </c>
      <c r="D572" s="9">
        <v>2</v>
      </c>
      <c r="E572" s="8">
        <f>0.194*2+0.15*4</f>
        <v>0.98799999999999999</v>
      </c>
      <c r="F572" s="13">
        <f t="shared" si="25"/>
        <v>6.23</v>
      </c>
      <c r="G572" s="21">
        <v>29.48</v>
      </c>
      <c r="H572" s="13">
        <f t="shared" si="26"/>
        <v>0.19</v>
      </c>
      <c r="I572" s="11" t="s">
        <v>407</v>
      </c>
    </row>
    <row r="573" spans="1:9" x14ac:dyDescent="0.15">
      <c r="C573" s="8">
        <v>3</v>
      </c>
      <c r="D573" s="9">
        <v>2</v>
      </c>
      <c r="E573" s="8">
        <f>0.194*2+0.15*4</f>
        <v>0.98799999999999999</v>
      </c>
      <c r="F573" s="13">
        <f t="shared" si="25"/>
        <v>5.93</v>
      </c>
      <c r="G573" s="21">
        <v>29.48</v>
      </c>
      <c r="H573" s="13">
        <f t="shared" si="26"/>
        <v>0.18</v>
      </c>
      <c r="I573" s="11" t="s">
        <v>407</v>
      </c>
    </row>
    <row r="574" spans="1:9" x14ac:dyDescent="0.15">
      <c r="A574" s="7" t="s">
        <v>559</v>
      </c>
      <c r="F574" s="13">
        <f t="shared" si="25"/>
        <v>0</v>
      </c>
      <c r="H574" s="13">
        <f t="shared" si="26"/>
        <v>0</v>
      </c>
    </row>
    <row r="575" spans="1:9" x14ac:dyDescent="0.15">
      <c r="A575" s="7" t="s">
        <v>560</v>
      </c>
      <c r="B575" s="7" t="s">
        <v>307</v>
      </c>
      <c r="C575" s="8">
        <v>3</v>
      </c>
      <c r="D575" s="9">
        <v>2</v>
      </c>
      <c r="E575" s="8">
        <f>0.148*2+0.1*4</f>
        <v>0.69599999999999995</v>
      </c>
      <c r="F575" s="13">
        <f t="shared" si="25"/>
        <v>4.18</v>
      </c>
      <c r="G575" s="21">
        <v>20.25</v>
      </c>
      <c r="H575" s="13">
        <f t="shared" si="26"/>
        <v>0.12</v>
      </c>
      <c r="I575" s="11" t="s">
        <v>407</v>
      </c>
    </row>
    <row r="576" spans="1:9" x14ac:dyDescent="0.15">
      <c r="A576" s="7" t="s">
        <v>561</v>
      </c>
      <c r="F576" s="13">
        <f t="shared" si="25"/>
        <v>0</v>
      </c>
      <c r="H576" s="13">
        <f t="shared" si="26"/>
        <v>0</v>
      </c>
    </row>
    <row r="577" spans="1:9" x14ac:dyDescent="0.15">
      <c r="A577" s="7" t="s">
        <v>560</v>
      </c>
      <c r="B577" s="7" t="s">
        <v>307</v>
      </c>
      <c r="C577" s="8">
        <v>3</v>
      </c>
      <c r="D577" s="9">
        <v>10</v>
      </c>
      <c r="E577" s="8">
        <f>0.148*2+0.1*4</f>
        <v>0.69599999999999995</v>
      </c>
      <c r="F577" s="13">
        <f t="shared" si="25"/>
        <v>20.88</v>
      </c>
      <c r="G577" s="21">
        <v>20.25</v>
      </c>
      <c r="H577" s="13">
        <f t="shared" si="26"/>
        <v>0.61</v>
      </c>
      <c r="I577" s="11" t="s">
        <v>407</v>
      </c>
    </row>
    <row r="578" spans="1:9" x14ac:dyDescent="0.15">
      <c r="C578" s="8">
        <v>3</v>
      </c>
      <c r="D578" s="9">
        <v>3</v>
      </c>
      <c r="E578" s="8">
        <f>0.148*2+0.1*4</f>
        <v>0.69599999999999995</v>
      </c>
      <c r="F578" s="13">
        <f t="shared" ref="F578:F618" si="27">ROUND(PRODUCT($C578:$E578),2)</f>
        <v>6.26</v>
      </c>
      <c r="G578" s="21">
        <v>20.25</v>
      </c>
      <c r="H578" s="13">
        <f t="shared" ref="H578:H618" si="28">ROUND(PRODUCT($C578:$D578,$G578)*0.001,2)</f>
        <v>0.18</v>
      </c>
      <c r="I578" s="11" t="s">
        <v>407</v>
      </c>
    </row>
    <row r="579" spans="1:9" x14ac:dyDescent="0.15">
      <c r="A579" s="7" t="s">
        <v>346</v>
      </c>
      <c r="B579" s="7" t="s">
        <v>193</v>
      </c>
      <c r="C579" s="8">
        <v>3</v>
      </c>
      <c r="D579" s="9">
        <v>2</v>
      </c>
      <c r="E579" s="8">
        <f>0.194*2+0.15*4</f>
        <v>0.98799999999999999</v>
      </c>
      <c r="F579" s="13">
        <f t="shared" si="27"/>
        <v>5.93</v>
      </c>
      <c r="G579" s="21">
        <v>29.48</v>
      </c>
      <c r="H579" s="13">
        <f t="shared" si="28"/>
        <v>0.18</v>
      </c>
      <c r="I579" s="11" t="s">
        <v>407</v>
      </c>
    </row>
    <row r="580" spans="1:9" x14ac:dyDescent="0.15">
      <c r="C580" s="8">
        <v>3</v>
      </c>
      <c r="D580" s="9">
        <v>2</v>
      </c>
      <c r="E580" s="8">
        <f>0.194*2+0.15*4</f>
        <v>0.98799999999999999</v>
      </c>
      <c r="F580" s="13">
        <f t="shared" si="27"/>
        <v>5.93</v>
      </c>
      <c r="G580" s="21">
        <v>29.48</v>
      </c>
      <c r="H580" s="13">
        <f t="shared" si="28"/>
        <v>0.18</v>
      </c>
      <c r="I580" s="11" t="s">
        <v>407</v>
      </c>
    </row>
    <row r="581" spans="1:9" x14ac:dyDescent="0.15">
      <c r="C581" s="8">
        <f>3-0.2-0.175</f>
        <v>2.625</v>
      </c>
      <c r="D581" s="9">
        <v>2</v>
      </c>
      <c r="E581" s="8">
        <f>0.194*2+0.15*4</f>
        <v>0.98799999999999999</v>
      </c>
      <c r="F581" s="13">
        <f t="shared" si="27"/>
        <v>5.19</v>
      </c>
      <c r="G581" s="21">
        <v>29.48</v>
      </c>
      <c r="H581" s="13">
        <f t="shared" si="28"/>
        <v>0.15</v>
      </c>
      <c r="I581" s="11" t="s">
        <v>407</v>
      </c>
    </row>
    <row r="582" spans="1:9" x14ac:dyDescent="0.15">
      <c r="C582" s="8">
        <f>4.19-0.125-0.15</f>
        <v>3.9150000000000005</v>
      </c>
      <c r="D582" s="9">
        <v>2</v>
      </c>
      <c r="E582" s="8">
        <f>0.194*2+0.15*4</f>
        <v>0.98799999999999999</v>
      </c>
      <c r="F582" s="13">
        <f t="shared" si="27"/>
        <v>7.74</v>
      </c>
      <c r="G582" s="21">
        <v>29.48</v>
      </c>
      <c r="H582" s="13">
        <f t="shared" si="28"/>
        <v>0.23</v>
      </c>
      <c r="I582" s="11" t="s">
        <v>407</v>
      </c>
    </row>
    <row r="583" spans="1:9" x14ac:dyDescent="0.15">
      <c r="A583" s="7" t="s">
        <v>536</v>
      </c>
      <c r="B583" s="7" t="s">
        <v>553</v>
      </c>
      <c r="C583" s="8">
        <v>3</v>
      </c>
      <c r="D583" s="9">
        <v>2</v>
      </c>
      <c r="E583" s="8">
        <f>0.244*2+0.175*4</f>
        <v>1.1879999999999999</v>
      </c>
      <c r="F583" s="13">
        <f t="shared" si="27"/>
        <v>7.13</v>
      </c>
      <c r="G583" s="21">
        <v>42.42</v>
      </c>
      <c r="H583" s="13">
        <f t="shared" si="28"/>
        <v>0.25</v>
      </c>
      <c r="I583" s="11" t="s">
        <v>407</v>
      </c>
    </row>
    <row r="584" spans="1:9" x14ac:dyDescent="0.15">
      <c r="C584" s="8">
        <f>10-0.175-0.15</f>
        <v>9.6749999999999989</v>
      </c>
      <c r="D584" s="9">
        <v>2</v>
      </c>
      <c r="E584" s="8">
        <f>0.244*2+0.175*4</f>
        <v>1.1879999999999999</v>
      </c>
      <c r="F584" s="13">
        <f t="shared" si="27"/>
        <v>22.99</v>
      </c>
      <c r="G584" s="21">
        <v>42.42</v>
      </c>
      <c r="H584" s="13">
        <f t="shared" si="28"/>
        <v>0.82</v>
      </c>
      <c r="I584" s="11" t="s">
        <v>407</v>
      </c>
    </row>
    <row r="585" spans="1:9" x14ac:dyDescent="0.15">
      <c r="C585" s="8">
        <f>9-0.15</f>
        <v>8.85</v>
      </c>
      <c r="D585" s="9">
        <v>2</v>
      </c>
      <c r="E585" s="8">
        <f>0.244*2+0.175*4</f>
        <v>1.1879999999999999</v>
      </c>
      <c r="F585" s="13">
        <f t="shared" si="27"/>
        <v>21.03</v>
      </c>
      <c r="G585" s="21">
        <v>42.42</v>
      </c>
      <c r="H585" s="13">
        <f t="shared" si="28"/>
        <v>0.75</v>
      </c>
      <c r="I585" s="11" t="s">
        <v>407</v>
      </c>
    </row>
    <row r="586" spans="1:9" x14ac:dyDescent="0.15">
      <c r="A586" s="7" t="s">
        <v>538</v>
      </c>
      <c r="B586" s="7" t="s">
        <v>418</v>
      </c>
      <c r="C586" s="8">
        <f>27-0.2*2</f>
        <v>26.6</v>
      </c>
      <c r="D586" s="9">
        <v>2</v>
      </c>
      <c r="E586" s="8">
        <f>0.6*2+0.2*4</f>
        <v>2</v>
      </c>
      <c r="F586" s="13">
        <f t="shared" si="27"/>
        <v>106.4</v>
      </c>
      <c r="G586" s="21">
        <v>102.25</v>
      </c>
      <c r="H586" s="13">
        <f t="shared" si="28"/>
        <v>5.44</v>
      </c>
      <c r="I586" s="11" t="s">
        <v>407</v>
      </c>
    </row>
    <row r="587" spans="1:9" x14ac:dyDescent="0.15">
      <c r="A587" s="7" t="s">
        <v>438</v>
      </c>
      <c r="B587" s="7" t="s">
        <v>403</v>
      </c>
      <c r="C587" s="8">
        <f>1.2*2^0.5</f>
        <v>1.697056274847714</v>
      </c>
      <c r="D587" s="9">
        <v>12</v>
      </c>
      <c r="E587" s="8">
        <f>0.14*2+0.058*4</f>
        <v>0.51200000000000001</v>
      </c>
      <c r="F587" s="13">
        <f t="shared" si="27"/>
        <v>10.43</v>
      </c>
      <c r="G587" s="21">
        <v>14.5</v>
      </c>
      <c r="H587" s="13">
        <f t="shared" si="28"/>
        <v>0.3</v>
      </c>
      <c r="I587" s="11" t="s">
        <v>496</v>
      </c>
    </row>
    <row r="588" spans="1:9" x14ac:dyDescent="0.15">
      <c r="A588" s="7" t="s">
        <v>539</v>
      </c>
      <c r="B588" s="7" t="s">
        <v>540</v>
      </c>
      <c r="C588" s="8">
        <f>1.2*2^0.5</f>
        <v>1.697056274847714</v>
      </c>
      <c r="D588" s="9">
        <v>4</v>
      </c>
      <c r="E588" s="8">
        <f>0.194*2+0.15*4</f>
        <v>0.98799999999999999</v>
      </c>
      <c r="F588" s="13">
        <f t="shared" si="27"/>
        <v>6.71</v>
      </c>
      <c r="G588" s="21">
        <v>29.48</v>
      </c>
      <c r="H588" s="13">
        <f t="shared" si="28"/>
        <v>0.2</v>
      </c>
      <c r="I588" s="11" t="s">
        <v>496</v>
      </c>
    </row>
    <row r="589" spans="1:9" x14ac:dyDescent="0.15">
      <c r="A589" s="7" t="s">
        <v>562</v>
      </c>
      <c r="F589" s="13">
        <f t="shared" si="27"/>
        <v>0</v>
      </c>
      <c r="H589" s="13">
        <f t="shared" si="28"/>
        <v>0</v>
      </c>
    </row>
    <row r="590" spans="1:9" x14ac:dyDescent="0.15">
      <c r="A590" s="7" t="s">
        <v>560</v>
      </c>
      <c r="B590" s="7" t="s">
        <v>307</v>
      </c>
      <c r="C590" s="8">
        <v>3</v>
      </c>
      <c r="D590" s="9">
        <v>10</v>
      </c>
      <c r="E590" s="8">
        <f>0.148*2+0.1*4</f>
        <v>0.69599999999999995</v>
      </c>
      <c r="F590" s="13">
        <f t="shared" si="27"/>
        <v>20.88</v>
      </c>
      <c r="G590" s="21">
        <v>20.25</v>
      </c>
      <c r="H590" s="13">
        <f t="shared" si="28"/>
        <v>0.61</v>
      </c>
      <c r="I590" s="11" t="s">
        <v>491</v>
      </c>
    </row>
    <row r="591" spans="1:9" x14ac:dyDescent="0.15">
      <c r="A591" s="7" t="s">
        <v>346</v>
      </c>
      <c r="B591" s="7" t="s">
        <v>193</v>
      </c>
      <c r="C591" s="8">
        <v>3</v>
      </c>
      <c r="D591" s="9">
        <v>3</v>
      </c>
      <c r="E591" s="8">
        <f>0.194*2+0.15*4</f>
        <v>0.98799999999999999</v>
      </c>
      <c r="F591" s="13">
        <f t="shared" si="27"/>
        <v>8.89</v>
      </c>
      <c r="G591" s="21">
        <v>29.48</v>
      </c>
      <c r="H591" s="13">
        <f t="shared" si="28"/>
        <v>0.27</v>
      </c>
      <c r="I591" s="11" t="s">
        <v>491</v>
      </c>
    </row>
    <row r="592" spans="1:9" x14ac:dyDescent="0.15">
      <c r="C592" s="8">
        <f>3-0.125-0.2</f>
        <v>2.6749999999999998</v>
      </c>
      <c r="D592" s="9">
        <v>2</v>
      </c>
      <c r="E592" s="8">
        <f>0.194*2+0.15*4</f>
        <v>0.98799999999999999</v>
      </c>
      <c r="F592" s="13">
        <f t="shared" si="27"/>
        <v>5.29</v>
      </c>
      <c r="G592" s="21">
        <v>29.48</v>
      </c>
      <c r="H592" s="13">
        <f t="shared" si="28"/>
        <v>0.16</v>
      </c>
      <c r="I592" s="11" t="s">
        <v>491</v>
      </c>
    </row>
    <row r="593" spans="1:9" x14ac:dyDescent="0.15">
      <c r="C593" s="8">
        <f>3-0.2-0.175</f>
        <v>2.625</v>
      </c>
      <c r="D593" s="9">
        <v>2</v>
      </c>
      <c r="E593" s="8">
        <f>0.194*2+0.15*4</f>
        <v>0.98799999999999999</v>
      </c>
      <c r="F593" s="13">
        <f t="shared" si="27"/>
        <v>5.19</v>
      </c>
      <c r="G593" s="21">
        <v>29.48</v>
      </c>
      <c r="H593" s="13">
        <f t="shared" si="28"/>
        <v>0.15</v>
      </c>
      <c r="I593" s="11" t="s">
        <v>491</v>
      </c>
    </row>
    <row r="594" spans="1:9" x14ac:dyDescent="0.15">
      <c r="C594" s="8">
        <f>3.426-0.15-0.125</f>
        <v>3.1510000000000002</v>
      </c>
      <c r="D594" s="9">
        <v>2</v>
      </c>
      <c r="E594" s="8">
        <f>0.194*2+0.15*4</f>
        <v>0.98799999999999999</v>
      </c>
      <c r="F594" s="13">
        <f t="shared" si="27"/>
        <v>6.23</v>
      </c>
      <c r="G594" s="21">
        <v>29.48</v>
      </c>
      <c r="H594" s="13">
        <f t="shared" si="28"/>
        <v>0.19</v>
      </c>
      <c r="I594" s="11" t="s">
        <v>491</v>
      </c>
    </row>
    <row r="595" spans="1:9" x14ac:dyDescent="0.15">
      <c r="A595" s="7" t="s">
        <v>536</v>
      </c>
      <c r="B595" s="7" t="s">
        <v>553</v>
      </c>
      <c r="C595" s="8">
        <v>3</v>
      </c>
      <c r="D595" s="9">
        <v>2</v>
      </c>
      <c r="E595" s="8">
        <f>0.244*2+0.175*4</f>
        <v>1.1879999999999999</v>
      </c>
      <c r="F595" s="13">
        <f t="shared" si="27"/>
        <v>7.13</v>
      </c>
      <c r="G595" s="21">
        <v>42.42</v>
      </c>
      <c r="H595" s="13">
        <f t="shared" si="28"/>
        <v>0.25</v>
      </c>
      <c r="I595" s="11" t="s">
        <v>491</v>
      </c>
    </row>
    <row r="596" spans="1:9" x14ac:dyDescent="0.15">
      <c r="A596" s="7" t="s">
        <v>563</v>
      </c>
      <c r="B596" s="7" t="s">
        <v>564</v>
      </c>
      <c r="C596" s="8">
        <f>10-0.175-0.15</f>
        <v>9.6749999999999989</v>
      </c>
      <c r="D596" s="9">
        <v>2</v>
      </c>
      <c r="E596" s="8">
        <f>0.294*2+0.2*4</f>
        <v>1.3879999999999999</v>
      </c>
      <c r="F596" s="13">
        <f t="shared" si="27"/>
        <v>26.86</v>
      </c>
      <c r="G596" s="21">
        <v>54.63</v>
      </c>
      <c r="H596" s="13">
        <f t="shared" si="28"/>
        <v>1.06</v>
      </c>
      <c r="I596" s="11" t="s">
        <v>491</v>
      </c>
    </row>
    <row r="597" spans="1:9" x14ac:dyDescent="0.15">
      <c r="A597" s="7" t="s">
        <v>538</v>
      </c>
      <c r="B597" s="7" t="s">
        <v>418</v>
      </c>
      <c r="C597" s="8">
        <f>27-0.2*2</f>
        <v>26.6</v>
      </c>
      <c r="D597" s="9">
        <v>2</v>
      </c>
      <c r="E597" s="8">
        <f>0.6*2+0.2*4</f>
        <v>2</v>
      </c>
      <c r="F597" s="13">
        <f t="shared" si="27"/>
        <v>106.4</v>
      </c>
      <c r="G597" s="21">
        <v>102.25</v>
      </c>
      <c r="H597" s="13">
        <f t="shared" si="28"/>
        <v>5.44</v>
      </c>
      <c r="I597" s="11" t="s">
        <v>491</v>
      </c>
    </row>
    <row r="598" spans="1:9" x14ac:dyDescent="0.15">
      <c r="A598" s="7" t="s">
        <v>438</v>
      </c>
      <c r="B598" s="7" t="s">
        <v>403</v>
      </c>
      <c r="C598" s="8">
        <f>1.2*2^0.5</f>
        <v>1.697056274847714</v>
      </c>
      <c r="D598" s="9">
        <v>8</v>
      </c>
      <c r="E598" s="8">
        <f>0.14*2+0.058*4</f>
        <v>0.51200000000000001</v>
      </c>
      <c r="F598" s="13">
        <f t="shared" si="27"/>
        <v>6.95</v>
      </c>
      <c r="G598" s="21">
        <v>14.5</v>
      </c>
      <c r="H598" s="13">
        <f t="shared" si="28"/>
        <v>0.2</v>
      </c>
      <c r="I598" s="11" t="s">
        <v>496</v>
      </c>
    </row>
    <row r="599" spans="1:9" x14ac:dyDescent="0.15">
      <c r="A599" s="7" t="s">
        <v>565</v>
      </c>
      <c r="F599" s="13">
        <f t="shared" si="27"/>
        <v>0</v>
      </c>
      <c r="H599" s="13">
        <f t="shared" si="28"/>
        <v>0</v>
      </c>
    </row>
    <row r="600" spans="1:9" x14ac:dyDescent="0.15">
      <c r="A600" s="7" t="s">
        <v>566</v>
      </c>
      <c r="B600" s="7" t="s">
        <v>567</v>
      </c>
      <c r="C600" s="8">
        <f>66.5-60.7-0.148</f>
        <v>5.6519999999999975</v>
      </c>
      <c r="D600" s="9">
        <v>1</v>
      </c>
      <c r="E600" s="8">
        <f>0.25*2+0.25*4</f>
        <v>1.5</v>
      </c>
      <c r="F600" s="13">
        <f t="shared" si="27"/>
        <v>8.48</v>
      </c>
      <c r="G600" s="21">
        <v>70.63</v>
      </c>
      <c r="H600" s="13">
        <f t="shared" si="28"/>
        <v>0.4</v>
      </c>
      <c r="I600" s="11" t="s">
        <v>568</v>
      </c>
    </row>
    <row r="601" spans="1:9" x14ac:dyDescent="0.15">
      <c r="A601" s="7" t="s">
        <v>570</v>
      </c>
      <c r="B601" s="7" t="s">
        <v>572</v>
      </c>
      <c r="D601" s="9">
        <v>1</v>
      </c>
      <c r="E601" s="8">
        <f>(0.45-0.1)*2*0.3</f>
        <v>0.21</v>
      </c>
      <c r="F601" s="13">
        <f t="shared" si="27"/>
        <v>0.21</v>
      </c>
      <c r="G601" s="21">
        <f>0.45*0.012*0.3*7850</f>
        <v>12.717000000000001</v>
      </c>
      <c r="H601" s="13">
        <f t="shared" si="28"/>
        <v>0.01</v>
      </c>
      <c r="I601" s="11" t="s">
        <v>568</v>
      </c>
    </row>
    <row r="602" spans="1:9" x14ac:dyDescent="0.15">
      <c r="A602" s="7" t="s">
        <v>573</v>
      </c>
      <c r="B602" s="7" t="s">
        <v>574</v>
      </c>
      <c r="C602" s="8">
        <v>0.8</v>
      </c>
      <c r="D602" s="9">
        <v>1</v>
      </c>
      <c r="E602" s="8">
        <f>0.148*2+0.1*4</f>
        <v>0.69599999999999995</v>
      </c>
      <c r="F602" s="13">
        <f t="shared" si="27"/>
        <v>0.56000000000000005</v>
      </c>
      <c r="G602" s="21">
        <v>20.25</v>
      </c>
      <c r="H602" s="13">
        <f t="shared" si="28"/>
        <v>0.02</v>
      </c>
      <c r="I602" s="11" t="s">
        <v>496</v>
      </c>
    </row>
    <row r="603" spans="1:9" x14ac:dyDescent="0.15">
      <c r="A603" s="7" t="s">
        <v>576</v>
      </c>
      <c r="B603" s="7" t="s">
        <v>578</v>
      </c>
      <c r="C603" s="8">
        <v>0.13</v>
      </c>
      <c r="D603" s="9">
        <f>2*1</f>
        <v>2</v>
      </c>
      <c r="E603" s="8">
        <f>0.047*2</f>
        <v>9.4E-2</v>
      </c>
      <c r="F603" s="13">
        <f t="shared" si="27"/>
        <v>0.02</v>
      </c>
      <c r="G603" s="21">
        <f>0.047*0.006*7850</f>
        <v>2.2137000000000002</v>
      </c>
      <c r="H603" s="13">
        <f t="shared" si="28"/>
        <v>0</v>
      </c>
      <c r="I603" s="11" t="s">
        <v>496</v>
      </c>
    </row>
    <row r="604" spans="1:9" x14ac:dyDescent="0.15">
      <c r="A604" s="7" t="s">
        <v>579</v>
      </c>
      <c r="F604" s="13">
        <f t="shared" si="27"/>
        <v>0</v>
      </c>
      <c r="H604" s="13">
        <f t="shared" si="28"/>
        <v>0</v>
      </c>
    </row>
    <row r="605" spans="1:9" x14ac:dyDescent="0.15">
      <c r="A605" s="7" t="s">
        <v>39</v>
      </c>
      <c r="B605" s="7" t="s">
        <v>296</v>
      </c>
      <c r="C605" s="8">
        <f>66.5-60.7-0.148</f>
        <v>5.6519999999999975</v>
      </c>
      <c r="D605" s="9">
        <v>1</v>
      </c>
      <c r="E605" s="8">
        <f>0.25*2+0.25*4</f>
        <v>1.5</v>
      </c>
      <c r="F605" s="13">
        <f t="shared" si="27"/>
        <v>8.48</v>
      </c>
      <c r="G605" s="21">
        <v>70.63</v>
      </c>
      <c r="H605" s="13">
        <f t="shared" si="28"/>
        <v>0.4</v>
      </c>
      <c r="I605" s="11" t="s">
        <v>483</v>
      </c>
    </row>
    <row r="606" spans="1:9" x14ac:dyDescent="0.15">
      <c r="A606" s="7" t="s">
        <v>569</v>
      </c>
      <c r="B606" s="7" t="s">
        <v>571</v>
      </c>
      <c r="D606" s="9">
        <v>1</v>
      </c>
      <c r="E606" s="8">
        <f>(0.45-0.1)*2*0.3</f>
        <v>0.21</v>
      </c>
      <c r="F606" s="13">
        <f t="shared" si="27"/>
        <v>0.21</v>
      </c>
      <c r="G606" s="21">
        <f>0.45*0.012*0.3*7850</f>
        <v>12.717000000000001</v>
      </c>
      <c r="H606" s="13">
        <f t="shared" si="28"/>
        <v>0.01</v>
      </c>
      <c r="I606" s="11" t="s">
        <v>483</v>
      </c>
    </row>
    <row r="607" spans="1:9" x14ac:dyDescent="0.15">
      <c r="A607" s="7" t="s">
        <v>18</v>
      </c>
      <c r="B607" s="7" t="s">
        <v>307</v>
      </c>
      <c r="C607" s="8">
        <v>0.8</v>
      </c>
      <c r="D607" s="9">
        <v>1</v>
      </c>
      <c r="E607" s="8">
        <f>0.148*2+0.1*4</f>
        <v>0.69599999999999995</v>
      </c>
      <c r="F607" s="13">
        <f t="shared" si="27"/>
        <v>0.56000000000000005</v>
      </c>
      <c r="G607" s="21">
        <v>20.25</v>
      </c>
      <c r="H607" s="13">
        <f t="shared" si="28"/>
        <v>0.02</v>
      </c>
      <c r="I607" s="11" t="s">
        <v>407</v>
      </c>
    </row>
    <row r="608" spans="1:9" x14ac:dyDescent="0.15">
      <c r="A608" s="7" t="s">
        <v>575</v>
      </c>
      <c r="B608" s="7" t="s">
        <v>577</v>
      </c>
      <c r="C608" s="8">
        <v>0.13</v>
      </c>
      <c r="D608" s="9">
        <f>2*1</f>
        <v>2</v>
      </c>
      <c r="E608" s="8">
        <f>0.047*2</f>
        <v>9.4E-2</v>
      </c>
      <c r="F608" s="13">
        <f t="shared" si="27"/>
        <v>0.02</v>
      </c>
      <c r="G608" s="21">
        <f>0.047*0.006*7850</f>
        <v>2.2137000000000002</v>
      </c>
      <c r="H608" s="13">
        <f t="shared" si="28"/>
        <v>0</v>
      </c>
      <c r="I608" s="11" t="s">
        <v>407</v>
      </c>
    </row>
    <row r="609" spans="1:9" x14ac:dyDescent="0.15">
      <c r="A609" s="7" t="s">
        <v>580</v>
      </c>
      <c r="F609" s="13">
        <f t="shared" si="27"/>
        <v>0</v>
      </c>
      <c r="H609" s="13">
        <f t="shared" si="28"/>
        <v>0</v>
      </c>
    </row>
    <row r="610" spans="1:9" x14ac:dyDescent="0.15">
      <c r="A610" s="7" t="s">
        <v>39</v>
      </c>
      <c r="B610" s="7" t="s">
        <v>296</v>
      </c>
      <c r="C610" s="8">
        <f>66.5-60.7-0.148</f>
        <v>5.6519999999999975</v>
      </c>
      <c r="D610" s="9">
        <v>1</v>
      </c>
      <c r="E610" s="8">
        <f>0.25*2+0.25*4</f>
        <v>1.5</v>
      </c>
      <c r="F610" s="13">
        <f t="shared" si="27"/>
        <v>8.48</v>
      </c>
      <c r="G610" s="21">
        <v>70.63</v>
      </c>
      <c r="H610" s="13">
        <f t="shared" si="28"/>
        <v>0.4</v>
      </c>
      <c r="I610" s="11" t="s">
        <v>483</v>
      </c>
    </row>
    <row r="611" spans="1:9" x14ac:dyDescent="0.15">
      <c r="A611" s="7" t="s">
        <v>569</v>
      </c>
      <c r="B611" s="7" t="s">
        <v>571</v>
      </c>
      <c r="D611" s="9">
        <v>1</v>
      </c>
      <c r="E611" s="8">
        <f>(0.45-0.1)*2*0.3</f>
        <v>0.21</v>
      </c>
      <c r="F611" s="13">
        <f t="shared" si="27"/>
        <v>0.21</v>
      </c>
      <c r="G611" s="21">
        <f>0.45*0.012*0.3*7850</f>
        <v>12.717000000000001</v>
      </c>
      <c r="H611" s="13">
        <f t="shared" si="28"/>
        <v>0.01</v>
      </c>
      <c r="I611" s="11" t="s">
        <v>483</v>
      </c>
    </row>
    <row r="612" spans="1:9" x14ac:dyDescent="0.15">
      <c r="A612" s="7" t="s">
        <v>18</v>
      </c>
      <c r="B612" s="7" t="s">
        <v>307</v>
      </c>
      <c r="C612" s="8">
        <v>0.8</v>
      </c>
      <c r="D612" s="9">
        <v>1</v>
      </c>
      <c r="E612" s="8">
        <f>0.148*2+0.1*4</f>
        <v>0.69599999999999995</v>
      </c>
      <c r="F612" s="13">
        <f t="shared" si="27"/>
        <v>0.56000000000000005</v>
      </c>
      <c r="G612" s="21">
        <v>20.25</v>
      </c>
      <c r="H612" s="13">
        <f t="shared" si="28"/>
        <v>0.02</v>
      </c>
      <c r="I612" s="11" t="s">
        <v>407</v>
      </c>
    </row>
    <row r="613" spans="1:9" x14ac:dyDescent="0.15">
      <c r="A613" s="7" t="s">
        <v>575</v>
      </c>
      <c r="B613" s="7" t="s">
        <v>577</v>
      </c>
      <c r="C613" s="8">
        <v>0.13</v>
      </c>
      <c r="D613" s="9">
        <f>2*1</f>
        <v>2</v>
      </c>
      <c r="E613" s="8">
        <f>0.047*2</f>
        <v>9.4E-2</v>
      </c>
      <c r="F613" s="13">
        <f t="shared" si="27"/>
        <v>0.02</v>
      </c>
      <c r="G613" s="21">
        <f>0.047*0.006*7850</f>
        <v>2.2137000000000002</v>
      </c>
      <c r="H613" s="13">
        <f t="shared" si="28"/>
        <v>0</v>
      </c>
      <c r="I613" s="11" t="s">
        <v>407</v>
      </c>
    </row>
    <row r="614" spans="1:9" x14ac:dyDescent="0.15">
      <c r="A614" s="7" t="s">
        <v>581</v>
      </c>
      <c r="F614" s="13">
        <f t="shared" si="27"/>
        <v>0</v>
      </c>
      <c r="H614" s="13">
        <f t="shared" si="28"/>
        <v>0</v>
      </c>
    </row>
    <row r="615" spans="1:9" x14ac:dyDescent="0.15">
      <c r="A615" s="7" t="s">
        <v>39</v>
      </c>
      <c r="B615" s="7" t="s">
        <v>296</v>
      </c>
      <c r="C615" s="8">
        <f>66.5-60.7-0.148</f>
        <v>5.6519999999999975</v>
      </c>
      <c r="D615" s="9">
        <v>1</v>
      </c>
      <c r="E615" s="8">
        <f>0.25*2+0.25*4</f>
        <v>1.5</v>
      </c>
      <c r="F615" s="13">
        <f t="shared" si="27"/>
        <v>8.48</v>
      </c>
      <c r="G615" s="21">
        <v>70.63</v>
      </c>
      <c r="H615" s="13">
        <f t="shared" si="28"/>
        <v>0.4</v>
      </c>
      <c r="I615" s="11" t="s">
        <v>483</v>
      </c>
    </row>
    <row r="616" spans="1:9" x14ac:dyDescent="0.15">
      <c r="A616" s="7" t="s">
        <v>569</v>
      </c>
      <c r="B616" s="7" t="s">
        <v>571</v>
      </c>
      <c r="D616" s="9">
        <v>1</v>
      </c>
      <c r="E616" s="8">
        <f>(0.45-0.1)*2*0.3</f>
        <v>0.21</v>
      </c>
      <c r="F616" s="13">
        <f t="shared" si="27"/>
        <v>0.21</v>
      </c>
      <c r="G616" s="21">
        <f>0.45*0.012*0.3*7850</f>
        <v>12.717000000000001</v>
      </c>
      <c r="H616" s="13">
        <f t="shared" si="28"/>
        <v>0.01</v>
      </c>
      <c r="I616" s="11" t="s">
        <v>483</v>
      </c>
    </row>
    <row r="617" spans="1:9" x14ac:dyDescent="0.15">
      <c r="A617" s="7" t="s">
        <v>18</v>
      </c>
      <c r="B617" s="7" t="s">
        <v>307</v>
      </c>
      <c r="C617" s="8">
        <v>0.8</v>
      </c>
      <c r="D617" s="9">
        <v>1</v>
      </c>
      <c r="E617" s="8">
        <f>0.148*2+0.1*4</f>
        <v>0.69599999999999995</v>
      </c>
      <c r="F617" s="13">
        <f t="shared" si="27"/>
        <v>0.56000000000000005</v>
      </c>
      <c r="G617" s="21">
        <v>20.25</v>
      </c>
      <c r="H617" s="13">
        <f t="shared" si="28"/>
        <v>0.02</v>
      </c>
      <c r="I617" s="11" t="s">
        <v>407</v>
      </c>
    </row>
    <row r="618" spans="1:9" x14ac:dyDescent="0.15">
      <c r="A618" s="7" t="s">
        <v>575</v>
      </c>
      <c r="B618" s="7" t="s">
        <v>577</v>
      </c>
      <c r="C618" s="8">
        <v>0.13</v>
      </c>
      <c r="D618" s="9">
        <f>2*1</f>
        <v>2</v>
      </c>
      <c r="E618" s="8">
        <f>0.047*2</f>
        <v>9.4E-2</v>
      </c>
      <c r="F618" s="13">
        <f t="shared" si="27"/>
        <v>0.02</v>
      </c>
      <c r="G618" s="21">
        <f>0.047*0.006*7850</f>
        <v>2.2137000000000002</v>
      </c>
      <c r="H618" s="13">
        <f t="shared" si="28"/>
        <v>0</v>
      </c>
      <c r="I618" s="11" t="s">
        <v>407</v>
      </c>
    </row>
    <row r="619" spans="1:9" x14ac:dyDescent="0.15">
      <c r="A619" s="7" t="s">
        <v>582</v>
      </c>
      <c r="F619" s="13">
        <f>SUBTOTAL(109,F2:F618)</f>
        <v>8061.1800000000076</v>
      </c>
      <c r="H619" s="13">
        <f>SUBTOTAL(109,H2:H618)</f>
        <v>368.20000000000005</v>
      </c>
    </row>
  </sheetData>
  <phoneticPr fontId="3" type="noConversion"/>
  <conditionalFormatting sqref="A1:I1048576">
    <cfRule type="expression" dxfId="4" priority="1">
      <formula>(ROW()=1)+($A1="汇总")</formula>
    </cfRule>
    <cfRule type="expression" dxfId="3" priority="2">
      <formula>(ROW()&gt;1)*($A1&lt;&gt;"汇总")*(MOD(ROW(),2)=0)*($A1&lt;&gt;"")*($B1&amp;$C1&amp;$D1&amp;$E1&amp;$G1&amp;$I1="")</formula>
    </cfRule>
    <cfRule type="expression" dxfId="2" priority="3">
      <formula>(ROW()&gt;1)*($A1&lt;&gt;"汇总")*(MOD(ROW(),2)=0)*($B1&amp;$C1&amp;$D1&amp;$E1&amp;$G1&amp;$I1&lt;&gt;"")</formula>
    </cfRule>
    <cfRule type="expression" dxfId="1" priority="4">
      <formula>(ROW()&gt;1)*($A1&lt;&gt;"汇总")*(MOD(ROW(),2)=1)*($A1&lt;&gt;"")*($B1&amp;$C1&amp;$D1&amp;$E1&amp;$G1&amp;$I1="")</formula>
    </cfRule>
    <cfRule type="expression" dxfId="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pane ySplit="1" topLeftCell="A2" activePane="bottomLeft" state="frozen"/>
      <selection sqref="A1:F1"/>
      <selection pane="bottomLeft" activeCell="H35" sqref="H35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592</v>
      </c>
      <c r="H1" s="10" t="s">
        <v>593</v>
      </c>
      <c r="I1" s="11" t="s">
        <v>13</v>
      </c>
    </row>
    <row r="2" spans="1:9" x14ac:dyDescent="0.15">
      <c r="A2" s="7" t="s">
        <v>25</v>
      </c>
      <c r="F2" s="13">
        <f t="shared" ref="F2:F36" si="0">ROUND(PRODUCT($C2:$E2),2)</f>
        <v>0</v>
      </c>
      <c r="H2" s="13">
        <f>ROUND(PRODUCT($C2:$D2,$G2)*0.001,2)</f>
        <v>0</v>
      </c>
    </row>
    <row r="3" spans="1:9" x14ac:dyDescent="0.15">
      <c r="A3" s="7" t="s">
        <v>26</v>
      </c>
      <c r="B3" s="7" t="s">
        <v>28</v>
      </c>
      <c r="C3" s="8">
        <v>3.01</v>
      </c>
      <c r="D3" s="9">
        <f>4*4</f>
        <v>16</v>
      </c>
      <c r="E3" s="8">
        <f>0.063*3</f>
        <v>0.189</v>
      </c>
      <c r="F3" s="13">
        <f t="shared" si="0"/>
        <v>9.1</v>
      </c>
      <c r="G3" s="21">
        <v>3.92</v>
      </c>
      <c r="H3" s="13">
        <f t="shared" ref="H3:H36" si="1">ROUND(PRODUCT($C3:$D3,$G3)*0.001,2)</f>
        <v>0.19</v>
      </c>
      <c r="I3" s="11" t="s">
        <v>103</v>
      </c>
    </row>
    <row r="4" spans="1:9" x14ac:dyDescent="0.15">
      <c r="B4" s="7" t="s">
        <v>59</v>
      </c>
      <c r="C4" s="8">
        <v>5.54</v>
      </c>
      <c r="D4" s="9">
        <f>2*4</f>
        <v>8</v>
      </c>
      <c r="E4" s="8">
        <f>0.09*3</f>
        <v>0.27</v>
      </c>
      <c r="F4" s="13">
        <f t="shared" si="0"/>
        <v>11.97</v>
      </c>
      <c r="G4" s="21">
        <v>8.35</v>
      </c>
      <c r="H4" s="13">
        <f t="shared" si="1"/>
        <v>0.37</v>
      </c>
      <c r="I4" s="11" t="s">
        <v>103</v>
      </c>
    </row>
    <row r="5" spans="1:9" x14ac:dyDescent="0.15">
      <c r="B5" s="7" t="s">
        <v>60</v>
      </c>
      <c r="C5" s="8">
        <v>0.27</v>
      </c>
      <c r="D5" s="9">
        <f>2*4</f>
        <v>8</v>
      </c>
      <c r="E5" s="8">
        <f>0.225*2</f>
        <v>0.45</v>
      </c>
      <c r="F5" s="13">
        <f t="shared" si="0"/>
        <v>0.97</v>
      </c>
      <c r="G5" s="21">
        <f>0.225*0.01*7850</f>
        <v>17.662500000000001</v>
      </c>
      <c r="H5" s="13">
        <f t="shared" si="1"/>
        <v>0.04</v>
      </c>
      <c r="I5" s="11" t="s">
        <v>103</v>
      </c>
    </row>
    <row r="6" spans="1:9" x14ac:dyDescent="0.15">
      <c r="B6" s="7" t="s">
        <v>62</v>
      </c>
      <c r="C6" s="8">
        <v>0.27</v>
      </c>
      <c r="D6" s="9">
        <f>2*4</f>
        <v>8</v>
      </c>
      <c r="E6" s="8">
        <f>0.22*2</f>
        <v>0.44</v>
      </c>
      <c r="F6" s="13">
        <f t="shared" si="0"/>
        <v>0.95</v>
      </c>
      <c r="G6" s="21">
        <f>0.22*0.01*7850</f>
        <v>17.27</v>
      </c>
      <c r="H6" s="13">
        <f t="shared" si="1"/>
        <v>0.04</v>
      </c>
      <c r="I6" s="11" t="s">
        <v>103</v>
      </c>
    </row>
    <row r="7" spans="1:9" x14ac:dyDescent="0.15">
      <c r="B7" s="7" t="s">
        <v>63</v>
      </c>
      <c r="C7" s="8">
        <v>0.72</v>
      </c>
      <c r="D7" s="9">
        <f>1*4</f>
        <v>4</v>
      </c>
      <c r="E7" s="8">
        <f>0.3*2</f>
        <v>0.6</v>
      </c>
      <c r="F7" s="13">
        <f t="shared" si="0"/>
        <v>1.73</v>
      </c>
      <c r="G7" s="21">
        <f>0.3*0.01*7850</f>
        <v>23.55</v>
      </c>
      <c r="H7" s="13">
        <f t="shared" si="1"/>
        <v>7.0000000000000007E-2</v>
      </c>
      <c r="I7" s="11" t="s">
        <v>103</v>
      </c>
    </row>
    <row r="8" spans="1:9" x14ac:dyDescent="0.15">
      <c r="B8" s="7" t="s">
        <v>65</v>
      </c>
      <c r="C8" s="8">
        <f>0.12-0.063</f>
        <v>5.6999999999999995E-2</v>
      </c>
      <c r="D8" s="9">
        <f>4*4</f>
        <v>16</v>
      </c>
      <c r="E8" s="8">
        <f>0.06*2</f>
        <v>0.12</v>
      </c>
      <c r="F8" s="13">
        <f t="shared" si="0"/>
        <v>0.11</v>
      </c>
      <c r="G8" s="21">
        <f>0.06*0.01*7850</f>
        <v>4.71</v>
      </c>
      <c r="H8" s="13">
        <f t="shared" si="1"/>
        <v>0</v>
      </c>
      <c r="I8" s="11" t="s">
        <v>103</v>
      </c>
    </row>
    <row r="9" spans="1:9" x14ac:dyDescent="0.15">
      <c r="B9" s="7" t="s">
        <v>67</v>
      </c>
      <c r="C9" s="8">
        <f>0.09-0.09</f>
        <v>0</v>
      </c>
      <c r="D9" s="9">
        <f>10*4</f>
        <v>40</v>
      </c>
      <c r="E9" s="8">
        <f>0.06*2</f>
        <v>0.12</v>
      </c>
      <c r="F9" s="13">
        <f t="shared" si="0"/>
        <v>0</v>
      </c>
      <c r="G9" s="21">
        <f>0.06*0.01*7850</f>
        <v>4.71</v>
      </c>
      <c r="H9" s="13">
        <f t="shared" si="1"/>
        <v>0</v>
      </c>
      <c r="I9" s="11" t="s">
        <v>103</v>
      </c>
    </row>
    <row r="10" spans="1:9" x14ac:dyDescent="0.15">
      <c r="A10" s="7" t="s">
        <v>68</v>
      </c>
      <c r="B10" s="7" t="s">
        <v>27</v>
      </c>
      <c r="C10" s="8">
        <v>2.7749999999999999</v>
      </c>
      <c r="D10" s="9">
        <f>4*2</f>
        <v>8</v>
      </c>
      <c r="E10" s="8">
        <f>0.063*3</f>
        <v>0.189</v>
      </c>
      <c r="F10" s="13">
        <f t="shared" si="0"/>
        <v>4.2</v>
      </c>
      <c r="G10" s="21">
        <v>3.92</v>
      </c>
      <c r="H10" s="13">
        <f t="shared" si="1"/>
        <v>0.09</v>
      </c>
      <c r="I10" s="11" t="s">
        <v>103</v>
      </c>
    </row>
    <row r="11" spans="1:9" x14ac:dyDescent="0.15">
      <c r="B11" s="7" t="s">
        <v>58</v>
      </c>
      <c r="C11" s="8">
        <v>4.9400000000000004</v>
      </c>
      <c r="D11" s="9">
        <f>2*2</f>
        <v>4</v>
      </c>
      <c r="E11" s="8">
        <f>0.09*3</f>
        <v>0.27</v>
      </c>
      <c r="F11" s="13">
        <f t="shared" si="0"/>
        <v>5.34</v>
      </c>
      <c r="G11" s="21">
        <v>8.35</v>
      </c>
      <c r="H11" s="13">
        <f t="shared" si="1"/>
        <v>0.16</v>
      </c>
      <c r="I11" s="11" t="s">
        <v>103</v>
      </c>
    </row>
    <row r="12" spans="1:9" x14ac:dyDescent="0.15">
      <c r="B12" s="7" t="s">
        <v>69</v>
      </c>
      <c r="C12" s="8">
        <v>0.28499999999999998</v>
      </c>
      <c r="D12" s="9">
        <f>2*2</f>
        <v>4</v>
      </c>
      <c r="E12" s="8">
        <f>0.225*2</f>
        <v>0.45</v>
      </c>
      <c r="F12" s="13">
        <f t="shared" si="0"/>
        <v>0.51</v>
      </c>
      <c r="G12" s="21">
        <f>0.225*0.01*7850</f>
        <v>17.662500000000001</v>
      </c>
      <c r="H12" s="13">
        <f t="shared" si="1"/>
        <v>0.02</v>
      </c>
      <c r="I12" s="11" t="s">
        <v>103</v>
      </c>
    </row>
    <row r="13" spans="1:9" x14ac:dyDescent="0.15">
      <c r="B13" s="7" t="s">
        <v>61</v>
      </c>
      <c r="C13" s="8">
        <v>0.27</v>
      </c>
      <c r="D13" s="9">
        <f>2*2</f>
        <v>4</v>
      </c>
      <c r="E13" s="8">
        <f>0.22*2</f>
        <v>0.44</v>
      </c>
      <c r="F13" s="13">
        <f t="shared" si="0"/>
        <v>0.48</v>
      </c>
      <c r="G13" s="21">
        <f>0.22*0.01*7850</f>
        <v>17.27</v>
      </c>
      <c r="H13" s="13">
        <f t="shared" si="1"/>
        <v>0.02</v>
      </c>
      <c r="I13" s="11" t="s">
        <v>103</v>
      </c>
    </row>
    <row r="14" spans="1:9" x14ac:dyDescent="0.15">
      <c r="B14" s="7" t="s">
        <v>70</v>
      </c>
      <c r="C14" s="8">
        <v>0.67</v>
      </c>
      <c r="D14" s="9">
        <f>1*2</f>
        <v>2</v>
      </c>
      <c r="E14" s="8">
        <f>0.3*2</f>
        <v>0.6</v>
      </c>
      <c r="F14" s="13">
        <f t="shared" si="0"/>
        <v>0.8</v>
      </c>
      <c r="G14" s="21">
        <f>0.305*0.01*7850</f>
        <v>23.942500000000003</v>
      </c>
      <c r="H14" s="13">
        <f t="shared" si="1"/>
        <v>0.03</v>
      </c>
      <c r="I14" s="11" t="s">
        <v>103</v>
      </c>
    </row>
    <row r="15" spans="1:9" x14ac:dyDescent="0.15">
      <c r="B15" s="7" t="s">
        <v>64</v>
      </c>
      <c r="C15" s="8">
        <f>0.12-0.063</f>
        <v>5.6999999999999995E-2</v>
      </c>
      <c r="D15" s="9">
        <f>4*2</f>
        <v>8</v>
      </c>
      <c r="E15" s="8">
        <f>0.06*2</f>
        <v>0.12</v>
      </c>
      <c r="F15" s="13">
        <f t="shared" si="0"/>
        <v>0.05</v>
      </c>
      <c r="G15" s="21">
        <f>0.06*0.01*7850</f>
        <v>4.71</v>
      </c>
      <c r="H15" s="13">
        <f t="shared" si="1"/>
        <v>0</v>
      </c>
      <c r="I15" s="11" t="s">
        <v>103</v>
      </c>
    </row>
    <row r="16" spans="1:9" x14ac:dyDescent="0.15">
      <c r="B16" s="7" t="s">
        <v>66</v>
      </c>
      <c r="C16" s="8">
        <f>0.09-0.09</f>
        <v>0</v>
      </c>
      <c r="D16" s="9">
        <f>10*2</f>
        <v>20</v>
      </c>
      <c r="E16" s="8">
        <f>0.06*2</f>
        <v>0.12</v>
      </c>
      <c r="F16" s="13">
        <f t="shared" si="0"/>
        <v>0</v>
      </c>
      <c r="G16" s="21">
        <f>0.06*0.01*7850</f>
        <v>4.71</v>
      </c>
      <c r="H16" s="13">
        <f t="shared" si="1"/>
        <v>0</v>
      </c>
      <c r="I16" s="11" t="s">
        <v>103</v>
      </c>
    </row>
    <row r="17" spans="1:9" x14ac:dyDescent="0.15">
      <c r="A17" s="7" t="s">
        <v>72</v>
      </c>
      <c r="F17" s="13">
        <f t="shared" si="0"/>
        <v>0</v>
      </c>
      <c r="H17" s="13">
        <f t="shared" si="1"/>
        <v>0</v>
      </c>
    </row>
    <row r="18" spans="1:9" x14ac:dyDescent="0.15">
      <c r="A18" s="7" t="s">
        <v>71</v>
      </c>
      <c r="B18" s="7" t="s">
        <v>73</v>
      </c>
      <c r="C18" s="8">
        <v>4.9589999999999996</v>
      </c>
      <c r="D18" s="9">
        <f>2*5</f>
        <v>10</v>
      </c>
      <c r="E18" s="8">
        <f>0.4*2+0.2*4</f>
        <v>1.6</v>
      </c>
      <c r="F18" s="13">
        <f t="shared" si="0"/>
        <v>79.34</v>
      </c>
      <c r="G18" s="21">
        <v>64.3</v>
      </c>
      <c r="H18" s="13">
        <f t="shared" si="1"/>
        <v>3.19</v>
      </c>
      <c r="I18" s="11" t="s">
        <v>104</v>
      </c>
    </row>
    <row r="19" spans="1:9" x14ac:dyDescent="0.15">
      <c r="B19" s="7" t="s">
        <v>74</v>
      </c>
      <c r="C19" s="8">
        <v>0.34</v>
      </c>
      <c r="D19" s="9">
        <f>2*5</f>
        <v>10</v>
      </c>
      <c r="E19" s="8">
        <v>0.28999999999999998</v>
      </c>
      <c r="F19" s="13">
        <f t="shared" si="0"/>
        <v>0.99</v>
      </c>
      <c r="G19" s="21">
        <f>0.29*0.02*7850</f>
        <v>45.529999999999994</v>
      </c>
      <c r="H19" s="13">
        <f t="shared" si="1"/>
        <v>0.15</v>
      </c>
      <c r="I19" s="11" t="s">
        <v>104</v>
      </c>
    </row>
    <row r="20" spans="1:9" x14ac:dyDescent="0.15">
      <c r="B20" s="7" t="s">
        <v>75</v>
      </c>
      <c r="C20" s="8">
        <v>0.36299999999999999</v>
      </c>
      <c r="D20" s="9">
        <f>2*5</f>
        <v>10</v>
      </c>
      <c r="E20" s="8">
        <f>0.2*2</f>
        <v>0.4</v>
      </c>
      <c r="F20" s="13">
        <f t="shared" si="0"/>
        <v>1.45</v>
      </c>
      <c r="G20" s="21">
        <f>0.2*0.014*7850</f>
        <v>21.980000000000004</v>
      </c>
      <c r="H20" s="13">
        <f t="shared" si="1"/>
        <v>0.08</v>
      </c>
      <c r="I20" s="11" t="s">
        <v>104</v>
      </c>
    </row>
    <row r="21" spans="1:9" x14ac:dyDescent="0.15">
      <c r="B21" s="7" t="s">
        <v>76</v>
      </c>
      <c r="C21" s="8">
        <v>0.51500000000000001</v>
      </c>
      <c r="D21" s="9">
        <f>2*5</f>
        <v>10</v>
      </c>
      <c r="E21" s="8">
        <v>0.2</v>
      </c>
      <c r="F21" s="13">
        <f t="shared" si="0"/>
        <v>1.03</v>
      </c>
      <c r="G21" s="21">
        <f>0.2*0.018*7850</f>
        <v>28.259999999999998</v>
      </c>
      <c r="H21" s="13">
        <f t="shared" si="1"/>
        <v>0.15</v>
      </c>
      <c r="I21" s="11" t="s">
        <v>104</v>
      </c>
    </row>
    <row r="22" spans="1:9" x14ac:dyDescent="0.15">
      <c r="B22" s="7" t="s">
        <v>77</v>
      </c>
      <c r="C22" s="8">
        <v>0.373</v>
      </c>
      <c r="D22" s="9">
        <f>4*5</f>
        <v>20</v>
      </c>
      <c r="E22" s="8">
        <f>0.096*2</f>
        <v>0.192</v>
      </c>
      <c r="F22" s="13">
        <f t="shared" si="0"/>
        <v>1.43</v>
      </c>
      <c r="G22" s="21">
        <f>0.096*0.014*7850</f>
        <v>10.550400000000002</v>
      </c>
      <c r="H22" s="13">
        <f t="shared" si="1"/>
        <v>0.08</v>
      </c>
      <c r="I22" s="11" t="s">
        <v>104</v>
      </c>
    </row>
    <row r="23" spans="1:9" x14ac:dyDescent="0.15">
      <c r="B23" s="7" t="s">
        <v>78</v>
      </c>
      <c r="C23" s="8">
        <v>0.13500000000000001</v>
      </c>
      <c r="D23" s="9">
        <f>2*5</f>
        <v>10</v>
      </c>
      <c r="E23" s="8">
        <f>0.09*2</f>
        <v>0.18</v>
      </c>
      <c r="F23" s="13">
        <f t="shared" si="0"/>
        <v>0.24</v>
      </c>
      <c r="G23" s="21">
        <f>0.09*0.01*7850</f>
        <v>7.0649999999999995</v>
      </c>
      <c r="H23" s="13">
        <f t="shared" si="1"/>
        <v>0.01</v>
      </c>
      <c r="I23" s="11" t="s">
        <v>104</v>
      </c>
    </row>
    <row r="24" spans="1:9" x14ac:dyDescent="0.15">
      <c r="A24" s="7" t="s">
        <v>79</v>
      </c>
      <c r="F24" s="13">
        <f t="shared" si="0"/>
        <v>0</v>
      </c>
      <c r="H24" s="13">
        <f t="shared" si="1"/>
        <v>0</v>
      </c>
    </row>
    <row r="25" spans="1:9" x14ac:dyDescent="0.15">
      <c r="A25" s="7" t="s">
        <v>80</v>
      </c>
      <c r="B25" s="7" t="s">
        <v>81</v>
      </c>
      <c r="C25" s="8">
        <f>(4.7^2+4.8^2)^0.5</f>
        <v>6.7178865724273731</v>
      </c>
      <c r="D25" s="9">
        <v>4</v>
      </c>
      <c r="E25" s="8">
        <f>0.09*4</f>
        <v>0.36</v>
      </c>
      <c r="F25" s="13">
        <f t="shared" si="0"/>
        <v>9.67</v>
      </c>
      <c r="G25" s="21">
        <v>8.35</v>
      </c>
      <c r="H25" s="13">
        <f t="shared" si="1"/>
        <v>0.22</v>
      </c>
      <c r="I25" s="11" t="s">
        <v>105</v>
      </c>
    </row>
    <row r="26" spans="1:9" x14ac:dyDescent="0.15">
      <c r="C26" s="8">
        <f>(6^2+4.8^2)^0.5</f>
        <v>7.6837490849194188</v>
      </c>
      <c r="D26" s="9">
        <v>4</v>
      </c>
      <c r="E26" s="8">
        <f>0.09*4</f>
        <v>0.36</v>
      </c>
      <c r="F26" s="13">
        <f t="shared" si="0"/>
        <v>11.06</v>
      </c>
      <c r="G26" s="21">
        <v>8.35</v>
      </c>
      <c r="H26" s="13">
        <f t="shared" si="1"/>
        <v>0.26</v>
      </c>
      <c r="I26" s="11" t="s">
        <v>105</v>
      </c>
    </row>
    <row r="27" spans="1:9" x14ac:dyDescent="0.15">
      <c r="C27" s="8">
        <f>(5.7^2+4.8^2)^0.5</f>
        <v>7.4518454090245321</v>
      </c>
      <c r="D27" s="9">
        <v>4</v>
      </c>
      <c r="E27" s="8">
        <f>0.09*4</f>
        <v>0.36</v>
      </c>
      <c r="F27" s="13">
        <f t="shared" si="0"/>
        <v>10.73</v>
      </c>
      <c r="G27" s="21">
        <v>8.35</v>
      </c>
      <c r="H27" s="13">
        <f t="shared" si="1"/>
        <v>0.25</v>
      </c>
      <c r="I27" s="11" t="s">
        <v>105</v>
      </c>
    </row>
    <row r="28" spans="1:9" x14ac:dyDescent="0.15">
      <c r="A28" s="7" t="s">
        <v>82</v>
      </c>
      <c r="B28" s="7" t="s">
        <v>83</v>
      </c>
      <c r="C28" s="8">
        <v>4.7</v>
      </c>
      <c r="D28" s="9">
        <v>3</v>
      </c>
      <c r="E28" s="8">
        <f>PI()*0.121</f>
        <v>0.38013271108436497</v>
      </c>
      <c r="F28" s="13">
        <f t="shared" si="0"/>
        <v>5.36</v>
      </c>
      <c r="G28" s="21">
        <v>11.542</v>
      </c>
      <c r="H28" s="13">
        <f t="shared" si="1"/>
        <v>0.16</v>
      </c>
      <c r="I28" s="11" t="s">
        <v>106</v>
      </c>
    </row>
    <row r="29" spans="1:9" x14ac:dyDescent="0.15">
      <c r="C29" s="8">
        <v>6</v>
      </c>
      <c r="D29" s="9">
        <v>6</v>
      </c>
      <c r="E29" s="8">
        <f>PI()*0.121</f>
        <v>0.38013271108436497</v>
      </c>
      <c r="F29" s="13">
        <f t="shared" si="0"/>
        <v>13.68</v>
      </c>
      <c r="G29" s="21">
        <v>11.542</v>
      </c>
      <c r="H29" s="13">
        <f t="shared" si="1"/>
        <v>0.42</v>
      </c>
      <c r="I29" s="11" t="s">
        <v>106</v>
      </c>
    </row>
    <row r="30" spans="1:9" x14ac:dyDescent="0.15">
      <c r="C30" s="8">
        <v>5.7</v>
      </c>
      <c r="D30" s="9">
        <v>3</v>
      </c>
      <c r="E30" s="8">
        <f>PI()*0.121</f>
        <v>0.38013271108436497</v>
      </c>
      <c r="F30" s="13">
        <f t="shared" si="0"/>
        <v>6.5</v>
      </c>
      <c r="G30" s="21">
        <v>11.542</v>
      </c>
      <c r="H30" s="13">
        <f t="shared" si="1"/>
        <v>0.2</v>
      </c>
      <c r="I30" s="11" t="s">
        <v>106</v>
      </c>
    </row>
    <row r="31" spans="1:9" x14ac:dyDescent="0.15">
      <c r="A31" s="7" t="s">
        <v>84</v>
      </c>
      <c r="F31" s="13">
        <f t="shared" si="0"/>
        <v>0</v>
      </c>
      <c r="H31" s="13">
        <f t="shared" si="1"/>
        <v>0</v>
      </c>
    </row>
    <row r="32" spans="1:9" x14ac:dyDescent="0.15">
      <c r="A32" s="7" t="s">
        <v>86</v>
      </c>
      <c r="B32" s="7" t="s">
        <v>95</v>
      </c>
      <c r="C32" s="8">
        <v>23.6</v>
      </c>
      <c r="D32" s="9">
        <v>8</v>
      </c>
      <c r="E32" s="8">
        <f>0.2*2+0.07*4+0.02*4</f>
        <v>0.76</v>
      </c>
      <c r="F32" s="13">
        <f t="shared" si="0"/>
        <v>143.49</v>
      </c>
      <c r="G32" s="21">
        <v>5.87</v>
      </c>
      <c r="H32" s="13">
        <f t="shared" si="1"/>
        <v>1.1100000000000001</v>
      </c>
      <c r="I32" s="11" t="s">
        <v>107</v>
      </c>
    </row>
    <row r="33" spans="1:9" x14ac:dyDescent="0.15">
      <c r="A33" s="7" t="s">
        <v>88</v>
      </c>
      <c r="B33" s="7" t="s">
        <v>97</v>
      </c>
      <c r="C33" s="8">
        <v>1.4</v>
      </c>
      <c r="D33" s="9">
        <v>8</v>
      </c>
      <c r="E33" s="8">
        <f>PI()*0.012</f>
        <v>3.7699111843077518E-2</v>
      </c>
      <c r="F33" s="13">
        <f t="shared" si="0"/>
        <v>0.42</v>
      </c>
      <c r="G33" s="21">
        <v>0.88800000000000001</v>
      </c>
      <c r="H33" s="13">
        <f t="shared" si="1"/>
        <v>0.01</v>
      </c>
      <c r="I33" s="11" t="s">
        <v>107</v>
      </c>
    </row>
    <row r="34" spans="1:9" x14ac:dyDescent="0.15">
      <c r="A34" s="7" t="s">
        <v>90</v>
      </c>
      <c r="B34" s="7" t="s">
        <v>97</v>
      </c>
      <c r="C34" s="8">
        <v>3.3</v>
      </c>
      <c r="D34" s="9">
        <v>32</v>
      </c>
      <c r="E34" s="8">
        <f>PI()*0.012</f>
        <v>3.7699111843077518E-2</v>
      </c>
      <c r="F34" s="13">
        <f t="shared" si="0"/>
        <v>3.98</v>
      </c>
      <c r="G34" s="21">
        <v>0.88800000000000001</v>
      </c>
      <c r="H34" s="13">
        <f t="shared" si="1"/>
        <v>0.09</v>
      </c>
      <c r="I34" s="11" t="s">
        <v>107</v>
      </c>
    </row>
    <row r="35" spans="1:9" x14ac:dyDescent="0.15">
      <c r="A35" s="7" t="s">
        <v>92</v>
      </c>
      <c r="B35" s="7" t="s">
        <v>99</v>
      </c>
      <c r="C35" s="8">
        <v>1.4</v>
      </c>
      <c r="D35" s="9">
        <v>16</v>
      </c>
      <c r="E35" s="8">
        <f>PI()*0.032</f>
        <v>0.10053096491487339</v>
      </c>
      <c r="F35" s="13">
        <f t="shared" si="0"/>
        <v>2.25</v>
      </c>
      <c r="G35" s="21">
        <v>1.819</v>
      </c>
      <c r="H35" s="13">
        <f t="shared" si="1"/>
        <v>0.04</v>
      </c>
      <c r="I35" s="11" t="s">
        <v>107</v>
      </c>
    </row>
    <row r="36" spans="1:9" x14ac:dyDescent="0.15">
      <c r="A36" s="7" t="s">
        <v>94</v>
      </c>
      <c r="B36" s="7" t="s">
        <v>101</v>
      </c>
      <c r="C36" s="8">
        <f>0.5*2^0.5</f>
        <v>0.70710678118654757</v>
      </c>
      <c r="D36" s="9">
        <v>24</v>
      </c>
      <c r="E36" s="8">
        <f>0.05*4</f>
        <v>0.2</v>
      </c>
      <c r="F36" s="13">
        <f t="shared" si="0"/>
        <v>3.39</v>
      </c>
      <c r="G36" s="21">
        <v>3.77</v>
      </c>
      <c r="H36" s="13">
        <f t="shared" si="1"/>
        <v>0.06</v>
      </c>
      <c r="I36" s="11" t="s">
        <v>107</v>
      </c>
    </row>
    <row r="37" spans="1:9" x14ac:dyDescent="0.15">
      <c r="A37" s="7" t="s">
        <v>102</v>
      </c>
      <c r="F37" s="13">
        <f>SUBTOTAL(109,F2:F36)</f>
        <v>331.22</v>
      </c>
      <c r="H37" s="13">
        <f>SUBTOTAL(109,H2:H36)</f>
        <v>7.5100000000000007</v>
      </c>
    </row>
  </sheetData>
  <phoneticPr fontId="3" type="noConversion"/>
  <conditionalFormatting sqref="A1:I1048576">
    <cfRule type="expression" dxfId="74" priority="16">
      <formula>(ROW()=1)+($A1="汇总")</formula>
    </cfRule>
    <cfRule type="expression" dxfId="73" priority="17">
      <formula>(ROW()&gt;1)*($A1&lt;&gt;"汇总")*(MOD(ROW(),2)=0)*($A1&lt;&gt;"")*($B1&amp;$C1&amp;$D1&amp;$E1&amp;$G1&amp;$I1="")</formula>
    </cfRule>
    <cfRule type="expression" dxfId="72" priority="18">
      <formula>(ROW()&gt;1)*($A1&lt;&gt;"汇总")*(MOD(ROW(),2)=0)*($B1&amp;$C1&amp;$D1&amp;$E1&amp;$G1&amp;$I1&lt;&gt;"")</formula>
    </cfRule>
    <cfRule type="expression" dxfId="71" priority="19">
      <formula>(ROW()&gt;1)*($A1&lt;&gt;"汇总")*(MOD(ROW(),2)=1)*($A1&lt;&gt;"")*($B1&amp;$C1&amp;$D1&amp;$E1&amp;$G1&amp;$I1="")</formula>
    </cfRule>
    <cfRule type="expression" dxfId="70" priority="20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pane ySplit="1" topLeftCell="A12" activePane="bottomLeft" state="frozen"/>
      <selection sqref="A1:F1"/>
      <selection pane="bottomLeft" activeCell="H47" sqref="H47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597</v>
      </c>
      <c r="F2" s="13">
        <f t="shared" ref="F2:F46" si="0">ROUND(PRODUCT($C2:$E2),2)</f>
        <v>0</v>
      </c>
      <c r="H2" s="13">
        <f>ROUND(PRODUCT($C2:$D2,$G2)*0.001,2)</f>
        <v>0</v>
      </c>
    </row>
    <row r="3" spans="1:9" x14ac:dyDescent="0.15">
      <c r="A3" s="7" t="s">
        <v>598</v>
      </c>
      <c r="B3" s="7" t="s">
        <v>599</v>
      </c>
      <c r="C3" s="8">
        <v>9.1150000000000002</v>
      </c>
      <c r="D3" s="9">
        <f t="shared" ref="D3:D8" si="1">2*2</f>
        <v>4</v>
      </c>
      <c r="E3" s="8">
        <f>0.11*3</f>
        <v>0.33</v>
      </c>
      <c r="F3" s="13">
        <f t="shared" si="0"/>
        <v>12.03</v>
      </c>
      <c r="G3" s="21">
        <v>13.5</v>
      </c>
      <c r="H3" s="13">
        <f t="shared" ref="H3:H46" si="2">ROUND(PRODUCT($C3:$D3,$G3)*0.001,2)</f>
        <v>0.49</v>
      </c>
      <c r="I3" s="11" t="s">
        <v>600</v>
      </c>
    </row>
    <row r="4" spans="1:9" x14ac:dyDescent="0.15">
      <c r="B4" s="7" t="s">
        <v>601</v>
      </c>
      <c r="C4" s="8">
        <v>4.3899999999999997</v>
      </c>
      <c r="D4" s="9">
        <f t="shared" si="1"/>
        <v>4</v>
      </c>
      <c r="E4" s="8">
        <f>0.11*3</f>
        <v>0.33</v>
      </c>
      <c r="F4" s="13">
        <f t="shared" si="0"/>
        <v>5.79</v>
      </c>
      <c r="G4" s="21">
        <v>13.5</v>
      </c>
      <c r="H4" s="13">
        <f t="shared" si="2"/>
        <v>0.24</v>
      </c>
      <c r="I4" s="11" t="s">
        <v>602</v>
      </c>
    </row>
    <row r="5" spans="1:9" x14ac:dyDescent="0.15">
      <c r="B5" s="7" t="s">
        <v>601</v>
      </c>
      <c r="C5" s="8">
        <v>4.54</v>
      </c>
      <c r="D5" s="9">
        <f t="shared" si="1"/>
        <v>4</v>
      </c>
      <c r="E5" s="8">
        <f>0.11*3</f>
        <v>0.33</v>
      </c>
      <c r="F5" s="13">
        <f t="shared" si="0"/>
        <v>5.99</v>
      </c>
      <c r="G5" s="21">
        <v>13.5</v>
      </c>
      <c r="H5" s="13">
        <f t="shared" si="2"/>
        <v>0.25</v>
      </c>
      <c r="I5" s="11" t="s">
        <v>602</v>
      </c>
    </row>
    <row r="6" spans="1:9" x14ac:dyDescent="0.15">
      <c r="B6" s="7" t="s">
        <v>603</v>
      </c>
      <c r="C6" s="8">
        <v>7.4</v>
      </c>
      <c r="D6" s="9">
        <f t="shared" si="1"/>
        <v>4</v>
      </c>
      <c r="E6" s="8">
        <f>0.18*3</f>
        <v>0.54</v>
      </c>
      <c r="F6" s="13">
        <f t="shared" si="0"/>
        <v>15.98</v>
      </c>
      <c r="G6" s="21">
        <v>33.200000000000003</v>
      </c>
      <c r="H6" s="13">
        <f t="shared" si="2"/>
        <v>0.98</v>
      </c>
      <c r="I6" s="11" t="s">
        <v>602</v>
      </c>
    </row>
    <row r="7" spans="1:9" x14ac:dyDescent="0.15">
      <c r="B7" s="7" t="s">
        <v>604</v>
      </c>
      <c r="C7" s="8">
        <v>0.58499999999999996</v>
      </c>
      <c r="D7" s="9">
        <f t="shared" si="1"/>
        <v>4</v>
      </c>
      <c r="E7" s="8">
        <f>0.605*2</f>
        <v>1.21</v>
      </c>
      <c r="F7" s="13">
        <f t="shared" si="0"/>
        <v>2.83</v>
      </c>
      <c r="G7" s="21">
        <f>0.605*0.016*7850</f>
        <v>75.988</v>
      </c>
      <c r="H7" s="13">
        <f t="shared" si="2"/>
        <v>0.18</v>
      </c>
      <c r="I7" s="11" t="s">
        <v>602</v>
      </c>
    </row>
    <row r="8" spans="1:9" x14ac:dyDescent="0.15">
      <c r="B8" s="7" t="s">
        <v>605</v>
      </c>
      <c r="C8" s="8">
        <v>0.38500000000000001</v>
      </c>
      <c r="D8" s="9">
        <f t="shared" si="1"/>
        <v>4</v>
      </c>
      <c r="E8" s="8">
        <f>0.4*2</f>
        <v>0.8</v>
      </c>
      <c r="F8" s="13">
        <f t="shared" si="0"/>
        <v>1.23</v>
      </c>
      <c r="G8" s="21">
        <f>0.4*0.016*7850</f>
        <v>50.24</v>
      </c>
      <c r="H8" s="13">
        <f t="shared" si="2"/>
        <v>0.08</v>
      </c>
      <c r="I8" s="11" t="s">
        <v>602</v>
      </c>
    </row>
    <row r="9" spans="1:9" x14ac:dyDescent="0.15">
      <c r="B9" s="7" t="s">
        <v>606</v>
      </c>
      <c r="C9" s="8">
        <v>0.84499999999999997</v>
      </c>
      <c r="D9" s="9">
        <f>1*2</f>
        <v>2</v>
      </c>
      <c r="E9" s="8">
        <f>0.375*2</f>
        <v>0.75</v>
      </c>
      <c r="F9" s="13">
        <f t="shared" si="0"/>
        <v>1.27</v>
      </c>
      <c r="G9" s="21">
        <f>0.375*0.016*7850</f>
        <v>47.1</v>
      </c>
      <c r="H9" s="13">
        <f t="shared" si="2"/>
        <v>0.08</v>
      </c>
      <c r="I9" s="11" t="s">
        <v>602</v>
      </c>
    </row>
    <row r="10" spans="1:9" x14ac:dyDescent="0.15">
      <c r="B10" s="7" t="s">
        <v>109</v>
      </c>
      <c r="C10" s="8">
        <f>0.21-0.18</f>
        <v>0.03</v>
      </c>
      <c r="D10" s="9">
        <f>4*2</f>
        <v>8</v>
      </c>
      <c r="E10" s="8">
        <f>0.06*2</f>
        <v>0.12</v>
      </c>
      <c r="F10" s="13">
        <f t="shared" si="0"/>
        <v>0.03</v>
      </c>
      <c r="G10" s="21">
        <f>0.06*0.016*7850</f>
        <v>7.5360000000000005</v>
      </c>
      <c r="H10" s="13">
        <f t="shared" si="2"/>
        <v>0</v>
      </c>
      <c r="I10" s="11" t="s">
        <v>602</v>
      </c>
    </row>
    <row r="11" spans="1:9" x14ac:dyDescent="0.15">
      <c r="B11" s="7" t="s">
        <v>110</v>
      </c>
      <c r="C11" s="8">
        <f>0.14-0.11</f>
        <v>3.0000000000000013E-2</v>
      </c>
      <c r="D11" s="9">
        <f>16*2</f>
        <v>32</v>
      </c>
      <c r="E11" s="8">
        <f>0.06*2</f>
        <v>0.12</v>
      </c>
      <c r="F11" s="13">
        <f t="shared" si="0"/>
        <v>0.12</v>
      </c>
      <c r="G11" s="21">
        <f>0.06*0.016*7850</f>
        <v>7.5360000000000005</v>
      </c>
      <c r="H11" s="13">
        <f t="shared" si="2"/>
        <v>0.01</v>
      </c>
      <c r="I11" s="11" t="s">
        <v>602</v>
      </c>
    </row>
    <row r="12" spans="1:9" x14ac:dyDescent="0.15">
      <c r="A12" s="7" t="s">
        <v>111</v>
      </c>
      <c r="F12" s="13">
        <f t="shared" si="0"/>
        <v>0</v>
      </c>
      <c r="H12" s="13">
        <f t="shared" si="2"/>
        <v>0</v>
      </c>
    </row>
    <row r="13" spans="1:9" x14ac:dyDescent="0.15">
      <c r="A13" s="7" t="s">
        <v>112</v>
      </c>
      <c r="B13" s="7" t="s">
        <v>113</v>
      </c>
      <c r="C13" s="8">
        <v>7.35</v>
      </c>
      <c r="D13" s="9">
        <f t="shared" ref="D13:D18" si="3">2*7</f>
        <v>14</v>
      </c>
      <c r="E13" s="8">
        <f>0.2*2</f>
        <v>0.4</v>
      </c>
      <c r="F13" s="13">
        <f t="shared" si="0"/>
        <v>41.16</v>
      </c>
      <c r="G13" s="21">
        <f>0.2*0.012*7850</f>
        <v>18.840000000000003</v>
      </c>
      <c r="H13" s="13">
        <f t="shared" si="2"/>
        <v>1.94</v>
      </c>
      <c r="I13" s="11" t="s">
        <v>607</v>
      </c>
    </row>
    <row r="14" spans="1:9" x14ac:dyDescent="0.15">
      <c r="B14" s="7" t="s">
        <v>608</v>
      </c>
      <c r="C14" s="8">
        <v>7.0190000000000001</v>
      </c>
      <c r="D14" s="9">
        <f t="shared" si="3"/>
        <v>14</v>
      </c>
      <c r="E14" s="8">
        <f>0.2*2</f>
        <v>0.4</v>
      </c>
      <c r="F14" s="13">
        <f t="shared" si="0"/>
        <v>39.31</v>
      </c>
      <c r="G14" s="21">
        <f>0.2*0.012*7850</f>
        <v>18.840000000000003</v>
      </c>
      <c r="H14" s="13">
        <f t="shared" si="2"/>
        <v>1.85</v>
      </c>
      <c r="I14" s="11" t="s">
        <v>607</v>
      </c>
    </row>
    <row r="15" spans="1:9" x14ac:dyDescent="0.15">
      <c r="B15" s="7" t="s">
        <v>114</v>
      </c>
      <c r="C15" s="8">
        <v>7.35</v>
      </c>
      <c r="D15" s="9">
        <f t="shared" si="3"/>
        <v>14</v>
      </c>
      <c r="E15" s="8">
        <f>0.625*2</f>
        <v>1.25</v>
      </c>
      <c r="F15" s="13">
        <f t="shared" si="0"/>
        <v>128.63</v>
      </c>
      <c r="G15" s="21">
        <f>0.625*0.01*7850</f>
        <v>49.0625</v>
      </c>
      <c r="H15" s="13">
        <f t="shared" si="2"/>
        <v>5.05</v>
      </c>
      <c r="I15" s="11" t="s">
        <v>607</v>
      </c>
    </row>
    <row r="16" spans="1:9" x14ac:dyDescent="0.15">
      <c r="B16" s="7" t="s">
        <v>115</v>
      </c>
      <c r="C16" s="8">
        <v>0.34</v>
      </c>
      <c r="D16" s="9">
        <f t="shared" si="3"/>
        <v>14</v>
      </c>
      <c r="E16" s="8">
        <v>0.28999999999999998</v>
      </c>
      <c r="F16" s="13">
        <f t="shared" si="0"/>
        <v>1.38</v>
      </c>
      <c r="G16" s="21">
        <f>0.29*0.02*7850</f>
        <v>45.529999999999994</v>
      </c>
      <c r="H16" s="13">
        <f t="shared" si="2"/>
        <v>0.22</v>
      </c>
      <c r="I16" s="11" t="s">
        <v>607</v>
      </c>
    </row>
    <row r="17" spans="1:9" x14ac:dyDescent="0.15">
      <c r="B17" s="7" t="s">
        <v>116</v>
      </c>
      <c r="C17" s="8">
        <v>0.36899999999999999</v>
      </c>
      <c r="D17" s="9">
        <f t="shared" si="3"/>
        <v>14</v>
      </c>
      <c r="E17" s="8">
        <f>0.2*2</f>
        <v>0.4</v>
      </c>
      <c r="F17" s="13">
        <f t="shared" si="0"/>
        <v>2.0699999999999998</v>
      </c>
      <c r="G17" s="21">
        <f>0.2*0.012*7850</f>
        <v>18.840000000000003</v>
      </c>
      <c r="H17" s="13">
        <f t="shared" si="2"/>
        <v>0.1</v>
      </c>
      <c r="I17" s="11" t="s">
        <v>15</v>
      </c>
    </row>
    <row r="18" spans="1:9" x14ac:dyDescent="0.15">
      <c r="B18" s="7" t="s">
        <v>609</v>
      </c>
      <c r="C18" s="8">
        <v>0.76</v>
      </c>
      <c r="D18" s="9">
        <f t="shared" si="3"/>
        <v>14</v>
      </c>
      <c r="E18" s="8">
        <v>0.2</v>
      </c>
      <c r="F18" s="13">
        <f t="shared" si="0"/>
        <v>2.13</v>
      </c>
      <c r="G18" s="21">
        <f>0.2*0.018*7850</f>
        <v>28.259999999999998</v>
      </c>
      <c r="H18" s="13">
        <f t="shared" si="2"/>
        <v>0.3</v>
      </c>
      <c r="I18" s="11" t="s">
        <v>607</v>
      </c>
    </row>
    <row r="19" spans="1:9" x14ac:dyDescent="0.15">
      <c r="B19" s="7" t="s">
        <v>610</v>
      </c>
      <c r="C19" s="8">
        <v>0.38</v>
      </c>
      <c r="D19" s="9">
        <f>4*7</f>
        <v>28</v>
      </c>
      <c r="E19" s="8">
        <f>0.095*2</f>
        <v>0.19</v>
      </c>
      <c r="F19" s="13">
        <f t="shared" si="0"/>
        <v>2.02</v>
      </c>
      <c r="G19" s="21">
        <f>0.095*0.012*7850</f>
        <v>8.9489999999999998</v>
      </c>
      <c r="H19" s="13">
        <f t="shared" si="2"/>
        <v>0.1</v>
      </c>
      <c r="I19" s="11" t="s">
        <v>607</v>
      </c>
    </row>
    <row r="20" spans="1:9" x14ac:dyDescent="0.15">
      <c r="B20" s="7" t="s">
        <v>611</v>
      </c>
      <c r="C20" s="8">
        <v>0.14000000000000001</v>
      </c>
      <c r="D20" s="9">
        <f>2*7</f>
        <v>14</v>
      </c>
      <c r="E20" s="8">
        <f>0.09*2</f>
        <v>0.18</v>
      </c>
      <c r="F20" s="13">
        <f t="shared" si="0"/>
        <v>0.35</v>
      </c>
      <c r="G20" s="21">
        <f>0.09*0.01*7850</f>
        <v>7.0649999999999995</v>
      </c>
      <c r="H20" s="13">
        <f t="shared" si="2"/>
        <v>0.01</v>
      </c>
      <c r="I20" s="11" t="s">
        <v>607</v>
      </c>
    </row>
    <row r="21" spans="1:9" x14ac:dyDescent="0.15">
      <c r="B21" s="7" t="s">
        <v>612</v>
      </c>
      <c r="C21" s="8">
        <v>0.1</v>
      </c>
      <c r="D21" s="9">
        <f>8*7</f>
        <v>56</v>
      </c>
      <c r="E21" s="8">
        <f>0.095*2</f>
        <v>0.19</v>
      </c>
      <c r="F21" s="13">
        <f t="shared" si="0"/>
        <v>1.06</v>
      </c>
      <c r="G21" s="21">
        <f>0.095*0.01*7850</f>
        <v>7.4574999999999996</v>
      </c>
      <c r="H21" s="13">
        <f t="shared" si="2"/>
        <v>0.04</v>
      </c>
      <c r="I21" s="11" t="s">
        <v>607</v>
      </c>
    </row>
    <row r="22" spans="1:9" x14ac:dyDescent="0.15">
      <c r="A22" s="7" t="s">
        <v>117</v>
      </c>
      <c r="F22" s="13">
        <f t="shared" si="0"/>
        <v>0</v>
      </c>
      <c r="H22" s="13">
        <f t="shared" si="2"/>
        <v>0</v>
      </c>
    </row>
    <row r="23" spans="1:9" x14ac:dyDescent="0.15">
      <c r="A23" s="7" t="s">
        <v>118</v>
      </c>
      <c r="B23" s="7" t="s">
        <v>601</v>
      </c>
      <c r="C23" s="8">
        <f>(7.3^2+7.2^2)^0.5</f>
        <v>10.25329215423027</v>
      </c>
      <c r="D23" s="9">
        <v>8</v>
      </c>
      <c r="E23" s="8">
        <f>0.11*4</f>
        <v>0.44</v>
      </c>
      <c r="F23" s="13">
        <f t="shared" si="0"/>
        <v>36.090000000000003</v>
      </c>
      <c r="G23" s="21">
        <v>13.5</v>
      </c>
      <c r="H23" s="13">
        <f t="shared" si="2"/>
        <v>1.1100000000000001</v>
      </c>
      <c r="I23" s="11" t="s">
        <v>613</v>
      </c>
    </row>
    <row r="24" spans="1:9" x14ac:dyDescent="0.15">
      <c r="C24" s="8">
        <f>(7.8^2+7.2^2)^0.5</f>
        <v>10.61508360777248</v>
      </c>
      <c r="D24" s="9">
        <v>4</v>
      </c>
      <c r="E24" s="8">
        <f>0.11*4</f>
        <v>0.44</v>
      </c>
      <c r="F24" s="13">
        <f t="shared" si="0"/>
        <v>18.68</v>
      </c>
      <c r="G24" s="21">
        <v>13.5</v>
      </c>
      <c r="H24" s="13">
        <f t="shared" si="2"/>
        <v>0.56999999999999995</v>
      </c>
      <c r="I24" s="11" t="s">
        <v>133</v>
      </c>
    </row>
    <row r="25" spans="1:9" x14ac:dyDescent="0.15">
      <c r="A25" s="7" t="s">
        <v>614</v>
      </c>
      <c r="B25" s="7" t="s">
        <v>615</v>
      </c>
      <c r="C25" s="8">
        <v>7.3</v>
      </c>
      <c r="D25" s="9">
        <v>6</v>
      </c>
      <c r="E25" s="8">
        <f>PI()*0.133</f>
        <v>0.41783182292744253</v>
      </c>
      <c r="F25" s="13">
        <f t="shared" si="0"/>
        <v>18.3</v>
      </c>
      <c r="G25" s="21">
        <v>14.26</v>
      </c>
      <c r="H25" s="13">
        <f t="shared" si="2"/>
        <v>0.62</v>
      </c>
      <c r="I25" s="11" t="s">
        <v>616</v>
      </c>
    </row>
    <row r="26" spans="1:9" x14ac:dyDescent="0.15">
      <c r="C26" s="8">
        <v>7.8</v>
      </c>
      <c r="D26" s="9">
        <v>12</v>
      </c>
      <c r="E26" s="8">
        <f>PI()*0.133</f>
        <v>0.41783182292744253</v>
      </c>
      <c r="F26" s="13">
        <f t="shared" si="0"/>
        <v>39.11</v>
      </c>
      <c r="G26" s="21">
        <v>14.26</v>
      </c>
      <c r="H26" s="13">
        <f t="shared" si="2"/>
        <v>1.33</v>
      </c>
      <c r="I26" s="11" t="s">
        <v>616</v>
      </c>
    </row>
    <row r="27" spans="1:9" x14ac:dyDescent="0.15">
      <c r="A27" s="7" t="s">
        <v>14</v>
      </c>
      <c r="F27" s="13">
        <f t="shared" si="0"/>
        <v>0</v>
      </c>
      <c r="H27" s="13">
        <f t="shared" si="2"/>
        <v>0</v>
      </c>
    </row>
    <row r="28" spans="1:9" x14ac:dyDescent="0.15">
      <c r="A28" s="7" t="s">
        <v>617</v>
      </c>
      <c r="B28" s="7" t="s">
        <v>618</v>
      </c>
      <c r="C28" s="8">
        <v>46.8</v>
      </c>
      <c r="D28" s="9">
        <v>12</v>
      </c>
      <c r="E28" s="8">
        <f>0.25*2+0.075*4+0.02*4</f>
        <v>0.88</v>
      </c>
      <c r="F28" s="13">
        <f t="shared" si="0"/>
        <v>494.21</v>
      </c>
      <c r="G28" s="21">
        <v>8.43</v>
      </c>
      <c r="H28" s="13">
        <f t="shared" si="2"/>
        <v>4.7300000000000004</v>
      </c>
      <c r="I28" s="11" t="s">
        <v>619</v>
      </c>
    </row>
    <row r="29" spans="1:9" x14ac:dyDescent="0.15">
      <c r="A29" s="7" t="s">
        <v>122</v>
      </c>
      <c r="B29" s="7" t="s">
        <v>127</v>
      </c>
      <c r="C29" s="8">
        <f>1.35*3</f>
        <v>4.0500000000000007</v>
      </c>
      <c r="D29" s="9">
        <v>24</v>
      </c>
      <c r="E29" s="8">
        <f>PI()*0.012</f>
        <v>3.7699111843077518E-2</v>
      </c>
      <c r="F29" s="13">
        <f t="shared" si="0"/>
        <v>3.66</v>
      </c>
      <c r="G29" s="21">
        <v>0.88800000000000001</v>
      </c>
      <c r="H29" s="13">
        <f t="shared" si="2"/>
        <v>0.09</v>
      </c>
      <c r="I29" s="11" t="s">
        <v>620</v>
      </c>
    </row>
    <row r="30" spans="1:9" x14ac:dyDescent="0.15">
      <c r="A30" s="7" t="s">
        <v>123</v>
      </c>
      <c r="B30" s="7" t="s">
        <v>127</v>
      </c>
      <c r="C30" s="8">
        <v>3</v>
      </c>
      <c r="D30" s="9">
        <v>24</v>
      </c>
      <c r="E30" s="8">
        <f>PI()*0.012</f>
        <v>3.7699111843077518E-2</v>
      </c>
      <c r="F30" s="13">
        <f t="shared" si="0"/>
        <v>2.71</v>
      </c>
      <c r="G30" s="21">
        <v>0.88800000000000001</v>
      </c>
      <c r="H30" s="13">
        <f t="shared" si="2"/>
        <v>0.06</v>
      </c>
      <c r="I30" s="11" t="s">
        <v>621</v>
      </c>
    </row>
    <row r="31" spans="1:9" x14ac:dyDescent="0.15">
      <c r="A31" s="7" t="s">
        <v>622</v>
      </c>
      <c r="B31" s="7" t="s">
        <v>128</v>
      </c>
      <c r="C31" s="8">
        <v>1.35</v>
      </c>
      <c r="D31" s="9">
        <v>48</v>
      </c>
      <c r="E31" s="8">
        <f>PI()*0.032</f>
        <v>0.10053096491487339</v>
      </c>
      <c r="F31" s="13">
        <f t="shared" si="0"/>
        <v>6.51</v>
      </c>
      <c r="G31" s="21">
        <v>1.819</v>
      </c>
      <c r="H31" s="13">
        <f t="shared" si="2"/>
        <v>0.12</v>
      </c>
      <c r="I31" s="11" t="s">
        <v>135</v>
      </c>
    </row>
    <row r="32" spans="1:9" x14ac:dyDescent="0.15">
      <c r="C32" s="8">
        <v>0.4</v>
      </c>
      <c r="D32" s="9">
        <v>12</v>
      </c>
      <c r="E32" s="8">
        <f>PI()*0.032</f>
        <v>0.10053096491487339</v>
      </c>
      <c r="F32" s="13">
        <f t="shared" si="0"/>
        <v>0.48</v>
      </c>
      <c r="G32" s="21">
        <v>1.819</v>
      </c>
      <c r="H32" s="13">
        <f t="shared" si="2"/>
        <v>0.01</v>
      </c>
      <c r="I32" s="11" t="s">
        <v>621</v>
      </c>
    </row>
    <row r="33" spans="1:9" x14ac:dyDescent="0.15">
      <c r="A33" s="7" t="s">
        <v>623</v>
      </c>
      <c r="B33" s="7" t="s">
        <v>624</v>
      </c>
      <c r="C33" s="8">
        <f>(0.65+0.125)*2^0.5</f>
        <v>1.0960155108391487</v>
      </c>
      <c r="D33" s="9">
        <v>40</v>
      </c>
      <c r="E33" s="8">
        <f>0.05*4</f>
        <v>0.2</v>
      </c>
      <c r="F33" s="13">
        <f t="shared" si="0"/>
        <v>8.77</v>
      </c>
      <c r="G33" s="21">
        <v>3.77</v>
      </c>
      <c r="H33" s="13">
        <f t="shared" si="2"/>
        <v>0.17</v>
      </c>
      <c r="I33" s="11" t="s">
        <v>621</v>
      </c>
    </row>
    <row r="34" spans="1:9" x14ac:dyDescent="0.15">
      <c r="A34" s="7" t="s">
        <v>625</v>
      </c>
      <c r="F34" s="13">
        <f t="shared" si="0"/>
        <v>0</v>
      </c>
      <c r="H34" s="13">
        <f t="shared" si="2"/>
        <v>0</v>
      </c>
    </row>
    <row r="35" spans="1:9" ht="28.5" x14ac:dyDescent="0.15">
      <c r="A35" s="7" t="s">
        <v>626</v>
      </c>
      <c r="B35" s="7" t="s">
        <v>627</v>
      </c>
      <c r="C35" s="8">
        <v>3</v>
      </c>
      <c r="D35" s="9">
        <v>7</v>
      </c>
      <c r="E35" s="8">
        <f>0.4+0.3+0.15*4</f>
        <v>1.2999999999999998</v>
      </c>
      <c r="F35" s="13">
        <f t="shared" si="0"/>
        <v>27.3</v>
      </c>
      <c r="G35" s="21">
        <v>53.85</v>
      </c>
      <c r="H35" s="13">
        <f t="shared" si="2"/>
        <v>1.1299999999999999</v>
      </c>
      <c r="I35" s="11" t="s">
        <v>628</v>
      </c>
    </row>
    <row r="36" spans="1:9" x14ac:dyDescent="0.15">
      <c r="A36" s="7" t="s">
        <v>629</v>
      </c>
      <c r="B36" s="7" t="s">
        <v>630</v>
      </c>
      <c r="C36" s="8">
        <v>0.376</v>
      </c>
      <c r="D36" s="9">
        <f>2*7</f>
        <v>14</v>
      </c>
      <c r="E36" s="8">
        <f>0.07*2</f>
        <v>0.14000000000000001</v>
      </c>
      <c r="F36" s="13">
        <f t="shared" si="0"/>
        <v>0.74</v>
      </c>
      <c r="G36" s="21">
        <f>0.07*0.01*7850</f>
        <v>5.495000000000001</v>
      </c>
      <c r="H36" s="13">
        <f t="shared" si="2"/>
        <v>0.03</v>
      </c>
      <c r="I36" s="11" t="s">
        <v>628</v>
      </c>
    </row>
    <row r="37" spans="1:9" x14ac:dyDescent="0.15">
      <c r="A37" s="7" t="s">
        <v>631</v>
      </c>
      <c r="F37" s="13">
        <f t="shared" si="0"/>
        <v>0</v>
      </c>
      <c r="H37" s="13">
        <f t="shared" si="2"/>
        <v>0</v>
      </c>
    </row>
    <row r="38" spans="1:9" x14ac:dyDescent="0.15">
      <c r="A38" s="7" t="s">
        <v>129</v>
      </c>
      <c r="B38" s="7" t="s">
        <v>130</v>
      </c>
      <c r="C38" s="8">
        <f>(7.3^2+2.6^2)^0.5</f>
        <v>7.7491935064237492</v>
      </c>
      <c r="D38" s="9">
        <v>4</v>
      </c>
      <c r="E38" s="8">
        <f>0.11*4</f>
        <v>0.44</v>
      </c>
      <c r="F38" s="13">
        <f t="shared" si="0"/>
        <v>13.64</v>
      </c>
      <c r="G38" s="21">
        <v>11.9</v>
      </c>
      <c r="H38" s="13">
        <f t="shared" si="2"/>
        <v>0.37</v>
      </c>
      <c r="I38" s="11" t="s">
        <v>133</v>
      </c>
    </row>
    <row r="39" spans="1:9" x14ac:dyDescent="0.15">
      <c r="A39" s="7" t="s">
        <v>119</v>
      </c>
      <c r="B39" s="7" t="s">
        <v>120</v>
      </c>
      <c r="C39" s="8">
        <v>7.3</v>
      </c>
      <c r="D39" s="9">
        <v>4</v>
      </c>
      <c r="E39" s="8">
        <f>PI()*0.133</f>
        <v>0.41783182292744253</v>
      </c>
      <c r="F39" s="13">
        <f t="shared" si="0"/>
        <v>12.2</v>
      </c>
      <c r="G39" s="21">
        <v>14.26</v>
      </c>
      <c r="H39" s="13">
        <f t="shared" si="2"/>
        <v>0.42</v>
      </c>
      <c r="I39" s="11" t="s">
        <v>134</v>
      </c>
    </row>
    <row r="40" spans="1:9" x14ac:dyDescent="0.15">
      <c r="C40" s="8">
        <v>7.8</v>
      </c>
      <c r="D40" s="9">
        <v>8</v>
      </c>
      <c r="E40" s="8">
        <f>PI()*0.133</f>
        <v>0.41783182292744253</v>
      </c>
      <c r="F40" s="13">
        <f t="shared" si="0"/>
        <v>26.07</v>
      </c>
      <c r="G40" s="21">
        <v>14.26</v>
      </c>
      <c r="H40" s="13">
        <f t="shared" si="2"/>
        <v>0.89</v>
      </c>
      <c r="I40" s="11" t="s">
        <v>134</v>
      </c>
    </row>
    <row r="41" spans="1:9" x14ac:dyDescent="0.15">
      <c r="A41" s="7" t="s">
        <v>131</v>
      </c>
      <c r="F41" s="13">
        <f t="shared" si="0"/>
        <v>0</v>
      </c>
      <c r="H41" s="13">
        <f t="shared" si="2"/>
        <v>0</v>
      </c>
    </row>
    <row r="42" spans="1:9" x14ac:dyDescent="0.15">
      <c r="A42" s="7" t="s">
        <v>85</v>
      </c>
      <c r="B42" s="7" t="s">
        <v>125</v>
      </c>
      <c r="C42" s="8">
        <v>46.8</v>
      </c>
      <c r="D42" s="9">
        <v>3</v>
      </c>
      <c r="E42" s="8">
        <f>0.25*2+0.075*4+0.02*4</f>
        <v>0.88</v>
      </c>
      <c r="F42" s="13">
        <f t="shared" si="0"/>
        <v>123.55</v>
      </c>
      <c r="G42" s="21">
        <v>8.43</v>
      </c>
      <c r="H42" s="13">
        <f t="shared" si="2"/>
        <v>1.18</v>
      </c>
      <c r="I42" s="11" t="s">
        <v>135</v>
      </c>
    </row>
    <row r="43" spans="1:9" x14ac:dyDescent="0.15">
      <c r="A43" s="7" t="s">
        <v>87</v>
      </c>
      <c r="B43" s="7" t="s">
        <v>96</v>
      </c>
      <c r="C43" s="8">
        <v>1.3</v>
      </c>
      <c r="D43" s="9">
        <v>12</v>
      </c>
      <c r="E43" s="8">
        <f>PI()*0.012</f>
        <v>3.7699111843077518E-2</v>
      </c>
      <c r="F43" s="13">
        <f t="shared" si="0"/>
        <v>0.59</v>
      </c>
      <c r="G43" s="21">
        <v>0.88800000000000001</v>
      </c>
      <c r="H43" s="13">
        <f t="shared" si="2"/>
        <v>0.01</v>
      </c>
      <c r="I43" s="11" t="s">
        <v>135</v>
      </c>
    </row>
    <row r="44" spans="1:9" x14ac:dyDescent="0.15">
      <c r="A44" s="7" t="s">
        <v>89</v>
      </c>
      <c r="B44" s="7" t="s">
        <v>96</v>
      </c>
      <c r="C44" s="8">
        <v>3</v>
      </c>
      <c r="D44" s="9">
        <v>12</v>
      </c>
      <c r="E44" s="8">
        <f>PI()*0.012</f>
        <v>3.7699111843077518E-2</v>
      </c>
      <c r="F44" s="13">
        <f t="shared" si="0"/>
        <v>1.36</v>
      </c>
      <c r="G44" s="21">
        <v>0.88800000000000001</v>
      </c>
      <c r="H44" s="13">
        <f t="shared" si="2"/>
        <v>0.03</v>
      </c>
      <c r="I44" s="11" t="s">
        <v>135</v>
      </c>
    </row>
    <row r="45" spans="1:9" x14ac:dyDescent="0.15">
      <c r="A45" s="7" t="s">
        <v>91</v>
      </c>
      <c r="B45" s="7" t="s">
        <v>98</v>
      </c>
      <c r="C45" s="8">
        <v>1.3</v>
      </c>
      <c r="D45" s="9">
        <v>12</v>
      </c>
      <c r="E45" s="8">
        <f>PI()*0.032</f>
        <v>0.10053096491487339</v>
      </c>
      <c r="F45" s="13">
        <f t="shared" si="0"/>
        <v>1.57</v>
      </c>
      <c r="G45" s="21">
        <v>1.819</v>
      </c>
      <c r="H45" s="13">
        <f t="shared" si="2"/>
        <v>0.03</v>
      </c>
      <c r="I45" s="11" t="s">
        <v>135</v>
      </c>
    </row>
    <row r="46" spans="1:9" x14ac:dyDescent="0.15">
      <c r="A46" s="7" t="s">
        <v>93</v>
      </c>
      <c r="B46" s="7" t="s">
        <v>100</v>
      </c>
      <c r="C46" s="8">
        <f>(0.4+0.125)*2^0.5</f>
        <v>0.74246212024587499</v>
      </c>
      <c r="D46" s="9">
        <v>10</v>
      </c>
      <c r="E46" s="8">
        <f>0.05*4</f>
        <v>0.2</v>
      </c>
      <c r="F46" s="13">
        <f t="shared" si="0"/>
        <v>1.48</v>
      </c>
      <c r="G46" s="21">
        <v>3.77</v>
      </c>
      <c r="H46" s="13">
        <f t="shared" si="2"/>
        <v>0.03</v>
      </c>
      <c r="I46" s="11" t="s">
        <v>135</v>
      </c>
    </row>
    <row r="47" spans="1:9" x14ac:dyDescent="0.15">
      <c r="A47" s="7" t="s">
        <v>132</v>
      </c>
      <c r="F47" s="13">
        <f>SUBTOTAL(109,F2:F46)</f>
        <v>1100.3999999999999</v>
      </c>
      <c r="H47" s="13">
        <f>SUBTOTAL(109,H2:H46)</f>
        <v>24.850000000000009</v>
      </c>
    </row>
  </sheetData>
  <phoneticPr fontId="3" type="noConversion"/>
  <conditionalFormatting sqref="A1:I1048576">
    <cfRule type="expression" dxfId="69" priority="1">
      <formula>(ROW()=1)+($A1="汇总")</formula>
    </cfRule>
    <cfRule type="expression" dxfId="68" priority="2">
      <formula>(ROW()&gt;1)*($A1&lt;&gt;"汇总")*(MOD(ROW(),2)=0)*($A1&lt;&gt;"")*($B1&amp;$C1&amp;$D1&amp;$E1&amp;$G1&amp;$I1="")</formula>
    </cfRule>
    <cfRule type="expression" dxfId="67" priority="3">
      <formula>(ROW()&gt;1)*($A1&lt;&gt;"汇总")*(MOD(ROW(),2)=0)*($B1&amp;$C1&amp;$D1&amp;$E1&amp;$G1&amp;$I1&lt;&gt;"")</formula>
    </cfRule>
    <cfRule type="expression" dxfId="66" priority="4">
      <formula>(ROW()&gt;1)*($A1&lt;&gt;"汇总")*(MOD(ROW(),2)=1)*($A1&lt;&gt;"")*($B1&amp;$C1&amp;$D1&amp;$E1&amp;$G1&amp;$I1="")</formula>
    </cfRule>
    <cfRule type="expression" dxfId="6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pane ySplit="1" topLeftCell="A14" activePane="bottomLeft" state="frozen"/>
      <selection sqref="A1:F1"/>
      <selection pane="bottomLeft" activeCell="H47" sqref="H47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597</v>
      </c>
      <c r="F2" s="13">
        <f>ROUND(PRODUCT($C2:$E2),2)</f>
        <v>0</v>
      </c>
      <c r="H2" s="13">
        <f>ROUND(PRODUCT($C2:$D2,$G2)*0.001,2)</f>
        <v>0</v>
      </c>
    </row>
    <row r="3" spans="1:9" x14ac:dyDescent="0.15">
      <c r="A3" s="7" t="s">
        <v>598</v>
      </c>
      <c r="B3" s="7" t="s">
        <v>599</v>
      </c>
      <c r="C3" s="8">
        <v>9.1150000000000002</v>
      </c>
      <c r="D3" s="9">
        <f t="shared" ref="D3:D8" si="0">2*2</f>
        <v>4</v>
      </c>
      <c r="E3" s="8">
        <f>0.11*3</f>
        <v>0.33</v>
      </c>
      <c r="F3" s="13">
        <f t="shared" ref="F3:F46" si="1">ROUND(PRODUCT($C3:$E3),2)</f>
        <v>12.03</v>
      </c>
      <c r="G3" s="21">
        <v>13.5</v>
      </c>
      <c r="H3" s="13">
        <f t="shared" ref="H3:H46" si="2">ROUND(PRODUCT($C3:$D3,$G3)*0.001,2)</f>
        <v>0.49</v>
      </c>
      <c r="I3" s="11" t="s">
        <v>600</v>
      </c>
    </row>
    <row r="4" spans="1:9" x14ac:dyDescent="0.15">
      <c r="B4" s="7" t="s">
        <v>601</v>
      </c>
      <c r="C4" s="8">
        <v>4.3899999999999997</v>
      </c>
      <c r="D4" s="9">
        <f t="shared" si="0"/>
        <v>4</v>
      </c>
      <c r="E4" s="8">
        <f>0.11*3</f>
        <v>0.33</v>
      </c>
      <c r="F4" s="13">
        <f t="shared" si="1"/>
        <v>5.79</v>
      </c>
      <c r="G4" s="21">
        <v>13.5</v>
      </c>
      <c r="H4" s="13">
        <f t="shared" si="2"/>
        <v>0.24</v>
      </c>
      <c r="I4" s="11" t="s">
        <v>602</v>
      </c>
    </row>
    <row r="5" spans="1:9" x14ac:dyDescent="0.15">
      <c r="B5" s="7" t="s">
        <v>601</v>
      </c>
      <c r="C5" s="8">
        <v>4.54</v>
      </c>
      <c r="D5" s="9">
        <f t="shared" si="0"/>
        <v>4</v>
      </c>
      <c r="E5" s="8">
        <f>0.11*3</f>
        <v>0.33</v>
      </c>
      <c r="F5" s="13">
        <f t="shared" si="1"/>
        <v>5.99</v>
      </c>
      <c r="G5" s="21">
        <v>13.5</v>
      </c>
      <c r="H5" s="13">
        <f t="shared" si="2"/>
        <v>0.25</v>
      </c>
      <c r="I5" s="11" t="s">
        <v>602</v>
      </c>
    </row>
    <row r="6" spans="1:9" x14ac:dyDescent="0.15">
      <c r="B6" s="7" t="s">
        <v>603</v>
      </c>
      <c r="C6" s="8">
        <v>7.4</v>
      </c>
      <c r="D6" s="9">
        <f t="shared" si="0"/>
        <v>4</v>
      </c>
      <c r="E6" s="8">
        <f>0.18*3</f>
        <v>0.54</v>
      </c>
      <c r="F6" s="13">
        <f t="shared" si="1"/>
        <v>15.98</v>
      </c>
      <c r="G6" s="21">
        <v>33.200000000000003</v>
      </c>
      <c r="H6" s="13">
        <f t="shared" si="2"/>
        <v>0.98</v>
      </c>
      <c r="I6" s="11" t="s">
        <v>602</v>
      </c>
    </row>
    <row r="7" spans="1:9" x14ac:dyDescent="0.15">
      <c r="B7" s="7" t="s">
        <v>604</v>
      </c>
      <c r="C7" s="8">
        <v>0.58499999999999996</v>
      </c>
      <c r="D7" s="9">
        <f t="shared" si="0"/>
        <v>4</v>
      </c>
      <c r="E7" s="8">
        <f>0.605*2</f>
        <v>1.21</v>
      </c>
      <c r="F7" s="13">
        <f t="shared" si="1"/>
        <v>2.83</v>
      </c>
      <c r="G7" s="21">
        <f>0.605*0.016*7850</f>
        <v>75.988</v>
      </c>
      <c r="H7" s="13">
        <f t="shared" si="2"/>
        <v>0.18</v>
      </c>
      <c r="I7" s="11" t="s">
        <v>602</v>
      </c>
    </row>
    <row r="8" spans="1:9" x14ac:dyDescent="0.15">
      <c r="B8" s="7" t="s">
        <v>605</v>
      </c>
      <c r="C8" s="8">
        <v>0.38500000000000001</v>
      </c>
      <c r="D8" s="9">
        <f t="shared" si="0"/>
        <v>4</v>
      </c>
      <c r="E8" s="8">
        <f>0.4*2</f>
        <v>0.8</v>
      </c>
      <c r="F8" s="13">
        <f t="shared" si="1"/>
        <v>1.23</v>
      </c>
      <c r="G8" s="21">
        <f>0.4*0.016*7850</f>
        <v>50.24</v>
      </c>
      <c r="H8" s="13">
        <f t="shared" si="2"/>
        <v>0.08</v>
      </c>
      <c r="I8" s="11" t="s">
        <v>602</v>
      </c>
    </row>
    <row r="9" spans="1:9" x14ac:dyDescent="0.15">
      <c r="B9" s="7" t="s">
        <v>606</v>
      </c>
      <c r="C9" s="8">
        <v>0.84499999999999997</v>
      </c>
      <c r="D9" s="9">
        <f>1*2</f>
        <v>2</v>
      </c>
      <c r="E9" s="8">
        <f>0.375*2</f>
        <v>0.75</v>
      </c>
      <c r="F9" s="13">
        <f t="shared" si="1"/>
        <v>1.27</v>
      </c>
      <c r="G9" s="21">
        <f>0.375*0.016*7850</f>
        <v>47.1</v>
      </c>
      <c r="H9" s="13">
        <f t="shared" si="2"/>
        <v>0.08</v>
      </c>
      <c r="I9" s="11" t="s">
        <v>602</v>
      </c>
    </row>
    <row r="10" spans="1:9" x14ac:dyDescent="0.15">
      <c r="B10" s="7" t="s">
        <v>109</v>
      </c>
      <c r="C10" s="8">
        <f>0.21-0.18</f>
        <v>0.03</v>
      </c>
      <c r="D10" s="9">
        <f>4*2</f>
        <v>8</v>
      </c>
      <c r="E10" s="8">
        <f>0.06*2</f>
        <v>0.12</v>
      </c>
      <c r="F10" s="13">
        <f t="shared" si="1"/>
        <v>0.03</v>
      </c>
      <c r="G10" s="21">
        <f>0.06*0.016*7850</f>
        <v>7.5360000000000005</v>
      </c>
      <c r="H10" s="13">
        <f t="shared" si="2"/>
        <v>0</v>
      </c>
      <c r="I10" s="11" t="s">
        <v>602</v>
      </c>
    </row>
    <row r="11" spans="1:9" x14ac:dyDescent="0.15">
      <c r="B11" s="7" t="s">
        <v>110</v>
      </c>
      <c r="C11" s="8">
        <f>0.14-0.11</f>
        <v>3.0000000000000013E-2</v>
      </c>
      <c r="D11" s="9">
        <f>16*2</f>
        <v>32</v>
      </c>
      <c r="E11" s="8">
        <f>0.06*2</f>
        <v>0.12</v>
      </c>
      <c r="F11" s="13">
        <f t="shared" si="1"/>
        <v>0.12</v>
      </c>
      <c r="G11" s="21">
        <f>0.06*0.016*7850</f>
        <v>7.5360000000000005</v>
      </c>
      <c r="H11" s="13">
        <f t="shared" si="2"/>
        <v>0.01</v>
      </c>
      <c r="I11" s="11" t="s">
        <v>602</v>
      </c>
    </row>
    <row r="12" spans="1:9" x14ac:dyDescent="0.15">
      <c r="A12" s="7" t="s">
        <v>111</v>
      </c>
      <c r="F12" s="13">
        <f t="shared" si="1"/>
        <v>0</v>
      </c>
      <c r="H12" s="13">
        <f t="shared" si="2"/>
        <v>0</v>
      </c>
    </row>
    <row r="13" spans="1:9" x14ac:dyDescent="0.15">
      <c r="A13" s="7" t="s">
        <v>112</v>
      </c>
      <c r="B13" s="7" t="s">
        <v>113</v>
      </c>
      <c r="C13" s="8">
        <v>7.35</v>
      </c>
      <c r="D13" s="9">
        <f t="shared" ref="D13:D20" si="3">2*7</f>
        <v>14</v>
      </c>
      <c r="E13" s="8">
        <f>0.2*2</f>
        <v>0.4</v>
      </c>
      <c r="F13" s="13">
        <f t="shared" si="1"/>
        <v>41.16</v>
      </c>
      <c r="G13" s="21">
        <f>0.2*0.012*7850</f>
        <v>18.840000000000003</v>
      </c>
      <c r="H13" s="13">
        <f t="shared" si="2"/>
        <v>1.94</v>
      </c>
      <c r="I13" s="11" t="s">
        <v>607</v>
      </c>
    </row>
    <row r="14" spans="1:9" x14ac:dyDescent="0.15">
      <c r="B14" s="7" t="s">
        <v>608</v>
      </c>
      <c r="C14" s="8">
        <v>7.0190000000000001</v>
      </c>
      <c r="D14" s="9">
        <f t="shared" si="3"/>
        <v>14</v>
      </c>
      <c r="E14" s="8">
        <f>0.2*2</f>
        <v>0.4</v>
      </c>
      <c r="F14" s="13">
        <f t="shared" si="1"/>
        <v>39.31</v>
      </c>
      <c r="G14" s="21">
        <f>0.2*0.012*7850</f>
        <v>18.840000000000003</v>
      </c>
      <c r="H14" s="13">
        <f t="shared" si="2"/>
        <v>1.85</v>
      </c>
      <c r="I14" s="11" t="s">
        <v>607</v>
      </c>
    </row>
    <row r="15" spans="1:9" x14ac:dyDescent="0.15">
      <c r="B15" s="7" t="s">
        <v>114</v>
      </c>
      <c r="C15" s="8">
        <v>7.35</v>
      </c>
      <c r="D15" s="9">
        <f t="shared" si="3"/>
        <v>14</v>
      </c>
      <c r="E15" s="8">
        <f>0.625*2</f>
        <v>1.25</v>
      </c>
      <c r="F15" s="13">
        <f t="shared" si="1"/>
        <v>128.63</v>
      </c>
      <c r="G15" s="21">
        <f>0.625*0.01*7850</f>
        <v>49.0625</v>
      </c>
      <c r="H15" s="13">
        <f t="shared" si="2"/>
        <v>5.05</v>
      </c>
      <c r="I15" s="11" t="s">
        <v>607</v>
      </c>
    </row>
    <row r="16" spans="1:9" x14ac:dyDescent="0.15">
      <c r="B16" s="7" t="s">
        <v>115</v>
      </c>
      <c r="C16" s="8">
        <v>0.34</v>
      </c>
      <c r="D16" s="9">
        <f t="shared" si="3"/>
        <v>14</v>
      </c>
      <c r="E16" s="8">
        <v>0.28999999999999998</v>
      </c>
      <c r="F16" s="13">
        <f t="shared" si="1"/>
        <v>1.38</v>
      </c>
      <c r="G16" s="21">
        <f>0.29*0.02*7850</f>
        <v>45.529999999999994</v>
      </c>
      <c r="H16" s="13">
        <f t="shared" si="2"/>
        <v>0.22</v>
      </c>
      <c r="I16" s="11" t="s">
        <v>607</v>
      </c>
    </row>
    <row r="17" spans="1:9" x14ac:dyDescent="0.15">
      <c r="B17" s="7" t="s">
        <v>116</v>
      </c>
      <c r="C17" s="8">
        <v>0.36899999999999999</v>
      </c>
      <c r="D17" s="9">
        <f t="shared" si="3"/>
        <v>14</v>
      </c>
      <c r="E17" s="8">
        <f>0.2*2</f>
        <v>0.4</v>
      </c>
      <c r="F17" s="13">
        <f t="shared" si="1"/>
        <v>2.0699999999999998</v>
      </c>
      <c r="G17" s="21">
        <f>0.2*0.012*7850</f>
        <v>18.840000000000003</v>
      </c>
      <c r="H17" s="13">
        <f t="shared" si="2"/>
        <v>0.1</v>
      </c>
      <c r="I17" s="11" t="s">
        <v>15</v>
      </c>
    </row>
    <row r="18" spans="1:9" x14ac:dyDescent="0.15">
      <c r="B18" s="7" t="s">
        <v>609</v>
      </c>
      <c r="C18" s="8">
        <v>0.76</v>
      </c>
      <c r="D18" s="9">
        <f t="shared" si="3"/>
        <v>14</v>
      </c>
      <c r="E18" s="8">
        <v>0.2</v>
      </c>
      <c r="F18" s="13">
        <f t="shared" si="1"/>
        <v>2.13</v>
      </c>
      <c r="G18" s="21">
        <f>0.2*0.018*7850</f>
        <v>28.259999999999998</v>
      </c>
      <c r="H18" s="13">
        <f t="shared" si="2"/>
        <v>0.3</v>
      </c>
      <c r="I18" s="11" t="s">
        <v>607</v>
      </c>
    </row>
    <row r="19" spans="1:9" x14ac:dyDescent="0.15">
      <c r="B19" s="7" t="s">
        <v>610</v>
      </c>
      <c r="C19" s="8">
        <v>0.38</v>
      </c>
      <c r="D19" s="9">
        <f>4*7</f>
        <v>28</v>
      </c>
      <c r="E19" s="8">
        <f>0.095*2</f>
        <v>0.19</v>
      </c>
      <c r="F19" s="13">
        <f t="shared" si="1"/>
        <v>2.02</v>
      </c>
      <c r="G19" s="21">
        <f>0.095*0.012*7850</f>
        <v>8.9489999999999998</v>
      </c>
      <c r="H19" s="13">
        <f t="shared" si="2"/>
        <v>0.1</v>
      </c>
      <c r="I19" s="11" t="s">
        <v>607</v>
      </c>
    </row>
    <row r="20" spans="1:9" x14ac:dyDescent="0.15">
      <c r="B20" s="7" t="s">
        <v>611</v>
      </c>
      <c r="C20" s="8">
        <v>0.14000000000000001</v>
      </c>
      <c r="D20" s="9">
        <f t="shared" si="3"/>
        <v>14</v>
      </c>
      <c r="E20" s="8">
        <f>0.09*2</f>
        <v>0.18</v>
      </c>
      <c r="F20" s="13">
        <f t="shared" si="1"/>
        <v>0.35</v>
      </c>
      <c r="G20" s="21">
        <f>0.09*0.01*7850</f>
        <v>7.0649999999999995</v>
      </c>
      <c r="H20" s="13">
        <f t="shared" si="2"/>
        <v>0.01</v>
      </c>
      <c r="I20" s="11" t="s">
        <v>607</v>
      </c>
    </row>
    <row r="21" spans="1:9" x14ac:dyDescent="0.15">
      <c r="B21" s="7" t="s">
        <v>612</v>
      </c>
      <c r="C21" s="8">
        <v>0.1</v>
      </c>
      <c r="D21" s="9">
        <f>8*7</f>
        <v>56</v>
      </c>
      <c r="E21" s="8">
        <f>0.095*2</f>
        <v>0.19</v>
      </c>
      <c r="F21" s="13">
        <f t="shared" si="1"/>
        <v>1.06</v>
      </c>
      <c r="G21" s="21">
        <f>0.095*0.01*7850</f>
        <v>7.4574999999999996</v>
      </c>
      <c r="H21" s="13">
        <f t="shared" si="2"/>
        <v>0.04</v>
      </c>
      <c r="I21" s="11" t="s">
        <v>607</v>
      </c>
    </row>
    <row r="22" spans="1:9" x14ac:dyDescent="0.15">
      <c r="A22" s="7" t="s">
        <v>117</v>
      </c>
      <c r="F22" s="13">
        <f t="shared" si="1"/>
        <v>0</v>
      </c>
      <c r="H22" s="13">
        <f t="shared" si="2"/>
        <v>0</v>
      </c>
    </row>
    <row r="23" spans="1:9" x14ac:dyDescent="0.15">
      <c r="A23" s="7" t="s">
        <v>118</v>
      </c>
      <c r="B23" s="7" t="s">
        <v>601</v>
      </c>
      <c r="C23" s="8">
        <f>(7.3^2+7.2^2)^0.5</f>
        <v>10.25329215423027</v>
      </c>
      <c r="D23" s="9">
        <v>8</v>
      </c>
      <c r="E23" s="8">
        <f>0.11*4</f>
        <v>0.44</v>
      </c>
      <c r="F23" s="13">
        <f t="shared" si="1"/>
        <v>36.090000000000003</v>
      </c>
      <c r="G23" s="21">
        <v>13.5</v>
      </c>
      <c r="H23" s="13">
        <f t="shared" si="2"/>
        <v>1.1100000000000001</v>
      </c>
      <c r="I23" s="11" t="s">
        <v>613</v>
      </c>
    </row>
    <row r="24" spans="1:9" x14ac:dyDescent="0.15">
      <c r="C24" s="8">
        <f>(7.8^2+7.2^2)^0.5</f>
        <v>10.61508360777248</v>
      </c>
      <c r="D24" s="9">
        <v>4</v>
      </c>
      <c r="E24" s="8">
        <f>0.11*4</f>
        <v>0.44</v>
      </c>
      <c r="F24" s="13">
        <f t="shared" si="1"/>
        <v>18.68</v>
      </c>
      <c r="G24" s="21">
        <v>13.5</v>
      </c>
      <c r="H24" s="13">
        <f t="shared" si="2"/>
        <v>0.56999999999999995</v>
      </c>
      <c r="I24" s="11" t="s">
        <v>133</v>
      </c>
    </row>
    <row r="25" spans="1:9" x14ac:dyDescent="0.15">
      <c r="A25" s="7" t="s">
        <v>614</v>
      </c>
      <c r="B25" s="7" t="s">
        <v>615</v>
      </c>
      <c r="C25" s="8">
        <v>7.3</v>
      </c>
      <c r="D25" s="9">
        <v>6</v>
      </c>
      <c r="E25" s="8">
        <f>PI()*0.133</f>
        <v>0.41783182292744253</v>
      </c>
      <c r="F25" s="13">
        <f t="shared" si="1"/>
        <v>18.3</v>
      </c>
      <c r="G25" s="21">
        <v>14.26</v>
      </c>
      <c r="H25" s="13">
        <f t="shared" si="2"/>
        <v>0.62</v>
      </c>
      <c r="I25" s="11" t="s">
        <v>616</v>
      </c>
    </row>
    <row r="26" spans="1:9" x14ac:dyDescent="0.15">
      <c r="C26" s="8">
        <v>7.8</v>
      </c>
      <c r="D26" s="9">
        <v>12</v>
      </c>
      <c r="E26" s="8">
        <f>PI()*0.133</f>
        <v>0.41783182292744253</v>
      </c>
      <c r="F26" s="13">
        <f t="shared" si="1"/>
        <v>39.11</v>
      </c>
      <c r="G26" s="21">
        <v>14.26</v>
      </c>
      <c r="H26" s="13">
        <f t="shared" si="2"/>
        <v>1.33</v>
      </c>
      <c r="I26" s="11" t="s">
        <v>616</v>
      </c>
    </row>
    <row r="27" spans="1:9" x14ac:dyDescent="0.15">
      <c r="A27" s="7" t="s">
        <v>14</v>
      </c>
      <c r="F27" s="13">
        <f t="shared" si="1"/>
        <v>0</v>
      </c>
      <c r="H27" s="13">
        <f t="shared" si="2"/>
        <v>0</v>
      </c>
    </row>
    <row r="28" spans="1:9" x14ac:dyDescent="0.15">
      <c r="A28" s="7" t="s">
        <v>617</v>
      </c>
      <c r="B28" s="7" t="s">
        <v>618</v>
      </c>
      <c r="C28" s="8">
        <v>46.8</v>
      </c>
      <c r="D28" s="9">
        <v>12</v>
      </c>
      <c r="E28" s="8">
        <f>0.25*2+0.075*4+0.02*4</f>
        <v>0.88</v>
      </c>
      <c r="F28" s="13">
        <f t="shared" si="1"/>
        <v>494.21</v>
      </c>
      <c r="G28" s="21">
        <v>8.43</v>
      </c>
      <c r="H28" s="13">
        <f t="shared" si="2"/>
        <v>4.7300000000000004</v>
      </c>
      <c r="I28" s="11" t="s">
        <v>619</v>
      </c>
    </row>
    <row r="29" spans="1:9" x14ac:dyDescent="0.15">
      <c r="A29" s="7" t="s">
        <v>122</v>
      </c>
      <c r="B29" s="7" t="s">
        <v>127</v>
      </c>
      <c r="C29" s="8">
        <f>1.35*3</f>
        <v>4.0500000000000007</v>
      </c>
      <c r="D29" s="9">
        <v>24</v>
      </c>
      <c r="E29" s="8">
        <f>PI()*0.012</f>
        <v>3.7699111843077518E-2</v>
      </c>
      <c r="F29" s="13">
        <f t="shared" si="1"/>
        <v>3.66</v>
      </c>
      <c r="G29" s="21">
        <v>0.88800000000000001</v>
      </c>
      <c r="H29" s="13">
        <f t="shared" si="2"/>
        <v>0.09</v>
      </c>
      <c r="I29" s="11" t="s">
        <v>620</v>
      </c>
    </row>
    <row r="30" spans="1:9" x14ac:dyDescent="0.15">
      <c r="A30" s="7" t="s">
        <v>123</v>
      </c>
      <c r="B30" s="7" t="s">
        <v>127</v>
      </c>
      <c r="C30" s="8">
        <v>3</v>
      </c>
      <c r="D30" s="9">
        <v>24</v>
      </c>
      <c r="E30" s="8">
        <f>PI()*0.012</f>
        <v>3.7699111843077518E-2</v>
      </c>
      <c r="F30" s="13">
        <f t="shared" si="1"/>
        <v>2.71</v>
      </c>
      <c r="G30" s="21">
        <v>0.88800000000000001</v>
      </c>
      <c r="H30" s="13">
        <f t="shared" si="2"/>
        <v>0.06</v>
      </c>
      <c r="I30" s="11" t="s">
        <v>621</v>
      </c>
    </row>
    <row r="31" spans="1:9" x14ac:dyDescent="0.15">
      <c r="A31" s="7" t="s">
        <v>622</v>
      </c>
      <c r="B31" s="7" t="s">
        <v>128</v>
      </c>
      <c r="C31" s="8">
        <v>1.35</v>
      </c>
      <c r="D31" s="9">
        <v>48</v>
      </c>
      <c r="E31" s="8">
        <f>PI()*0.032</f>
        <v>0.10053096491487339</v>
      </c>
      <c r="F31" s="13">
        <f t="shared" si="1"/>
        <v>6.51</v>
      </c>
      <c r="G31" s="21">
        <v>1.819</v>
      </c>
      <c r="H31" s="13">
        <f t="shared" si="2"/>
        <v>0.12</v>
      </c>
      <c r="I31" s="11" t="s">
        <v>135</v>
      </c>
    </row>
    <row r="32" spans="1:9" x14ac:dyDescent="0.15">
      <c r="C32" s="8">
        <v>0.4</v>
      </c>
      <c r="D32" s="9">
        <v>12</v>
      </c>
      <c r="E32" s="8">
        <f>PI()*0.032</f>
        <v>0.10053096491487339</v>
      </c>
      <c r="F32" s="13">
        <f t="shared" si="1"/>
        <v>0.48</v>
      </c>
      <c r="G32" s="21">
        <v>1.819</v>
      </c>
      <c r="H32" s="13">
        <f t="shared" si="2"/>
        <v>0.01</v>
      </c>
      <c r="I32" s="11" t="s">
        <v>621</v>
      </c>
    </row>
    <row r="33" spans="1:9" x14ac:dyDescent="0.15">
      <c r="A33" s="7" t="s">
        <v>623</v>
      </c>
      <c r="B33" s="7" t="s">
        <v>624</v>
      </c>
      <c r="C33" s="8">
        <f>(0.65+0.125)*2^0.5</f>
        <v>1.0960155108391487</v>
      </c>
      <c r="D33" s="9">
        <v>40</v>
      </c>
      <c r="E33" s="8">
        <f>0.05*4</f>
        <v>0.2</v>
      </c>
      <c r="F33" s="13">
        <f t="shared" si="1"/>
        <v>8.77</v>
      </c>
      <c r="G33" s="21">
        <v>3.77</v>
      </c>
      <c r="H33" s="13">
        <f t="shared" si="2"/>
        <v>0.17</v>
      </c>
      <c r="I33" s="11" t="s">
        <v>621</v>
      </c>
    </row>
    <row r="34" spans="1:9" x14ac:dyDescent="0.15">
      <c r="A34" s="7" t="s">
        <v>625</v>
      </c>
      <c r="F34" s="13">
        <f t="shared" si="1"/>
        <v>0</v>
      </c>
      <c r="H34" s="13">
        <f t="shared" si="2"/>
        <v>0</v>
      </c>
    </row>
    <row r="35" spans="1:9" ht="28.5" x14ac:dyDescent="0.15">
      <c r="A35" s="7" t="s">
        <v>626</v>
      </c>
      <c r="B35" s="7" t="s">
        <v>627</v>
      </c>
      <c r="C35" s="8">
        <v>3</v>
      </c>
      <c r="D35" s="9">
        <v>7</v>
      </c>
      <c r="E35" s="8">
        <f>0.4+0.3+0.15*4</f>
        <v>1.2999999999999998</v>
      </c>
      <c r="F35" s="13">
        <f t="shared" si="1"/>
        <v>27.3</v>
      </c>
      <c r="G35" s="21">
        <v>53.85</v>
      </c>
      <c r="H35" s="13">
        <f t="shared" si="2"/>
        <v>1.1299999999999999</v>
      </c>
      <c r="I35" s="11" t="s">
        <v>628</v>
      </c>
    </row>
    <row r="36" spans="1:9" x14ac:dyDescent="0.15">
      <c r="A36" s="7" t="s">
        <v>629</v>
      </c>
      <c r="B36" s="7" t="s">
        <v>630</v>
      </c>
      <c r="C36" s="8">
        <v>0.376</v>
      </c>
      <c r="D36" s="9">
        <f>2*7</f>
        <v>14</v>
      </c>
      <c r="E36" s="8">
        <f>0.07*2</f>
        <v>0.14000000000000001</v>
      </c>
      <c r="F36" s="13">
        <f t="shared" si="1"/>
        <v>0.74</v>
      </c>
      <c r="G36" s="21">
        <f>0.07*0.01*7850</f>
        <v>5.495000000000001</v>
      </c>
      <c r="H36" s="13">
        <f t="shared" si="2"/>
        <v>0.03</v>
      </c>
      <c r="I36" s="11" t="s">
        <v>628</v>
      </c>
    </row>
    <row r="37" spans="1:9" x14ac:dyDescent="0.15">
      <c r="A37" s="7" t="s">
        <v>631</v>
      </c>
      <c r="F37" s="13">
        <f t="shared" si="1"/>
        <v>0</v>
      </c>
      <c r="H37" s="13">
        <f t="shared" si="2"/>
        <v>0</v>
      </c>
    </row>
    <row r="38" spans="1:9" x14ac:dyDescent="0.15">
      <c r="A38" s="7" t="s">
        <v>129</v>
      </c>
      <c r="B38" s="7" t="s">
        <v>130</v>
      </c>
      <c r="C38" s="8">
        <f>(7.3^2+2.6^2)^0.5</f>
        <v>7.7491935064237492</v>
      </c>
      <c r="D38" s="9">
        <v>4</v>
      </c>
      <c r="E38" s="8">
        <f>0.11*4</f>
        <v>0.44</v>
      </c>
      <c r="F38" s="13">
        <f t="shared" si="1"/>
        <v>13.64</v>
      </c>
      <c r="G38" s="21">
        <v>11.9</v>
      </c>
      <c r="H38" s="13">
        <f t="shared" si="2"/>
        <v>0.37</v>
      </c>
      <c r="I38" s="11" t="s">
        <v>133</v>
      </c>
    </row>
    <row r="39" spans="1:9" x14ac:dyDescent="0.15">
      <c r="A39" s="7" t="s">
        <v>119</v>
      </c>
      <c r="B39" s="7" t="s">
        <v>120</v>
      </c>
      <c r="C39" s="8">
        <v>7.3</v>
      </c>
      <c r="D39" s="9">
        <v>4</v>
      </c>
      <c r="E39" s="8">
        <f>PI()*0.133</f>
        <v>0.41783182292744253</v>
      </c>
      <c r="F39" s="13">
        <f t="shared" si="1"/>
        <v>12.2</v>
      </c>
      <c r="G39" s="21">
        <v>14.26</v>
      </c>
      <c r="H39" s="13">
        <f t="shared" si="2"/>
        <v>0.42</v>
      </c>
      <c r="I39" s="11" t="s">
        <v>134</v>
      </c>
    </row>
    <row r="40" spans="1:9" x14ac:dyDescent="0.15">
      <c r="C40" s="8">
        <v>7.8</v>
      </c>
      <c r="D40" s="9">
        <v>8</v>
      </c>
      <c r="E40" s="8">
        <f>PI()*0.133</f>
        <v>0.41783182292744253</v>
      </c>
      <c r="F40" s="13">
        <f t="shared" si="1"/>
        <v>26.07</v>
      </c>
      <c r="G40" s="21">
        <v>14.26</v>
      </c>
      <c r="H40" s="13">
        <f t="shared" si="2"/>
        <v>0.89</v>
      </c>
      <c r="I40" s="11" t="s">
        <v>134</v>
      </c>
    </row>
    <row r="41" spans="1:9" x14ac:dyDescent="0.15">
      <c r="A41" s="7" t="s">
        <v>131</v>
      </c>
      <c r="F41" s="13">
        <f t="shared" si="1"/>
        <v>0</v>
      </c>
      <c r="H41" s="13">
        <f t="shared" si="2"/>
        <v>0</v>
      </c>
    </row>
    <row r="42" spans="1:9" x14ac:dyDescent="0.15">
      <c r="A42" s="7" t="s">
        <v>85</v>
      </c>
      <c r="B42" s="7" t="s">
        <v>125</v>
      </c>
      <c r="C42" s="8">
        <v>46.8</v>
      </c>
      <c r="D42" s="9">
        <v>3</v>
      </c>
      <c r="E42" s="8">
        <f>0.25*2+0.075*4+0.02*4</f>
        <v>0.88</v>
      </c>
      <c r="F42" s="13">
        <f t="shared" si="1"/>
        <v>123.55</v>
      </c>
      <c r="G42" s="21">
        <v>8.43</v>
      </c>
      <c r="H42" s="13">
        <f t="shared" si="2"/>
        <v>1.18</v>
      </c>
      <c r="I42" s="11" t="s">
        <v>135</v>
      </c>
    </row>
    <row r="43" spans="1:9" x14ac:dyDescent="0.15">
      <c r="A43" s="7" t="s">
        <v>87</v>
      </c>
      <c r="B43" s="7" t="s">
        <v>96</v>
      </c>
      <c r="C43" s="8">
        <v>1.3</v>
      </c>
      <c r="D43" s="9">
        <v>12</v>
      </c>
      <c r="E43" s="8">
        <f>PI()*0.012</f>
        <v>3.7699111843077518E-2</v>
      </c>
      <c r="F43" s="13">
        <f t="shared" si="1"/>
        <v>0.59</v>
      </c>
      <c r="G43" s="21">
        <v>0.88800000000000001</v>
      </c>
      <c r="H43" s="13">
        <f t="shared" si="2"/>
        <v>0.01</v>
      </c>
      <c r="I43" s="11" t="s">
        <v>135</v>
      </c>
    </row>
    <row r="44" spans="1:9" x14ac:dyDescent="0.15">
      <c r="A44" s="7" t="s">
        <v>89</v>
      </c>
      <c r="B44" s="7" t="s">
        <v>96</v>
      </c>
      <c r="C44" s="8">
        <v>3</v>
      </c>
      <c r="D44" s="9">
        <v>12</v>
      </c>
      <c r="E44" s="8">
        <f>PI()*0.012</f>
        <v>3.7699111843077518E-2</v>
      </c>
      <c r="F44" s="13">
        <f t="shared" si="1"/>
        <v>1.36</v>
      </c>
      <c r="G44" s="21">
        <v>0.88800000000000001</v>
      </c>
      <c r="H44" s="13">
        <f t="shared" si="2"/>
        <v>0.03</v>
      </c>
      <c r="I44" s="11" t="s">
        <v>135</v>
      </c>
    </row>
    <row r="45" spans="1:9" x14ac:dyDescent="0.15">
      <c r="A45" s="7" t="s">
        <v>91</v>
      </c>
      <c r="B45" s="7" t="s">
        <v>98</v>
      </c>
      <c r="C45" s="8">
        <v>1.3</v>
      </c>
      <c r="D45" s="9">
        <v>12</v>
      </c>
      <c r="E45" s="8">
        <f>PI()*0.032</f>
        <v>0.10053096491487339</v>
      </c>
      <c r="F45" s="13">
        <f t="shared" si="1"/>
        <v>1.57</v>
      </c>
      <c r="G45" s="21">
        <v>1.819</v>
      </c>
      <c r="H45" s="13">
        <f t="shared" si="2"/>
        <v>0.03</v>
      </c>
      <c r="I45" s="11" t="s">
        <v>135</v>
      </c>
    </row>
    <row r="46" spans="1:9" x14ac:dyDescent="0.15">
      <c r="A46" s="7" t="s">
        <v>93</v>
      </c>
      <c r="B46" s="7" t="s">
        <v>100</v>
      </c>
      <c r="C46" s="8">
        <f>(0.4+0.125)*2^0.5</f>
        <v>0.74246212024587499</v>
      </c>
      <c r="D46" s="9">
        <v>10</v>
      </c>
      <c r="E46" s="8">
        <f>0.05*4</f>
        <v>0.2</v>
      </c>
      <c r="F46" s="13">
        <f t="shared" si="1"/>
        <v>1.48</v>
      </c>
      <c r="G46" s="21">
        <v>3.77</v>
      </c>
      <c r="H46" s="13">
        <f t="shared" si="2"/>
        <v>0.03</v>
      </c>
      <c r="I46" s="11" t="s">
        <v>135</v>
      </c>
    </row>
    <row r="47" spans="1:9" x14ac:dyDescent="0.15">
      <c r="A47" s="7" t="s">
        <v>132</v>
      </c>
      <c r="F47" s="13">
        <f>SUBTOTAL(109,F2:F46)</f>
        <v>1100.3999999999999</v>
      </c>
      <c r="H47" s="13">
        <f>SUBTOTAL(109,H2:H46)</f>
        <v>24.850000000000009</v>
      </c>
    </row>
  </sheetData>
  <phoneticPr fontId="3" type="noConversion"/>
  <conditionalFormatting sqref="A1:I1048576">
    <cfRule type="expression" dxfId="64" priority="1">
      <formula>(ROW()=1)+($A1="汇总")</formula>
    </cfRule>
    <cfRule type="expression" dxfId="63" priority="2">
      <formula>(ROW()&gt;1)*($A1&lt;&gt;"汇总")*(MOD(ROW(),2)=0)*($A1&lt;&gt;"")*($B1&amp;$C1&amp;$D1&amp;$E1&amp;$G1&amp;$I1="")</formula>
    </cfRule>
    <cfRule type="expression" dxfId="62" priority="3">
      <formula>(ROW()&gt;1)*($A1&lt;&gt;"汇总")*(MOD(ROW(),2)=0)*($B1&amp;$C1&amp;$D1&amp;$E1&amp;$G1&amp;$I1&lt;&gt;"")</formula>
    </cfRule>
    <cfRule type="expression" dxfId="61" priority="4">
      <formula>(ROW()&gt;1)*($A1&lt;&gt;"汇总")*(MOD(ROW(),2)=1)*($A1&lt;&gt;"")*($B1&amp;$C1&amp;$D1&amp;$E1&amp;$G1&amp;$I1="")</formula>
    </cfRule>
    <cfRule type="expression" dxfId="6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pane ySplit="1" topLeftCell="A34" activePane="bottomLeft" state="frozen"/>
      <selection sqref="A1:F1"/>
      <selection pane="bottomLeft" activeCell="H69" sqref="H69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597</v>
      </c>
      <c r="F2" s="13">
        <f t="shared" ref="F2:F33" si="0">ROUND(PRODUCT($C2:$E2),2)</f>
        <v>0</v>
      </c>
      <c r="H2" s="13">
        <f>ROUND(PRODUCT($C2:$D2,$G2)*0.001,2)</f>
        <v>0</v>
      </c>
    </row>
    <row r="3" spans="1:9" x14ac:dyDescent="0.15">
      <c r="A3" s="7" t="s">
        <v>632</v>
      </c>
      <c r="B3" s="7" t="s">
        <v>633</v>
      </c>
      <c r="C3" s="8">
        <v>10.154999999999999</v>
      </c>
      <c r="D3" s="9">
        <f>1*2</f>
        <v>2</v>
      </c>
      <c r="E3" s="8">
        <f>PI()*0.152</f>
        <v>0.47752208334564855</v>
      </c>
      <c r="F3" s="13">
        <f t="shared" si="0"/>
        <v>9.6999999999999993</v>
      </c>
      <c r="G3" s="21">
        <v>12.817</v>
      </c>
      <c r="H3" s="13">
        <f t="shared" ref="H3:H66" si="1">ROUND(PRODUCT($C3:$D3,$G3)*0.001,2)</f>
        <v>0.26</v>
      </c>
      <c r="I3" s="11" t="s">
        <v>597</v>
      </c>
    </row>
    <row r="4" spans="1:9" x14ac:dyDescent="0.15">
      <c r="B4" s="7" t="s">
        <v>633</v>
      </c>
      <c r="C4" s="8">
        <v>4.9749999999999996</v>
      </c>
      <c r="D4" s="9">
        <f>1*2</f>
        <v>2</v>
      </c>
      <c r="E4" s="8">
        <f>PI()*0.152</f>
        <v>0.47752208334564855</v>
      </c>
      <c r="F4" s="13">
        <f t="shared" si="0"/>
        <v>4.75</v>
      </c>
      <c r="G4" s="21">
        <v>12.817</v>
      </c>
      <c r="H4" s="13">
        <f t="shared" si="1"/>
        <v>0.13</v>
      </c>
      <c r="I4" s="11" t="s">
        <v>597</v>
      </c>
    </row>
    <row r="5" spans="1:9" x14ac:dyDescent="0.15">
      <c r="B5" s="7" t="s">
        <v>633</v>
      </c>
      <c r="C5" s="8">
        <v>5.0149999999999997</v>
      </c>
      <c r="D5" s="9">
        <f>1*2</f>
        <v>2</v>
      </c>
      <c r="E5" s="8">
        <f>PI()*0.152</f>
        <v>0.47752208334564855</v>
      </c>
      <c r="F5" s="13">
        <f t="shared" si="0"/>
        <v>4.79</v>
      </c>
      <c r="G5" s="21">
        <v>12.817</v>
      </c>
      <c r="H5" s="13">
        <f t="shared" si="1"/>
        <v>0.13</v>
      </c>
      <c r="I5" s="11" t="s">
        <v>597</v>
      </c>
    </row>
    <row r="6" spans="1:9" x14ac:dyDescent="0.15">
      <c r="B6" s="7" t="s">
        <v>634</v>
      </c>
      <c r="C6" s="8">
        <v>7.32</v>
      </c>
      <c r="D6" s="9">
        <f>1*2</f>
        <v>2</v>
      </c>
      <c r="E6" s="8">
        <f>PI()*0.194</f>
        <v>0.60946897479641993</v>
      </c>
      <c r="F6" s="13">
        <f t="shared" si="0"/>
        <v>8.92</v>
      </c>
      <c r="G6" s="21">
        <v>23.305</v>
      </c>
      <c r="H6" s="13">
        <f t="shared" si="1"/>
        <v>0.34</v>
      </c>
      <c r="I6" s="11" t="s">
        <v>602</v>
      </c>
    </row>
    <row r="7" spans="1:9" x14ac:dyDescent="0.15">
      <c r="B7" s="7" t="s">
        <v>635</v>
      </c>
      <c r="C7" s="8">
        <v>0.47499999999999998</v>
      </c>
      <c r="D7" s="9">
        <f>2*2</f>
        <v>4</v>
      </c>
      <c r="E7" s="8">
        <f>0.63*2</f>
        <v>1.26</v>
      </c>
      <c r="F7" s="13">
        <f t="shared" si="0"/>
        <v>2.39</v>
      </c>
      <c r="G7" s="21">
        <f>0.63*0.012*7850</f>
        <v>59.345999999999997</v>
      </c>
      <c r="H7" s="13">
        <f t="shared" si="1"/>
        <v>0.11</v>
      </c>
      <c r="I7" s="11" t="s">
        <v>602</v>
      </c>
    </row>
    <row r="8" spans="1:9" x14ac:dyDescent="0.15">
      <c r="B8" s="7" t="s">
        <v>636</v>
      </c>
      <c r="C8" s="8">
        <v>0.435</v>
      </c>
      <c r="D8" s="9">
        <f>2*2</f>
        <v>4</v>
      </c>
      <c r="E8" s="8">
        <f>0.54*2</f>
        <v>1.08</v>
      </c>
      <c r="F8" s="13">
        <f t="shared" si="0"/>
        <v>1.88</v>
      </c>
      <c r="G8" s="21">
        <f>0.54*0.012*7850</f>
        <v>50.868000000000002</v>
      </c>
      <c r="H8" s="13">
        <f t="shared" si="1"/>
        <v>0.09</v>
      </c>
      <c r="I8" s="11" t="s">
        <v>602</v>
      </c>
    </row>
    <row r="9" spans="1:9" x14ac:dyDescent="0.15">
      <c r="B9" s="7" t="s">
        <v>637</v>
      </c>
      <c r="C9" s="8">
        <v>0.30499999999999999</v>
      </c>
      <c r="D9" s="9">
        <f>2*2</f>
        <v>4</v>
      </c>
      <c r="E9" s="8">
        <v>0</v>
      </c>
      <c r="F9" s="13">
        <f t="shared" si="0"/>
        <v>0</v>
      </c>
      <c r="G9" s="21">
        <f>0.24*0.007*7850</f>
        <v>13.188000000000001</v>
      </c>
      <c r="H9" s="13">
        <f t="shared" si="1"/>
        <v>0.02</v>
      </c>
      <c r="I9" s="11" t="s">
        <v>602</v>
      </c>
    </row>
    <row r="10" spans="1:9" x14ac:dyDescent="0.15">
      <c r="B10" s="7" t="s">
        <v>136</v>
      </c>
      <c r="C10" s="8">
        <v>0.23400000000000001</v>
      </c>
      <c r="D10" s="9">
        <f>2*2</f>
        <v>4</v>
      </c>
      <c r="E10" s="8">
        <f>0.234*2</f>
        <v>0.46800000000000003</v>
      </c>
      <c r="F10" s="13">
        <f t="shared" si="0"/>
        <v>0.44</v>
      </c>
      <c r="G10" s="21">
        <f>0.234*0.005*7850</f>
        <v>9.1844999999999999</v>
      </c>
      <c r="H10" s="13">
        <f t="shared" si="1"/>
        <v>0.01</v>
      </c>
      <c r="I10" s="11" t="s">
        <v>602</v>
      </c>
    </row>
    <row r="11" spans="1:9" x14ac:dyDescent="0.15">
      <c r="B11" s="7" t="s">
        <v>137</v>
      </c>
      <c r="C11" s="8">
        <v>0.192</v>
      </c>
      <c r="D11" s="9">
        <f>4*2</f>
        <v>8</v>
      </c>
      <c r="E11" s="8">
        <f>0.192*2</f>
        <v>0.38400000000000001</v>
      </c>
      <c r="F11" s="13">
        <f t="shared" si="0"/>
        <v>0.59</v>
      </c>
      <c r="G11" s="21">
        <f>0.192*0.005*7850</f>
        <v>7.5360000000000005</v>
      </c>
      <c r="H11" s="13">
        <f t="shared" si="1"/>
        <v>0.01</v>
      </c>
      <c r="I11" s="11" t="s">
        <v>602</v>
      </c>
    </row>
    <row r="12" spans="1:9" x14ac:dyDescent="0.15">
      <c r="A12" s="7" t="s">
        <v>143</v>
      </c>
      <c r="B12" s="7" t="s">
        <v>638</v>
      </c>
      <c r="C12" s="8">
        <v>10.154999999999999</v>
      </c>
      <c r="D12" s="9">
        <v>1</v>
      </c>
      <c r="E12" s="8">
        <f>PI()*0.18</f>
        <v>0.56548667764616278</v>
      </c>
      <c r="F12" s="13">
        <f t="shared" si="0"/>
        <v>5.74</v>
      </c>
      <c r="G12" s="21">
        <v>21.579000000000001</v>
      </c>
      <c r="H12" s="13">
        <f t="shared" si="1"/>
        <v>0.22</v>
      </c>
      <c r="I12" s="11" t="s">
        <v>602</v>
      </c>
    </row>
    <row r="13" spans="1:9" x14ac:dyDescent="0.15">
      <c r="B13" s="7" t="s">
        <v>139</v>
      </c>
      <c r="C13" s="8">
        <v>4.9749999999999996</v>
      </c>
      <c r="D13" s="9">
        <v>1</v>
      </c>
      <c r="E13" s="8">
        <f>PI()*0.18</f>
        <v>0.56548667764616278</v>
      </c>
      <c r="F13" s="13">
        <f t="shared" si="0"/>
        <v>2.81</v>
      </c>
      <c r="G13" s="21">
        <v>21.579000000000001</v>
      </c>
      <c r="H13" s="13">
        <f t="shared" si="1"/>
        <v>0.11</v>
      </c>
      <c r="I13" s="11" t="s">
        <v>600</v>
      </c>
    </row>
    <row r="14" spans="1:9" x14ac:dyDescent="0.15">
      <c r="B14" s="7" t="s">
        <v>639</v>
      </c>
      <c r="C14" s="8">
        <v>5.0149999999999997</v>
      </c>
      <c r="D14" s="9">
        <v>1</v>
      </c>
      <c r="E14" s="8">
        <f>PI()*0.18</f>
        <v>0.56548667764616278</v>
      </c>
      <c r="F14" s="13">
        <f t="shared" si="0"/>
        <v>2.84</v>
      </c>
      <c r="G14" s="21">
        <v>21.579000000000001</v>
      </c>
      <c r="H14" s="13">
        <f t="shared" si="1"/>
        <v>0.11</v>
      </c>
      <c r="I14" s="11" t="s">
        <v>600</v>
      </c>
    </row>
    <row r="15" spans="1:9" x14ac:dyDescent="0.15">
      <c r="B15" s="7" t="s">
        <v>140</v>
      </c>
      <c r="C15" s="8">
        <v>7.32</v>
      </c>
      <c r="D15" s="9">
        <v>1</v>
      </c>
      <c r="E15" s="8">
        <f>PI()*0.203</f>
        <v>0.63774330867872808</v>
      </c>
      <c r="F15" s="13">
        <f t="shared" si="0"/>
        <v>4.67</v>
      </c>
      <c r="G15" s="21">
        <v>29.15</v>
      </c>
      <c r="H15" s="13">
        <f t="shared" si="1"/>
        <v>0.21</v>
      </c>
      <c r="I15" s="11" t="s">
        <v>600</v>
      </c>
    </row>
    <row r="16" spans="1:9" x14ac:dyDescent="0.15">
      <c r="B16" s="7" t="s">
        <v>141</v>
      </c>
      <c r="C16" s="8">
        <v>0.47499999999999998</v>
      </c>
      <c r="D16" s="9">
        <v>2</v>
      </c>
      <c r="E16" s="8">
        <f>0.69*2</f>
        <v>1.38</v>
      </c>
      <c r="F16" s="13">
        <f t="shared" si="0"/>
        <v>1.31</v>
      </c>
      <c r="G16" s="21">
        <f>0.69*0.014*7850</f>
        <v>75.831000000000003</v>
      </c>
      <c r="H16" s="13">
        <f t="shared" si="1"/>
        <v>7.0000000000000007E-2</v>
      </c>
      <c r="I16" s="11" t="s">
        <v>602</v>
      </c>
    </row>
    <row r="17" spans="1:9" x14ac:dyDescent="0.15">
      <c r="B17" s="7" t="s">
        <v>142</v>
      </c>
      <c r="C17" s="8">
        <v>0.435</v>
      </c>
      <c r="D17" s="9">
        <v>2</v>
      </c>
      <c r="E17" s="8">
        <f>0.625*2</f>
        <v>1.25</v>
      </c>
      <c r="F17" s="13">
        <f t="shared" si="0"/>
        <v>1.0900000000000001</v>
      </c>
      <c r="G17" s="21">
        <f>0.625*0.014*7850</f>
        <v>68.6875</v>
      </c>
      <c r="H17" s="13">
        <f t="shared" si="1"/>
        <v>0.06</v>
      </c>
      <c r="I17" s="11" t="s">
        <v>183</v>
      </c>
    </row>
    <row r="18" spans="1:9" x14ac:dyDescent="0.15">
      <c r="B18" s="7" t="s">
        <v>640</v>
      </c>
      <c r="C18" s="8">
        <v>0.30499999999999999</v>
      </c>
      <c r="D18" s="9">
        <v>2</v>
      </c>
      <c r="E18" s="8">
        <v>0</v>
      </c>
      <c r="F18" s="13">
        <f t="shared" si="0"/>
        <v>0</v>
      </c>
      <c r="G18" s="21">
        <f>0.295*0.01*7850</f>
        <v>23.157499999999999</v>
      </c>
      <c r="H18" s="13">
        <f t="shared" si="1"/>
        <v>0.01</v>
      </c>
      <c r="I18" s="11" t="s">
        <v>602</v>
      </c>
    </row>
    <row r="19" spans="1:9" x14ac:dyDescent="0.15">
      <c r="B19" s="7" t="s">
        <v>641</v>
      </c>
      <c r="C19" s="8">
        <v>0.23400000000000001</v>
      </c>
      <c r="D19" s="9">
        <v>2</v>
      </c>
      <c r="E19" s="8">
        <f>0.234*2</f>
        <v>0.46800000000000003</v>
      </c>
      <c r="F19" s="13">
        <f t="shared" si="0"/>
        <v>0.22</v>
      </c>
      <c r="G19" s="21">
        <f>0.243*0.005*7850</f>
        <v>9.5377499999999991</v>
      </c>
      <c r="H19" s="13">
        <f t="shared" si="1"/>
        <v>0</v>
      </c>
      <c r="I19" s="11" t="s">
        <v>602</v>
      </c>
    </row>
    <row r="20" spans="1:9" x14ac:dyDescent="0.15">
      <c r="B20" s="7" t="s">
        <v>642</v>
      </c>
      <c r="C20" s="8">
        <v>0.192</v>
      </c>
      <c r="D20" s="9">
        <v>4</v>
      </c>
      <c r="E20" s="8">
        <f>0.22*2</f>
        <v>0.44</v>
      </c>
      <c r="F20" s="13">
        <f t="shared" si="0"/>
        <v>0.34</v>
      </c>
      <c r="G20" s="21">
        <f>0.22*0.005*7850</f>
        <v>8.6349999999999998</v>
      </c>
      <c r="H20" s="13">
        <f t="shared" si="1"/>
        <v>0.01</v>
      </c>
      <c r="I20" s="11" t="s">
        <v>602</v>
      </c>
    </row>
    <row r="21" spans="1:9" x14ac:dyDescent="0.15">
      <c r="A21" s="7" t="s">
        <v>111</v>
      </c>
      <c r="F21" s="13">
        <f t="shared" si="0"/>
        <v>0</v>
      </c>
      <c r="H21" s="13">
        <f t="shared" si="1"/>
        <v>0</v>
      </c>
    </row>
    <row r="22" spans="1:9" x14ac:dyDescent="0.15">
      <c r="A22" s="7" t="s">
        <v>144</v>
      </c>
      <c r="B22" s="7" t="s">
        <v>643</v>
      </c>
      <c r="C22" s="8">
        <v>8.8550000000000004</v>
      </c>
      <c r="D22" s="9">
        <f t="shared" ref="D22:D29" si="2">2*7</f>
        <v>14</v>
      </c>
      <c r="E22" s="8">
        <f>0.18*2</f>
        <v>0.36</v>
      </c>
      <c r="F22" s="13">
        <f t="shared" si="0"/>
        <v>44.63</v>
      </c>
      <c r="G22" s="21">
        <f>0.18*0.01*7850</f>
        <v>14.129999999999999</v>
      </c>
      <c r="H22" s="13">
        <f t="shared" si="1"/>
        <v>1.75</v>
      </c>
      <c r="I22" s="11" t="s">
        <v>607</v>
      </c>
    </row>
    <row r="23" spans="1:9" x14ac:dyDescent="0.15">
      <c r="B23" s="7" t="s">
        <v>644</v>
      </c>
      <c r="C23" s="8">
        <v>8.5730000000000004</v>
      </c>
      <c r="D23" s="9">
        <f t="shared" si="2"/>
        <v>14</v>
      </c>
      <c r="E23" s="8">
        <f>0.18*2</f>
        <v>0.36</v>
      </c>
      <c r="F23" s="13">
        <f t="shared" si="0"/>
        <v>43.21</v>
      </c>
      <c r="G23" s="21">
        <f>0.18*0.01*7850</f>
        <v>14.129999999999999</v>
      </c>
      <c r="H23" s="13">
        <f t="shared" si="1"/>
        <v>1.7</v>
      </c>
      <c r="I23" s="11" t="s">
        <v>607</v>
      </c>
    </row>
    <row r="24" spans="1:9" x14ac:dyDescent="0.15">
      <c r="B24" s="7" t="s">
        <v>145</v>
      </c>
      <c r="C24" s="8">
        <v>8.875</v>
      </c>
      <c r="D24" s="9">
        <f t="shared" si="2"/>
        <v>14</v>
      </c>
      <c r="E24" s="8">
        <f>0.53*2</f>
        <v>1.06</v>
      </c>
      <c r="F24" s="13">
        <f t="shared" si="0"/>
        <v>131.71</v>
      </c>
      <c r="G24" s="21">
        <f>0.53*0.008*7850</f>
        <v>33.284000000000006</v>
      </c>
      <c r="H24" s="13">
        <f t="shared" si="1"/>
        <v>4.1399999999999997</v>
      </c>
      <c r="I24" s="11" t="s">
        <v>19</v>
      </c>
    </row>
    <row r="25" spans="1:9" x14ac:dyDescent="0.15">
      <c r="B25" s="7" t="s">
        <v>645</v>
      </c>
      <c r="C25" s="8">
        <v>6.0010000000000003</v>
      </c>
      <c r="D25" s="9">
        <f t="shared" si="2"/>
        <v>14</v>
      </c>
      <c r="E25" s="8">
        <f>0.18*2</f>
        <v>0.36</v>
      </c>
      <c r="F25" s="13">
        <f t="shared" si="0"/>
        <v>30.25</v>
      </c>
      <c r="G25" s="21">
        <f>0.18*0.012*7850</f>
        <v>16.956</v>
      </c>
      <c r="H25" s="13">
        <f t="shared" si="1"/>
        <v>1.42</v>
      </c>
      <c r="I25" s="11" t="s">
        <v>607</v>
      </c>
    </row>
    <row r="26" spans="1:9" x14ac:dyDescent="0.15">
      <c r="B26" s="7" t="s">
        <v>146</v>
      </c>
      <c r="C26" s="8">
        <v>5.65</v>
      </c>
      <c r="D26" s="9">
        <f t="shared" si="2"/>
        <v>14</v>
      </c>
      <c r="E26" s="8">
        <f>0.18*2</f>
        <v>0.36</v>
      </c>
      <c r="F26" s="13">
        <f t="shared" si="0"/>
        <v>28.48</v>
      </c>
      <c r="G26" s="21">
        <f>0.18*0.012*7850</f>
        <v>16.956</v>
      </c>
      <c r="H26" s="13">
        <f t="shared" si="1"/>
        <v>1.34</v>
      </c>
      <c r="I26" s="11" t="s">
        <v>607</v>
      </c>
    </row>
    <row r="27" spans="1:9" x14ac:dyDescent="0.15">
      <c r="B27" s="7" t="s">
        <v>147</v>
      </c>
      <c r="C27" s="8">
        <v>5.9990000000000006</v>
      </c>
      <c r="D27" s="9">
        <f t="shared" si="2"/>
        <v>14</v>
      </c>
      <c r="E27" s="8">
        <f>0.626*2</f>
        <v>1.252</v>
      </c>
      <c r="F27" s="13">
        <f t="shared" si="0"/>
        <v>105.15</v>
      </c>
      <c r="G27" s="21">
        <f>0.626*0.01*7850</f>
        <v>49.140999999999998</v>
      </c>
      <c r="H27" s="13">
        <f t="shared" si="1"/>
        <v>4.13</v>
      </c>
      <c r="I27" s="11" t="s">
        <v>607</v>
      </c>
    </row>
    <row r="28" spans="1:9" x14ac:dyDescent="0.15">
      <c r="B28" s="7" t="s">
        <v>646</v>
      </c>
      <c r="C28" s="8">
        <v>0.34</v>
      </c>
      <c r="D28" s="9">
        <f t="shared" si="2"/>
        <v>14</v>
      </c>
      <c r="E28" s="8">
        <v>0.28999999999999998</v>
      </c>
      <c r="F28" s="13">
        <f t="shared" si="0"/>
        <v>1.38</v>
      </c>
      <c r="G28" s="21">
        <f>0.29*0.02*7850</f>
        <v>45.529999999999994</v>
      </c>
      <c r="H28" s="13">
        <f t="shared" si="1"/>
        <v>0.22</v>
      </c>
      <c r="I28" s="11" t="s">
        <v>607</v>
      </c>
    </row>
    <row r="29" spans="1:9" x14ac:dyDescent="0.15">
      <c r="B29" s="7" t="s">
        <v>148</v>
      </c>
      <c r="C29" s="8">
        <v>0.36799999999999999</v>
      </c>
      <c r="D29" s="9">
        <f t="shared" si="2"/>
        <v>14</v>
      </c>
      <c r="E29" s="8">
        <f>0.18*2</f>
        <v>0.36</v>
      </c>
      <c r="F29" s="13">
        <f t="shared" si="0"/>
        <v>1.85</v>
      </c>
      <c r="G29" s="21">
        <f>0.18*0.01*7850</f>
        <v>14.129999999999999</v>
      </c>
      <c r="H29" s="13">
        <f t="shared" si="1"/>
        <v>7.0000000000000007E-2</v>
      </c>
      <c r="I29" s="11" t="s">
        <v>607</v>
      </c>
    </row>
    <row r="30" spans="1:9" x14ac:dyDescent="0.15">
      <c r="B30" s="7" t="s">
        <v>149</v>
      </c>
      <c r="C30" s="8">
        <v>0.73</v>
      </c>
      <c r="D30" s="9">
        <f>4*7</f>
        <v>28</v>
      </c>
      <c r="E30" s="8">
        <v>0.18</v>
      </c>
      <c r="F30" s="13">
        <f t="shared" si="0"/>
        <v>3.68</v>
      </c>
      <c r="G30" s="21">
        <f>0.18*0.018*7850</f>
        <v>25.433999999999997</v>
      </c>
      <c r="H30" s="13">
        <f t="shared" si="1"/>
        <v>0.52</v>
      </c>
      <c r="I30" s="11" t="s">
        <v>607</v>
      </c>
    </row>
    <row r="31" spans="1:9" x14ac:dyDescent="0.15">
      <c r="B31" s="7" t="s">
        <v>150</v>
      </c>
      <c r="C31" s="8">
        <v>0.6</v>
      </c>
      <c r="D31" s="9">
        <f>1*7</f>
        <v>7</v>
      </c>
      <c r="E31" s="8">
        <v>0.28999999999999998</v>
      </c>
      <c r="F31" s="13">
        <f t="shared" si="0"/>
        <v>1.22</v>
      </c>
      <c r="G31" s="21">
        <f>0.29*0.02*7850</f>
        <v>45.529999999999994</v>
      </c>
      <c r="H31" s="13">
        <f t="shared" si="1"/>
        <v>0.19</v>
      </c>
      <c r="I31" s="11" t="s">
        <v>19</v>
      </c>
    </row>
    <row r="32" spans="1:9" x14ac:dyDescent="0.15">
      <c r="B32" s="7" t="s">
        <v>647</v>
      </c>
      <c r="C32" s="8">
        <v>0.38200000000000001</v>
      </c>
      <c r="D32" s="9">
        <f>4*7</f>
        <v>28</v>
      </c>
      <c r="E32" s="8">
        <f>0.086*2</f>
        <v>0.17199999999999999</v>
      </c>
      <c r="F32" s="13">
        <f t="shared" si="0"/>
        <v>1.84</v>
      </c>
      <c r="G32" s="21">
        <f>0.086*0.01*7850</f>
        <v>6.7509999999999994</v>
      </c>
      <c r="H32" s="13">
        <f t="shared" si="1"/>
        <v>7.0000000000000007E-2</v>
      </c>
      <c r="I32" s="11" t="s">
        <v>607</v>
      </c>
    </row>
    <row r="33" spans="1:9" x14ac:dyDescent="0.15">
      <c r="B33" s="7" t="s">
        <v>648</v>
      </c>
      <c r="C33" s="8">
        <v>0.13500000000000001</v>
      </c>
      <c r="D33" s="9">
        <f>8*7</f>
        <v>56</v>
      </c>
      <c r="E33" s="8">
        <f>0.09*2</f>
        <v>0.18</v>
      </c>
      <c r="F33" s="13">
        <f t="shared" si="0"/>
        <v>1.36</v>
      </c>
      <c r="G33" s="21">
        <f>0.09*0.01*7850</f>
        <v>7.0649999999999995</v>
      </c>
      <c r="H33" s="13">
        <f t="shared" si="1"/>
        <v>0.05</v>
      </c>
      <c r="I33" s="11" t="s">
        <v>607</v>
      </c>
    </row>
    <row r="34" spans="1:9" x14ac:dyDescent="0.15">
      <c r="B34" s="7" t="s">
        <v>649</v>
      </c>
      <c r="C34" s="8">
        <v>0.625</v>
      </c>
      <c r="D34" s="9">
        <f t="shared" ref="D34:D42" si="3">4*7</f>
        <v>28</v>
      </c>
      <c r="E34" s="8">
        <f>0.085*2</f>
        <v>0.17</v>
      </c>
      <c r="F34" s="13">
        <f t="shared" ref="F34:F68" si="4">ROUND(PRODUCT($C34:$E34),2)</f>
        <v>2.98</v>
      </c>
      <c r="G34" s="21">
        <f>0.085*0.012*7850</f>
        <v>8.0070000000000014</v>
      </c>
      <c r="H34" s="13">
        <f t="shared" si="1"/>
        <v>0.14000000000000001</v>
      </c>
      <c r="I34" s="11" t="s">
        <v>607</v>
      </c>
    </row>
    <row r="35" spans="1:9" x14ac:dyDescent="0.15">
      <c r="B35" s="7" t="s">
        <v>650</v>
      </c>
      <c r="C35" s="8">
        <v>0.59299999999999997</v>
      </c>
      <c r="D35" s="9">
        <f t="shared" si="3"/>
        <v>28</v>
      </c>
      <c r="E35" s="8">
        <f>0.085*2</f>
        <v>0.17</v>
      </c>
      <c r="F35" s="13">
        <f t="shared" si="4"/>
        <v>2.82</v>
      </c>
      <c r="G35" s="21">
        <f>0.085*0.006*7850</f>
        <v>4.0035000000000007</v>
      </c>
      <c r="H35" s="13">
        <f t="shared" si="1"/>
        <v>7.0000000000000007E-2</v>
      </c>
      <c r="I35" s="11" t="s">
        <v>607</v>
      </c>
    </row>
    <row r="36" spans="1:9" x14ac:dyDescent="0.15">
      <c r="B36" s="7" t="s">
        <v>651</v>
      </c>
      <c r="C36" s="8">
        <v>0.56100000000000005</v>
      </c>
      <c r="D36" s="9">
        <f t="shared" si="3"/>
        <v>28</v>
      </c>
      <c r="E36" s="8">
        <f>0.085*2</f>
        <v>0.17</v>
      </c>
      <c r="F36" s="13">
        <f t="shared" si="4"/>
        <v>2.67</v>
      </c>
      <c r="G36" s="21">
        <f>0.085*0.006*7850</f>
        <v>4.0035000000000007</v>
      </c>
      <c r="H36" s="13">
        <f t="shared" si="1"/>
        <v>0.06</v>
      </c>
      <c r="I36" s="11" t="s">
        <v>607</v>
      </c>
    </row>
    <row r="37" spans="1:9" x14ac:dyDescent="0.15">
      <c r="B37" s="7" t="s">
        <v>151</v>
      </c>
      <c r="C37" s="8">
        <v>0.52900000000000003</v>
      </c>
      <c r="D37" s="9">
        <f t="shared" si="3"/>
        <v>28</v>
      </c>
      <c r="E37" s="8">
        <f>0.085*2</f>
        <v>0.17</v>
      </c>
      <c r="F37" s="13">
        <f t="shared" si="4"/>
        <v>2.52</v>
      </c>
      <c r="G37" s="21">
        <f>0.085*0.006*7850</f>
        <v>4.0035000000000007</v>
      </c>
      <c r="H37" s="13">
        <f t="shared" si="1"/>
        <v>0.06</v>
      </c>
      <c r="I37" s="11" t="s">
        <v>19</v>
      </c>
    </row>
    <row r="38" spans="1:9" x14ac:dyDescent="0.15">
      <c r="B38" s="7" t="s">
        <v>152</v>
      </c>
      <c r="C38" s="8">
        <v>0.501</v>
      </c>
      <c r="D38" s="9">
        <f t="shared" si="3"/>
        <v>28</v>
      </c>
      <c r="E38" s="8">
        <f>0.086*2</f>
        <v>0.17199999999999999</v>
      </c>
      <c r="F38" s="13">
        <f t="shared" si="4"/>
        <v>2.41</v>
      </c>
      <c r="G38" s="21">
        <f>0.086*0.006*7850</f>
        <v>4.0505999999999993</v>
      </c>
      <c r="H38" s="13">
        <f t="shared" si="1"/>
        <v>0.06</v>
      </c>
      <c r="I38" s="11" t="s">
        <v>19</v>
      </c>
    </row>
    <row r="39" spans="1:9" x14ac:dyDescent="0.15">
      <c r="B39" s="7" t="s">
        <v>153</v>
      </c>
      <c r="C39" s="8">
        <v>0.47300000000000003</v>
      </c>
      <c r="D39" s="9">
        <f t="shared" si="3"/>
        <v>28</v>
      </c>
      <c r="E39" s="8">
        <f>0.086*2</f>
        <v>0.17199999999999999</v>
      </c>
      <c r="F39" s="13">
        <f t="shared" si="4"/>
        <v>2.2799999999999998</v>
      </c>
      <c r="G39" s="21">
        <f>0.086*0.006*7850</f>
        <v>4.0505999999999993</v>
      </c>
      <c r="H39" s="13">
        <f t="shared" si="1"/>
        <v>0.05</v>
      </c>
      <c r="I39" s="11" t="s">
        <v>19</v>
      </c>
    </row>
    <row r="40" spans="1:9" x14ac:dyDescent="0.15">
      <c r="B40" s="7" t="s">
        <v>154</v>
      </c>
      <c r="C40" s="8">
        <v>0.44400000000000001</v>
      </c>
      <c r="D40" s="9">
        <f t="shared" si="3"/>
        <v>28</v>
      </c>
      <c r="E40" s="8">
        <f>0.086*2</f>
        <v>0.17199999999999999</v>
      </c>
      <c r="F40" s="13">
        <f t="shared" si="4"/>
        <v>2.14</v>
      </c>
      <c r="G40" s="21">
        <f>0.086*0.006*7850</f>
        <v>4.0505999999999993</v>
      </c>
      <c r="H40" s="13">
        <f t="shared" si="1"/>
        <v>0.05</v>
      </c>
      <c r="I40" s="11" t="s">
        <v>19</v>
      </c>
    </row>
    <row r="41" spans="1:9" x14ac:dyDescent="0.15">
      <c r="B41" s="7" t="s">
        <v>155</v>
      </c>
      <c r="C41" s="8">
        <v>0.41600000000000004</v>
      </c>
      <c r="D41" s="9">
        <f t="shared" si="3"/>
        <v>28</v>
      </c>
      <c r="E41" s="8">
        <f>0.086*2</f>
        <v>0.17199999999999999</v>
      </c>
      <c r="F41" s="13">
        <f t="shared" si="4"/>
        <v>2</v>
      </c>
      <c r="G41" s="21">
        <f>0.086*0.006*7850</f>
        <v>4.0505999999999993</v>
      </c>
      <c r="H41" s="13">
        <f t="shared" si="1"/>
        <v>0.05</v>
      </c>
      <c r="I41" s="11" t="s">
        <v>19</v>
      </c>
    </row>
    <row r="42" spans="1:9" x14ac:dyDescent="0.15">
      <c r="B42" s="7" t="s">
        <v>156</v>
      </c>
      <c r="C42" s="8">
        <v>0.38800000000000001</v>
      </c>
      <c r="D42" s="9">
        <f t="shared" si="3"/>
        <v>28</v>
      </c>
      <c r="E42" s="8">
        <f>0.086*2</f>
        <v>0.17199999999999999</v>
      </c>
      <c r="F42" s="13">
        <f t="shared" si="4"/>
        <v>1.87</v>
      </c>
      <c r="G42" s="21">
        <f>0.086*0.006*7850</f>
        <v>4.0505999999999993</v>
      </c>
      <c r="H42" s="13">
        <f t="shared" si="1"/>
        <v>0.04</v>
      </c>
      <c r="I42" s="11" t="s">
        <v>19</v>
      </c>
    </row>
    <row r="43" spans="1:9" x14ac:dyDescent="0.15">
      <c r="A43" s="7" t="s">
        <v>157</v>
      </c>
      <c r="F43" s="13">
        <f t="shared" si="4"/>
        <v>0</v>
      </c>
      <c r="H43" s="13">
        <f t="shared" si="1"/>
        <v>0</v>
      </c>
    </row>
    <row r="44" spans="1:9" x14ac:dyDescent="0.15">
      <c r="A44" s="7" t="s">
        <v>158</v>
      </c>
      <c r="B44" s="7" t="s">
        <v>159</v>
      </c>
      <c r="C44" s="8">
        <f>(7.3^2+7.2^2)^0.5</f>
        <v>10.25329215423027</v>
      </c>
      <c r="D44" s="9">
        <v>8</v>
      </c>
      <c r="E44" s="8">
        <f>0.11*4</f>
        <v>0.44</v>
      </c>
      <c r="F44" s="13">
        <f t="shared" si="4"/>
        <v>36.090000000000003</v>
      </c>
      <c r="G44" s="21">
        <v>13.5</v>
      </c>
      <c r="H44" s="13">
        <f t="shared" si="1"/>
        <v>1.1100000000000001</v>
      </c>
      <c r="I44" s="11" t="s">
        <v>184</v>
      </c>
    </row>
    <row r="45" spans="1:9" x14ac:dyDescent="0.15">
      <c r="C45" s="8">
        <f>(7.3^2+7.5^2)^0.5</f>
        <v>10.466135867644754</v>
      </c>
      <c r="D45" s="9">
        <v>8</v>
      </c>
      <c r="E45" s="8">
        <f>0.11*4</f>
        <v>0.44</v>
      </c>
      <c r="F45" s="13">
        <f t="shared" si="4"/>
        <v>36.840000000000003</v>
      </c>
      <c r="G45" s="21">
        <v>13.5</v>
      </c>
      <c r="H45" s="13">
        <f t="shared" si="1"/>
        <v>1.1299999999999999</v>
      </c>
      <c r="I45" s="11" t="s">
        <v>184</v>
      </c>
    </row>
    <row r="46" spans="1:9" x14ac:dyDescent="0.15">
      <c r="C46" s="8">
        <f>(7.8^2+7.2^2)^0.5</f>
        <v>10.61508360777248</v>
      </c>
      <c r="D46" s="9">
        <v>4</v>
      </c>
      <c r="E46" s="8">
        <f>0.11*4</f>
        <v>0.44</v>
      </c>
      <c r="F46" s="13">
        <f t="shared" si="4"/>
        <v>18.68</v>
      </c>
      <c r="G46" s="21">
        <v>13.5</v>
      </c>
      <c r="H46" s="13">
        <f t="shared" si="1"/>
        <v>0.56999999999999995</v>
      </c>
      <c r="I46" s="11" t="s">
        <v>184</v>
      </c>
    </row>
    <row r="47" spans="1:9" x14ac:dyDescent="0.15">
      <c r="C47" s="8">
        <f>(7.8^2+7.5^2)^0.5</f>
        <v>10.820813278122861</v>
      </c>
      <c r="D47" s="9">
        <v>4</v>
      </c>
      <c r="E47" s="8">
        <f>0.11*4</f>
        <v>0.44</v>
      </c>
      <c r="F47" s="13">
        <f t="shared" si="4"/>
        <v>19.04</v>
      </c>
      <c r="G47" s="21">
        <v>13.5</v>
      </c>
      <c r="H47" s="13">
        <f t="shared" si="1"/>
        <v>0.57999999999999996</v>
      </c>
      <c r="I47" s="11" t="s">
        <v>184</v>
      </c>
    </row>
    <row r="48" spans="1:9" x14ac:dyDescent="0.15">
      <c r="A48" s="7" t="s">
        <v>160</v>
      </c>
      <c r="B48" s="7" t="s">
        <v>161</v>
      </c>
      <c r="C48" s="8">
        <v>7.3</v>
      </c>
      <c r="D48" s="9">
        <v>10</v>
      </c>
      <c r="E48" s="8">
        <f>PI()*0.133</f>
        <v>0.41783182292744253</v>
      </c>
      <c r="F48" s="13">
        <f t="shared" si="4"/>
        <v>30.5</v>
      </c>
      <c r="G48" s="21">
        <v>14.26</v>
      </c>
      <c r="H48" s="13">
        <f t="shared" si="1"/>
        <v>1.04</v>
      </c>
      <c r="I48" s="11" t="s">
        <v>185</v>
      </c>
    </row>
    <row r="49" spans="1:9" x14ac:dyDescent="0.15">
      <c r="C49" s="8">
        <v>7.8</v>
      </c>
      <c r="D49" s="9">
        <v>20</v>
      </c>
      <c r="E49" s="8">
        <f>PI()*0.133</f>
        <v>0.41783182292744253</v>
      </c>
      <c r="F49" s="13">
        <f t="shared" si="4"/>
        <v>65.180000000000007</v>
      </c>
      <c r="G49" s="21">
        <v>14.26</v>
      </c>
      <c r="H49" s="13">
        <f t="shared" si="1"/>
        <v>2.2200000000000002</v>
      </c>
      <c r="I49" s="11" t="s">
        <v>185</v>
      </c>
    </row>
    <row r="50" spans="1:9" x14ac:dyDescent="0.15">
      <c r="A50" s="7" t="s">
        <v>162</v>
      </c>
      <c r="F50" s="13">
        <f t="shared" si="4"/>
        <v>0</v>
      </c>
      <c r="H50" s="13">
        <f t="shared" si="1"/>
        <v>0</v>
      </c>
    </row>
    <row r="51" spans="1:9" x14ac:dyDescent="0.15">
      <c r="A51" s="7" t="s">
        <v>121</v>
      </c>
      <c r="B51" s="7" t="s">
        <v>167</v>
      </c>
      <c r="C51" s="8">
        <v>46.8</v>
      </c>
      <c r="D51" s="9">
        <v>24</v>
      </c>
      <c r="E51" s="8">
        <f>0.25*2+0.075*4+0.02*4</f>
        <v>0.88</v>
      </c>
      <c r="F51" s="13">
        <f t="shared" si="4"/>
        <v>988.42</v>
      </c>
      <c r="G51" s="21">
        <v>8.43</v>
      </c>
      <c r="H51" s="13">
        <f t="shared" si="1"/>
        <v>9.4700000000000006</v>
      </c>
      <c r="I51" s="11" t="s">
        <v>186</v>
      </c>
    </row>
    <row r="52" spans="1:9" x14ac:dyDescent="0.15">
      <c r="A52" s="7" t="s">
        <v>163</v>
      </c>
      <c r="B52" s="7" t="s">
        <v>168</v>
      </c>
      <c r="C52" s="8">
        <f>1.2*2+1.35*7</f>
        <v>11.850000000000001</v>
      </c>
      <c r="D52" s="9">
        <v>24</v>
      </c>
      <c r="E52" s="8">
        <f>PI()*0.012</f>
        <v>3.7699111843077518E-2</v>
      </c>
      <c r="F52" s="13">
        <f t="shared" si="4"/>
        <v>10.72</v>
      </c>
      <c r="G52" s="21">
        <v>0.88800000000000001</v>
      </c>
      <c r="H52" s="13">
        <f t="shared" si="1"/>
        <v>0.25</v>
      </c>
      <c r="I52" s="11" t="s">
        <v>186</v>
      </c>
    </row>
    <row r="53" spans="1:9" x14ac:dyDescent="0.15">
      <c r="A53" s="7" t="s">
        <v>164</v>
      </c>
      <c r="B53" s="7" t="s">
        <v>168</v>
      </c>
      <c r="C53" s="8">
        <v>3</v>
      </c>
      <c r="D53" s="9">
        <v>48</v>
      </c>
      <c r="E53" s="8">
        <f>PI()*0.012</f>
        <v>3.7699111843077518E-2</v>
      </c>
      <c r="F53" s="13">
        <f t="shared" si="4"/>
        <v>5.43</v>
      </c>
      <c r="G53" s="21">
        <v>0.88800000000000001</v>
      </c>
      <c r="H53" s="13">
        <f t="shared" si="1"/>
        <v>0.13</v>
      </c>
      <c r="I53" s="11" t="s">
        <v>186</v>
      </c>
    </row>
    <row r="54" spans="1:9" x14ac:dyDescent="0.15">
      <c r="A54" s="7" t="s">
        <v>165</v>
      </c>
      <c r="B54" s="7" t="s">
        <v>169</v>
      </c>
      <c r="C54" s="8">
        <v>1.2</v>
      </c>
      <c r="D54" s="9">
        <v>48</v>
      </c>
      <c r="E54" s="8">
        <f>PI()*0.032</f>
        <v>0.10053096491487339</v>
      </c>
      <c r="F54" s="13">
        <f t="shared" si="4"/>
        <v>5.79</v>
      </c>
      <c r="G54" s="21">
        <v>1.819</v>
      </c>
      <c r="H54" s="13">
        <f t="shared" si="1"/>
        <v>0.1</v>
      </c>
      <c r="I54" s="11" t="s">
        <v>186</v>
      </c>
    </row>
    <row r="55" spans="1:9" x14ac:dyDescent="0.15">
      <c r="A55" s="7" t="s">
        <v>166</v>
      </c>
      <c r="B55" s="7" t="s">
        <v>170</v>
      </c>
      <c r="C55" s="8">
        <f>(0.55+0.125)*2^0.5</f>
        <v>0.95459415460183927</v>
      </c>
      <c r="D55" s="9">
        <v>100</v>
      </c>
      <c r="E55" s="8">
        <f>0.05*4</f>
        <v>0.2</v>
      </c>
      <c r="F55" s="13">
        <f t="shared" si="4"/>
        <v>19.09</v>
      </c>
      <c r="G55" s="21">
        <v>3.77</v>
      </c>
      <c r="H55" s="13">
        <f t="shared" si="1"/>
        <v>0.36</v>
      </c>
      <c r="I55" s="11" t="s">
        <v>186</v>
      </c>
    </row>
    <row r="56" spans="1:9" x14ac:dyDescent="0.15">
      <c r="A56" s="7" t="s">
        <v>171</v>
      </c>
      <c r="F56" s="13">
        <f t="shared" si="4"/>
        <v>0</v>
      </c>
      <c r="H56" s="13">
        <f t="shared" si="1"/>
        <v>0</v>
      </c>
    </row>
    <row r="57" spans="1:9" ht="28.5" x14ac:dyDescent="0.15">
      <c r="A57" s="7" t="s">
        <v>172</v>
      </c>
      <c r="B57" s="7" t="s">
        <v>173</v>
      </c>
      <c r="C57" s="8">
        <v>5</v>
      </c>
      <c r="D57" s="9">
        <v>7</v>
      </c>
      <c r="E57" s="8">
        <f>0.5+0.4+0.2*4</f>
        <v>1.7000000000000002</v>
      </c>
      <c r="F57" s="13">
        <f t="shared" si="4"/>
        <v>59.5</v>
      </c>
      <c r="G57" s="21">
        <v>71.12</v>
      </c>
      <c r="H57" s="13">
        <f t="shared" si="1"/>
        <v>2.4900000000000002</v>
      </c>
      <c r="I57" s="11" t="s">
        <v>19</v>
      </c>
    </row>
    <row r="58" spans="1:9" x14ac:dyDescent="0.15">
      <c r="A58" s="7" t="s">
        <v>174</v>
      </c>
      <c r="B58" s="7" t="s">
        <v>175</v>
      </c>
      <c r="C58" s="8">
        <v>0.376</v>
      </c>
      <c r="D58" s="9">
        <f>2*7</f>
        <v>14</v>
      </c>
      <c r="E58" s="8">
        <f>0.095*2</f>
        <v>0.19</v>
      </c>
      <c r="F58" s="13">
        <f t="shared" si="4"/>
        <v>1</v>
      </c>
      <c r="G58" s="21">
        <f>0.095*0.01*7850</f>
        <v>7.4574999999999996</v>
      </c>
      <c r="H58" s="13">
        <f t="shared" si="1"/>
        <v>0.04</v>
      </c>
      <c r="I58" s="11" t="s">
        <v>19</v>
      </c>
    </row>
    <row r="59" spans="1:9" x14ac:dyDescent="0.15">
      <c r="A59" s="7" t="s">
        <v>176</v>
      </c>
      <c r="F59" s="13">
        <f t="shared" si="4"/>
        <v>0</v>
      </c>
      <c r="H59" s="13">
        <f t="shared" si="1"/>
        <v>0</v>
      </c>
    </row>
    <row r="60" spans="1:9" x14ac:dyDescent="0.15">
      <c r="A60" s="7" t="s">
        <v>177</v>
      </c>
      <c r="B60" s="7" t="s">
        <v>178</v>
      </c>
      <c r="C60" s="8">
        <f>(7.3^2+3.7^2)^0.5</f>
        <v>8.1841309862440497</v>
      </c>
      <c r="D60" s="9">
        <v>4</v>
      </c>
      <c r="E60" s="8">
        <f>0.09*4</f>
        <v>0.36</v>
      </c>
      <c r="F60" s="13">
        <f t="shared" si="4"/>
        <v>11.79</v>
      </c>
      <c r="G60" s="21">
        <v>8.35</v>
      </c>
      <c r="H60" s="13">
        <f t="shared" si="1"/>
        <v>0.27</v>
      </c>
      <c r="I60" s="11" t="s">
        <v>184</v>
      </c>
    </row>
    <row r="61" spans="1:9" x14ac:dyDescent="0.15">
      <c r="A61" s="7" t="s">
        <v>179</v>
      </c>
      <c r="B61" s="7" t="s">
        <v>180</v>
      </c>
      <c r="C61" s="8">
        <v>7.3</v>
      </c>
      <c r="D61" s="9">
        <v>4</v>
      </c>
      <c r="E61" s="8">
        <f>PI()*0.133</f>
        <v>0.41783182292744253</v>
      </c>
      <c r="F61" s="13">
        <f t="shared" si="4"/>
        <v>12.2</v>
      </c>
      <c r="G61" s="21">
        <v>14.26</v>
      </c>
      <c r="H61" s="13">
        <f t="shared" si="1"/>
        <v>0.42</v>
      </c>
      <c r="I61" s="11" t="s">
        <v>185</v>
      </c>
    </row>
    <row r="62" spans="1:9" x14ac:dyDescent="0.15">
      <c r="C62" s="8">
        <v>7.8</v>
      </c>
      <c r="D62" s="9">
        <v>8</v>
      </c>
      <c r="E62" s="8">
        <f>PI()*0.133</f>
        <v>0.41783182292744253</v>
      </c>
      <c r="F62" s="13">
        <f t="shared" si="4"/>
        <v>26.07</v>
      </c>
      <c r="G62" s="21">
        <v>14.26</v>
      </c>
      <c r="H62" s="13">
        <f t="shared" si="1"/>
        <v>0.89</v>
      </c>
      <c r="I62" s="11" t="s">
        <v>185</v>
      </c>
    </row>
    <row r="63" spans="1:9" x14ac:dyDescent="0.15">
      <c r="A63" s="7" t="s">
        <v>181</v>
      </c>
      <c r="F63" s="13">
        <f t="shared" si="4"/>
        <v>0</v>
      </c>
      <c r="H63" s="13">
        <f t="shared" si="1"/>
        <v>0</v>
      </c>
    </row>
    <row r="64" spans="1:9" x14ac:dyDescent="0.15">
      <c r="A64" s="7" t="s">
        <v>85</v>
      </c>
      <c r="B64" s="7" t="s">
        <v>125</v>
      </c>
      <c r="C64" s="8">
        <v>46.8</v>
      </c>
      <c r="D64" s="9">
        <v>5</v>
      </c>
      <c r="E64" s="8">
        <f>0.25*2+0.075*4+0.02*4</f>
        <v>0.88</v>
      </c>
      <c r="F64" s="13">
        <f t="shared" si="4"/>
        <v>205.92</v>
      </c>
      <c r="G64" s="21">
        <v>8.43</v>
      </c>
      <c r="H64" s="13">
        <f t="shared" si="1"/>
        <v>1.97</v>
      </c>
      <c r="I64" s="11" t="s">
        <v>186</v>
      </c>
    </row>
    <row r="65" spans="1:9" x14ac:dyDescent="0.15">
      <c r="A65" s="7" t="s">
        <v>87</v>
      </c>
      <c r="B65" s="7" t="s">
        <v>96</v>
      </c>
      <c r="C65" s="8">
        <f>1.15*2</f>
        <v>2.2999999999999998</v>
      </c>
      <c r="D65" s="9">
        <v>12</v>
      </c>
      <c r="E65" s="8">
        <f>PI()*0.012</f>
        <v>3.7699111843077518E-2</v>
      </c>
      <c r="F65" s="13">
        <f t="shared" si="4"/>
        <v>1.04</v>
      </c>
      <c r="G65" s="21">
        <v>0.88800000000000001</v>
      </c>
      <c r="H65" s="13">
        <f t="shared" si="1"/>
        <v>0.02</v>
      </c>
      <c r="I65" s="11" t="s">
        <v>186</v>
      </c>
    </row>
    <row r="66" spans="1:9" x14ac:dyDescent="0.15">
      <c r="A66" s="7" t="s">
        <v>89</v>
      </c>
      <c r="B66" s="7" t="s">
        <v>96</v>
      </c>
      <c r="C66" s="8">
        <v>3</v>
      </c>
      <c r="D66" s="9">
        <v>24</v>
      </c>
      <c r="E66" s="8">
        <f>PI()*0.012</f>
        <v>3.7699111843077518E-2</v>
      </c>
      <c r="F66" s="13">
        <f t="shared" si="4"/>
        <v>2.71</v>
      </c>
      <c r="G66" s="21">
        <v>0.88800000000000001</v>
      </c>
      <c r="H66" s="13">
        <f t="shared" si="1"/>
        <v>0.06</v>
      </c>
      <c r="I66" s="11" t="s">
        <v>186</v>
      </c>
    </row>
    <row r="67" spans="1:9" x14ac:dyDescent="0.15">
      <c r="A67" s="7" t="s">
        <v>91</v>
      </c>
      <c r="B67" s="7" t="s">
        <v>98</v>
      </c>
      <c r="C67" s="8">
        <v>1.1499999999999999</v>
      </c>
      <c r="D67" s="9">
        <v>24</v>
      </c>
      <c r="E67" s="8">
        <f>PI()*0.032</f>
        <v>0.10053096491487339</v>
      </c>
      <c r="F67" s="13">
        <f t="shared" si="4"/>
        <v>2.77</v>
      </c>
      <c r="G67" s="21">
        <v>1.819</v>
      </c>
      <c r="H67" s="13">
        <f t="shared" ref="H67:H68" si="5">ROUND(PRODUCT($C67:$D67,$G67)*0.001,2)</f>
        <v>0.05</v>
      </c>
      <c r="I67" s="11" t="s">
        <v>186</v>
      </c>
    </row>
    <row r="68" spans="1:9" x14ac:dyDescent="0.15">
      <c r="A68" s="7" t="s">
        <v>93</v>
      </c>
      <c r="B68" s="7" t="s">
        <v>100</v>
      </c>
      <c r="C68" s="8">
        <f>(0.45+0.125)*2^0.5</f>
        <v>0.8131727983645296</v>
      </c>
      <c r="D68" s="9">
        <v>10</v>
      </c>
      <c r="E68" s="8">
        <f>0.05*4</f>
        <v>0.2</v>
      </c>
      <c r="F68" s="13">
        <f t="shared" si="4"/>
        <v>1.63</v>
      </c>
      <c r="G68" s="21">
        <v>3.77</v>
      </c>
      <c r="H68" s="13">
        <f t="shared" si="5"/>
        <v>0.03</v>
      </c>
      <c r="I68" s="11" t="s">
        <v>186</v>
      </c>
    </row>
    <row r="69" spans="1:9" x14ac:dyDescent="0.15">
      <c r="A69" s="7" t="s">
        <v>182</v>
      </c>
      <c r="F69" s="13">
        <f>SUBTOTAL(109,F2:F68)</f>
        <v>2029.34</v>
      </c>
      <c r="H69" s="13">
        <f>SUBTOTAL(109,H2:H68)</f>
        <v>41.280000000000008</v>
      </c>
    </row>
  </sheetData>
  <phoneticPr fontId="3" type="noConversion"/>
  <conditionalFormatting sqref="A1:I1048576">
    <cfRule type="expression" dxfId="59" priority="1">
      <formula>(ROW()=1)+($A1="汇总")</formula>
    </cfRule>
    <cfRule type="expression" dxfId="58" priority="2">
      <formula>(ROW()&gt;1)*($A1&lt;&gt;"汇总")*(MOD(ROW(),2)=0)*($A1&lt;&gt;"")*($B1&amp;$C1&amp;$D1&amp;$E1&amp;$G1&amp;$I1="")</formula>
    </cfRule>
    <cfRule type="expression" dxfId="57" priority="3">
      <formula>(ROW()&gt;1)*($A1&lt;&gt;"汇总")*(MOD(ROW(),2)=0)*($B1&amp;$C1&amp;$D1&amp;$E1&amp;$G1&amp;$I1&lt;&gt;"")</formula>
    </cfRule>
    <cfRule type="expression" dxfId="56" priority="4">
      <formula>(ROW()&gt;1)*($A1&lt;&gt;"汇总")*(MOD(ROW(),2)=1)*($A1&lt;&gt;"")*($B1&amp;$C1&amp;$D1&amp;$E1&amp;$G1&amp;$I1="")</formula>
    </cfRule>
    <cfRule type="expression" dxfId="5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pane ySplit="1" topLeftCell="A37" activePane="bottomLeft" state="frozen"/>
      <selection sqref="A1:F1"/>
      <selection pane="bottomLeft" activeCell="H69" sqref="H69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597</v>
      </c>
      <c r="F2" s="13">
        <f>ROUND(PRODUCT($C2:$E2),2)</f>
        <v>0</v>
      </c>
      <c r="H2" s="13">
        <f>ROUND(PRODUCT($C2:$D2,$G2)*0.001,2)</f>
        <v>0</v>
      </c>
    </row>
    <row r="3" spans="1:9" x14ac:dyDescent="0.15">
      <c r="A3" s="7" t="s">
        <v>632</v>
      </c>
      <c r="B3" s="7" t="s">
        <v>633</v>
      </c>
      <c r="C3" s="8">
        <v>10.154999999999999</v>
      </c>
      <c r="D3" s="9">
        <f>1*2</f>
        <v>2</v>
      </c>
      <c r="E3" s="8">
        <f>PI()*0.152</f>
        <v>0.47752208334564855</v>
      </c>
      <c r="F3" s="13">
        <f t="shared" ref="F3:F66" si="0">ROUND(PRODUCT($C3:$E3),2)</f>
        <v>9.6999999999999993</v>
      </c>
      <c r="G3" s="21">
        <v>12.817</v>
      </c>
      <c r="H3" s="13">
        <f t="shared" ref="H3:H66" si="1">ROUND(PRODUCT($C3:$D3,$G3)*0.001,2)</f>
        <v>0.26</v>
      </c>
      <c r="I3" s="11" t="s">
        <v>597</v>
      </c>
    </row>
    <row r="4" spans="1:9" x14ac:dyDescent="0.15">
      <c r="B4" s="7" t="s">
        <v>633</v>
      </c>
      <c r="C4" s="8">
        <v>4.9749999999999996</v>
      </c>
      <c r="D4" s="9">
        <f>1*2</f>
        <v>2</v>
      </c>
      <c r="E4" s="8">
        <f>PI()*0.152</f>
        <v>0.47752208334564855</v>
      </c>
      <c r="F4" s="13">
        <f t="shared" si="0"/>
        <v>4.75</v>
      </c>
      <c r="G4" s="21">
        <v>12.817</v>
      </c>
      <c r="H4" s="13">
        <f t="shared" si="1"/>
        <v>0.13</v>
      </c>
      <c r="I4" s="11" t="s">
        <v>597</v>
      </c>
    </row>
    <row r="5" spans="1:9" x14ac:dyDescent="0.15">
      <c r="B5" s="7" t="s">
        <v>633</v>
      </c>
      <c r="C5" s="8">
        <v>5.0149999999999997</v>
      </c>
      <c r="D5" s="9">
        <f>1*2</f>
        <v>2</v>
      </c>
      <c r="E5" s="8">
        <f>PI()*0.152</f>
        <v>0.47752208334564855</v>
      </c>
      <c r="F5" s="13">
        <f t="shared" si="0"/>
        <v>4.79</v>
      </c>
      <c r="G5" s="21">
        <v>12.817</v>
      </c>
      <c r="H5" s="13">
        <f t="shared" si="1"/>
        <v>0.13</v>
      </c>
      <c r="I5" s="11" t="s">
        <v>597</v>
      </c>
    </row>
    <row r="6" spans="1:9" x14ac:dyDescent="0.15">
      <c r="B6" s="7" t="s">
        <v>634</v>
      </c>
      <c r="C6" s="8">
        <v>7.32</v>
      </c>
      <c r="D6" s="9">
        <f>1*2</f>
        <v>2</v>
      </c>
      <c r="E6" s="8">
        <f>PI()*0.194</f>
        <v>0.60946897479641993</v>
      </c>
      <c r="F6" s="13">
        <f t="shared" si="0"/>
        <v>8.92</v>
      </c>
      <c r="G6" s="21">
        <v>23.305</v>
      </c>
      <c r="H6" s="13">
        <f t="shared" si="1"/>
        <v>0.34</v>
      </c>
      <c r="I6" s="11" t="s">
        <v>602</v>
      </c>
    </row>
    <row r="7" spans="1:9" x14ac:dyDescent="0.15">
      <c r="B7" s="7" t="s">
        <v>635</v>
      </c>
      <c r="C7" s="8">
        <v>0.47499999999999998</v>
      </c>
      <c r="D7" s="9">
        <f>2*2</f>
        <v>4</v>
      </c>
      <c r="E7" s="8">
        <f>0.63*2</f>
        <v>1.26</v>
      </c>
      <c r="F7" s="13">
        <f t="shared" si="0"/>
        <v>2.39</v>
      </c>
      <c r="G7" s="21">
        <f>0.63*0.012*7850</f>
        <v>59.345999999999997</v>
      </c>
      <c r="H7" s="13">
        <f t="shared" si="1"/>
        <v>0.11</v>
      </c>
      <c r="I7" s="11" t="s">
        <v>602</v>
      </c>
    </row>
    <row r="8" spans="1:9" x14ac:dyDescent="0.15">
      <c r="B8" s="7" t="s">
        <v>636</v>
      </c>
      <c r="C8" s="8">
        <v>0.435</v>
      </c>
      <c r="D8" s="9">
        <f>2*2</f>
        <v>4</v>
      </c>
      <c r="E8" s="8">
        <f>0.54*2</f>
        <v>1.08</v>
      </c>
      <c r="F8" s="13">
        <f t="shared" si="0"/>
        <v>1.88</v>
      </c>
      <c r="G8" s="21">
        <f>0.54*0.012*7850</f>
        <v>50.868000000000002</v>
      </c>
      <c r="H8" s="13">
        <f t="shared" si="1"/>
        <v>0.09</v>
      </c>
      <c r="I8" s="11" t="s">
        <v>602</v>
      </c>
    </row>
    <row r="9" spans="1:9" x14ac:dyDescent="0.15">
      <c r="B9" s="7" t="s">
        <v>637</v>
      </c>
      <c r="C9" s="8">
        <v>0.30499999999999999</v>
      </c>
      <c r="D9" s="9">
        <f>2*2</f>
        <v>4</v>
      </c>
      <c r="E9" s="8">
        <v>0</v>
      </c>
      <c r="F9" s="13">
        <f t="shared" si="0"/>
        <v>0</v>
      </c>
      <c r="G9" s="21">
        <f>0.24*0.007*7850</f>
        <v>13.188000000000001</v>
      </c>
      <c r="H9" s="13">
        <f t="shared" si="1"/>
        <v>0.02</v>
      </c>
      <c r="I9" s="11" t="s">
        <v>602</v>
      </c>
    </row>
    <row r="10" spans="1:9" x14ac:dyDescent="0.15">
      <c r="B10" s="7" t="s">
        <v>136</v>
      </c>
      <c r="C10" s="8">
        <v>0.23400000000000001</v>
      </c>
      <c r="D10" s="9">
        <f>2*2</f>
        <v>4</v>
      </c>
      <c r="E10" s="8">
        <f>0.234*2</f>
        <v>0.46800000000000003</v>
      </c>
      <c r="F10" s="13">
        <f t="shared" si="0"/>
        <v>0.44</v>
      </c>
      <c r="G10" s="21">
        <f>0.234*0.005*7850</f>
        <v>9.1844999999999999</v>
      </c>
      <c r="H10" s="13">
        <f t="shared" si="1"/>
        <v>0.01</v>
      </c>
      <c r="I10" s="11" t="s">
        <v>602</v>
      </c>
    </row>
    <row r="11" spans="1:9" x14ac:dyDescent="0.15">
      <c r="B11" s="7" t="s">
        <v>137</v>
      </c>
      <c r="C11" s="8">
        <v>0.192</v>
      </c>
      <c r="D11" s="9">
        <f>4*2</f>
        <v>8</v>
      </c>
      <c r="E11" s="8">
        <f>0.192*2</f>
        <v>0.38400000000000001</v>
      </c>
      <c r="F11" s="13">
        <f t="shared" si="0"/>
        <v>0.59</v>
      </c>
      <c r="G11" s="21">
        <f>0.192*0.005*7850</f>
        <v>7.5360000000000005</v>
      </c>
      <c r="H11" s="13">
        <f t="shared" si="1"/>
        <v>0.01</v>
      </c>
      <c r="I11" s="11" t="s">
        <v>602</v>
      </c>
    </row>
    <row r="12" spans="1:9" x14ac:dyDescent="0.15">
      <c r="A12" s="7" t="s">
        <v>143</v>
      </c>
      <c r="B12" s="7" t="s">
        <v>638</v>
      </c>
      <c r="C12" s="8">
        <v>10.154999999999999</v>
      </c>
      <c r="D12" s="9">
        <v>1</v>
      </c>
      <c r="E12" s="8">
        <f>PI()*0.18</f>
        <v>0.56548667764616278</v>
      </c>
      <c r="F12" s="13">
        <f t="shared" si="0"/>
        <v>5.74</v>
      </c>
      <c r="G12" s="21">
        <v>21.579000000000001</v>
      </c>
      <c r="H12" s="13">
        <f t="shared" si="1"/>
        <v>0.22</v>
      </c>
      <c r="I12" s="11" t="s">
        <v>602</v>
      </c>
    </row>
    <row r="13" spans="1:9" x14ac:dyDescent="0.15">
      <c r="B13" s="7" t="s">
        <v>138</v>
      </c>
      <c r="C13" s="8">
        <v>4.9749999999999996</v>
      </c>
      <c r="D13" s="9">
        <v>1</v>
      </c>
      <c r="E13" s="8">
        <f>PI()*0.18</f>
        <v>0.56548667764616278</v>
      </c>
      <c r="F13" s="13">
        <f t="shared" si="0"/>
        <v>2.81</v>
      </c>
      <c r="G13" s="21">
        <v>21.579000000000001</v>
      </c>
      <c r="H13" s="13">
        <f t="shared" si="1"/>
        <v>0.11</v>
      </c>
      <c r="I13" s="11" t="s">
        <v>600</v>
      </c>
    </row>
    <row r="14" spans="1:9" x14ac:dyDescent="0.15">
      <c r="B14" s="7" t="s">
        <v>639</v>
      </c>
      <c r="C14" s="8">
        <v>5.0149999999999997</v>
      </c>
      <c r="D14" s="9">
        <v>1</v>
      </c>
      <c r="E14" s="8">
        <f>PI()*0.18</f>
        <v>0.56548667764616278</v>
      </c>
      <c r="F14" s="13">
        <f t="shared" si="0"/>
        <v>2.84</v>
      </c>
      <c r="G14" s="21">
        <v>21.579000000000001</v>
      </c>
      <c r="H14" s="13">
        <f t="shared" si="1"/>
        <v>0.11</v>
      </c>
      <c r="I14" s="11" t="s">
        <v>600</v>
      </c>
    </row>
    <row r="15" spans="1:9" x14ac:dyDescent="0.15">
      <c r="B15" s="7" t="s">
        <v>140</v>
      </c>
      <c r="C15" s="8">
        <v>7.32</v>
      </c>
      <c r="D15" s="9">
        <v>1</v>
      </c>
      <c r="E15" s="8">
        <f>PI()*0.203</f>
        <v>0.63774330867872808</v>
      </c>
      <c r="F15" s="13">
        <f t="shared" si="0"/>
        <v>4.67</v>
      </c>
      <c r="G15" s="21">
        <v>29.15</v>
      </c>
      <c r="H15" s="13">
        <f t="shared" si="1"/>
        <v>0.21</v>
      </c>
      <c r="I15" s="11" t="s">
        <v>600</v>
      </c>
    </row>
    <row r="16" spans="1:9" x14ac:dyDescent="0.15">
      <c r="B16" s="7" t="s">
        <v>141</v>
      </c>
      <c r="C16" s="8">
        <v>0.47499999999999998</v>
      </c>
      <c r="D16" s="9">
        <v>2</v>
      </c>
      <c r="E16" s="8">
        <f>0.69*2</f>
        <v>1.38</v>
      </c>
      <c r="F16" s="13">
        <f t="shared" si="0"/>
        <v>1.31</v>
      </c>
      <c r="G16" s="21">
        <f>0.69*0.014*7850</f>
        <v>75.831000000000003</v>
      </c>
      <c r="H16" s="13">
        <f t="shared" si="1"/>
        <v>7.0000000000000007E-2</v>
      </c>
      <c r="I16" s="11" t="s">
        <v>602</v>
      </c>
    </row>
    <row r="17" spans="1:9" x14ac:dyDescent="0.15">
      <c r="B17" s="7" t="s">
        <v>142</v>
      </c>
      <c r="C17" s="8">
        <v>0.435</v>
      </c>
      <c r="D17" s="9">
        <v>2</v>
      </c>
      <c r="E17" s="8">
        <f>0.625*2</f>
        <v>1.25</v>
      </c>
      <c r="F17" s="13">
        <f t="shared" si="0"/>
        <v>1.0900000000000001</v>
      </c>
      <c r="G17" s="21">
        <f>0.625*0.014*7850</f>
        <v>68.6875</v>
      </c>
      <c r="H17" s="13">
        <f t="shared" si="1"/>
        <v>0.06</v>
      </c>
      <c r="I17" s="11" t="s">
        <v>183</v>
      </c>
    </row>
    <row r="18" spans="1:9" x14ac:dyDescent="0.15">
      <c r="B18" s="7" t="s">
        <v>640</v>
      </c>
      <c r="C18" s="8">
        <v>0.30499999999999999</v>
      </c>
      <c r="D18" s="9">
        <v>2</v>
      </c>
      <c r="E18" s="8">
        <v>0</v>
      </c>
      <c r="F18" s="13">
        <f t="shared" si="0"/>
        <v>0</v>
      </c>
      <c r="G18" s="21">
        <f>0.295*0.01*7850</f>
        <v>23.157499999999999</v>
      </c>
      <c r="H18" s="13">
        <f t="shared" si="1"/>
        <v>0.01</v>
      </c>
      <c r="I18" s="11" t="s">
        <v>602</v>
      </c>
    </row>
    <row r="19" spans="1:9" x14ac:dyDescent="0.15">
      <c r="B19" s="7" t="s">
        <v>641</v>
      </c>
      <c r="C19" s="8">
        <v>0.23400000000000001</v>
      </c>
      <c r="D19" s="9">
        <v>2</v>
      </c>
      <c r="E19" s="8">
        <f>0.234*2</f>
        <v>0.46800000000000003</v>
      </c>
      <c r="F19" s="13">
        <f t="shared" si="0"/>
        <v>0.22</v>
      </c>
      <c r="G19" s="21">
        <f>0.243*0.005*7850</f>
        <v>9.5377499999999991</v>
      </c>
      <c r="H19" s="13">
        <f t="shared" si="1"/>
        <v>0</v>
      </c>
      <c r="I19" s="11" t="s">
        <v>602</v>
      </c>
    </row>
    <row r="20" spans="1:9" x14ac:dyDescent="0.15">
      <c r="B20" s="7" t="s">
        <v>642</v>
      </c>
      <c r="C20" s="8">
        <v>0.192</v>
      </c>
      <c r="D20" s="9">
        <v>4</v>
      </c>
      <c r="E20" s="8">
        <f>0.22*2</f>
        <v>0.44</v>
      </c>
      <c r="F20" s="13">
        <f t="shared" si="0"/>
        <v>0.34</v>
      </c>
      <c r="G20" s="21">
        <f>0.22*0.005*7850</f>
        <v>8.6349999999999998</v>
      </c>
      <c r="H20" s="13">
        <f t="shared" si="1"/>
        <v>0.01</v>
      </c>
      <c r="I20" s="11" t="s">
        <v>602</v>
      </c>
    </row>
    <row r="21" spans="1:9" x14ac:dyDescent="0.15">
      <c r="A21" s="7" t="s">
        <v>111</v>
      </c>
      <c r="F21" s="13">
        <f t="shared" si="0"/>
        <v>0</v>
      </c>
      <c r="H21" s="13">
        <f t="shared" si="1"/>
        <v>0</v>
      </c>
    </row>
    <row r="22" spans="1:9" x14ac:dyDescent="0.15">
      <c r="A22" s="7" t="s">
        <v>112</v>
      </c>
      <c r="B22" s="7" t="s">
        <v>643</v>
      </c>
      <c r="C22" s="8">
        <v>8.8550000000000004</v>
      </c>
      <c r="D22" s="9">
        <f t="shared" ref="D22:D29" si="2">2*7</f>
        <v>14</v>
      </c>
      <c r="E22" s="8">
        <f>0.18*2</f>
        <v>0.36</v>
      </c>
      <c r="F22" s="13">
        <f t="shared" si="0"/>
        <v>44.63</v>
      </c>
      <c r="G22" s="21">
        <f>0.18*0.01*7850</f>
        <v>14.129999999999999</v>
      </c>
      <c r="H22" s="13">
        <f t="shared" si="1"/>
        <v>1.75</v>
      </c>
      <c r="I22" s="11" t="s">
        <v>607</v>
      </c>
    </row>
    <row r="23" spans="1:9" x14ac:dyDescent="0.15">
      <c r="B23" s="7" t="s">
        <v>644</v>
      </c>
      <c r="C23" s="8">
        <v>8.5730000000000004</v>
      </c>
      <c r="D23" s="9">
        <f t="shared" si="2"/>
        <v>14</v>
      </c>
      <c r="E23" s="8">
        <f>0.18*2</f>
        <v>0.36</v>
      </c>
      <c r="F23" s="13">
        <f t="shared" si="0"/>
        <v>43.21</v>
      </c>
      <c r="G23" s="21">
        <f>0.18*0.01*7850</f>
        <v>14.129999999999999</v>
      </c>
      <c r="H23" s="13">
        <f t="shared" si="1"/>
        <v>1.7</v>
      </c>
      <c r="I23" s="11" t="s">
        <v>607</v>
      </c>
    </row>
    <row r="24" spans="1:9" x14ac:dyDescent="0.15">
      <c r="B24" s="7" t="s">
        <v>145</v>
      </c>
      <c r="C24" s="8">
        <v>8.875</v>
      </c>
      <c r="D24" s="9">
        <f t="shared" si="2"/>
        <v>14</v>
      </c>
      <c r="E24" s="8">
        <f>0.53*2</f>
        <v>1.06</v>
      </c>
      <c r="F24" s="13">
        <f t="shared" si="0"/>
        <v>131.71</v>
      </c>
      <c r="G24" s="21">
        <f>0.53*0.008*7850</f>
        <v>33.284000000000006</v>
      </c>
      <c r="H24" s="13">
        <f t="shared" si="1"/>
        <v>4.1399999999999997</v>
      </c>
      <c r="I24" s="11" t="s">
        <v>19</v>
      </c>
    </row>
    <row r="25" spans="1:9" x14ac:dyDescent="0.15">
      <c r="B25" s="7" t="s">
        <v>645</v>
      </c>
      <c r="C25" s="8">
        <v>6.0010000000000003</v>
      </c>
      <c r="D25" s="9">
        <f t="shared" si="2"/>
        <v>14</v>
      </c>
      <c r="E25" s="8">
        <f>0.18*2</f>
        <v>0.36</v>
      </c>
      <c r="F25" s="13">
        <f t="shared" si="0"/>
        <v>30.25</v>
      </c>
      <c r="G25" s="21">
        <f>0.18*0.012*7850</f>
        <v>16.956</v>
      </c>
      <c r="H25" s="13">
        <f t="shared" si="1"/>
        <v>1.42</v>
      </c>
      <c r="I25" s="11" t="s">
        <v>607</v>
      </c>
    </row>
    <row r="26" spans="1:9" x14ac:dyDescent="0.15">
      <c r="B26" s="7" t="s">
        <v>146</v>
      </c>
      <c r="C26" s="8">
        <v>5.65</v>
      </c>
      <c r="D26" s="9">
        <f t="shared" si="2"/>
        <v>14</v>
      </c>
      <c r="E26" s="8">
        <f>0.18*2</f>
        <v>0.36</v>
      </c>
      <c r="F26" s="13">
        <f t="shared" si="0"/>
        <v>28.48</v>
      </c>
      <c r="G26" s="21">
        <f>0.18*0.012*7850</f>
        <v>16.956</v>
      </c>
      <c r="H26" s="13">
        <f t="shared" si="1"/>
        <v>1.34</v>
      </c>
      <c r="I26" s="11" t="s">
        <v>607</v>
      </c>
    </row>
    <row r="27" spans="1:9" x14ac:dyDescent="0.15">
      <c r="B27" s="7" t="s">
        <v>147</v>
      </c>
      <c r="C27" s="8">
        <v>5.9990000000000006</v>
      </c>
      <c r="D27" s="9">
        <f t="shared" si="2"/>
        <v>14</v>
      </c>
      <c r="E27" s="8">
        <f>0.626*2</f>
        <v>1.252</v>
      </c>
      <c r="F27" s="13">
        <f t="shared" si="0"/>
        <v>105.15</v>
      </c>
      <c r="G27" s="21">
        <f>0.626*0.01*7850</f>
        <v>49.140999999999998</v>
      </c>
      <c r="H27" s="13">
        <f t="shared" si="1"/>
        <v>4.13</v>
      </c>
      <c r="I27" s="11" t="s">
        <v>607</v>
      </c>
    </row>
    <row r="28" spans="1:9" x14ac:dyDescent="0.15">
      <c r="B28" s="7" t="s">
        <v>646</v>
      </c>
      <c r="C28" s="8">
        <v>0.34</v>
      </c>
      <c r="D28" s="9">
        <f t="shared" si="2"/>
        <v>14</v>
      </c>
      <c r="E28" s="8">
        <v>0.28999999999999998</v>
      </c>
      <c r="F28" s="13">
        <f t="shared" si="0"/>
        <v>1.38</v>
      </c>
      <c r="G28" s="21">
        <f>0.29*0.02*7850</f>
        <v>45.529999999999994</v>
      </c>
      <c r="H28" s="13">
        <f t="shared" si="1"/>
        <v>0.22</v>
      </c>
      <c r="I28" s="11" t="s">
        <v>607</v>
      </c>
    </row>
    <row r="29" spans="1:9" x14ac:dyDescent="0.15">
      <c r="B29" s="7" t="s">
        <v>148</v>
      </c>
      <c r="C29" s="8">
        <v>0.36799999999999999</v>
      </c>
      <c r="D29" s="9">
        <f t="shared" si="2"/>
        <v>14</v>
      </c>
      <c r="E29" s="8">
        <f>0.18*2</f>
        <v>0.36</v>
      </c>
      <c r="F29" s="13">
        <f t="shared" si="0"/>
        <v>1.85</v>
      </c>
      <c r="G29" s="21">
        <f>0.18*0.01*7850</f>
        <v>14.129999999999999</v>
      </c>
      <c r="H29" s="13">
        <f t="shared" si="1"/>
        <v>7.0000000000000007E-2</v>
      </c>
      <c r="I29" s="11" t="s">
        <v>607</v>
      </c>
    </row>
    <row r="30" spans="1:9" x14ac:dyDescent="0.15">
      <c r="B30" s="7" t="s">
        <v>149</v>
      </c>
      <c r="C30" s="8">
        <v>0.73</v>
      </c>
      <c r="D30" s="9">
        <f>4*7</f>
        <v>28</v>
      </c>
      <c r="E30" s="8">
        <v>0.18</v>
      </c>
      <c r="F30" s="13">
        <f t="shared" si="0"/>
        <v>3.68</v>
      </c>
      <c r="G30" s="21">
        <f>0.18*0.018*7850</f>
        <v>25.433999999999997</v>
      </c>
      <c r="H30" s="13">
        <f t="shared" si="1"/>
        <v>0.52</v>
      </c>
      <c r="I30" s="11" t="s">
        <v>607</v>
      </c>
    </row>
    <row r="31" spans="1:9" x14ac:dyDescent="0.15">
      <c r="B31" s="7" t="s">
        <v>150</v>
      </c>
      <c r="C31" s="8">
        <v>0.6</v>
      </c>
      <c r="D31" s="9">
        <f>1*7</f>
        <v>7</v>
      </c>
      <c r="E31" s="8">
        <v>0.28999999999999998</v>
      </c>
      <c r="F31" s="13">
        <f t="shared" si="0"/>
        <v>1.22</v>
      </c>
      <c r="G31" s="21">
        <f>0.29*0.02*7850</f>
        <v>45.529999999999994</v>
      </c>
      <c r="H31" s="13">
        <f t="shared" si="1"/>
        <v>0.19</v>
      </c>
      <c r="I31" s="11" t="s">
        <v>19</v>
      </c>
    </row>
    <row r="32" spans="1:9" x14ac:dyDescent="0.15">
      <c r="B32" s="7" t="s">
        <v>647</v>
      </c>
      <c r="C32" s="8">
        <v>0.38200000000000001</v>
      </c>
      <c r="D32" s="9">
        <f>4*7</f>
        <v>28</v>
      </c>
      <c r="E32" s="8">
        <f>0.086*2</f>
        <v>0.17199999999999999</v>
      </c>
      <c r="F32" s="13">
        <f t="shared" si="0"/>
        <v>1.84</v>
      </c>
      <c r="G32" s="21">
        <f>0.086*0.01*7850</f>
        <v>6.7509999999999994</v>
      </c>
      <c r="H32" s="13">
        <f t="shared" si="1"/>
        <v>7.0000000000000007E-2</v>
      </c>
      <c r="I32" s="11" t="s">
        <v>607</v>
      </c>
    </row>
    <row r="33" spans="1:9" x14ac:dyDescent="0.15">
      <c r="B33" s="7" t="s">
        <v>648</v>
      </c>
      <c r="C33" s="8">
        <v>0.13500000000000001</v>
      </c>
      <c r="D33" s="9">
        <f>8*7</f>
        <v>56</v>
      </c>
      <c r="E33" s="8">
        <f>0.09*2</f>
        <v>0.18</v>
      </c>
      <c r="F33" s="13">
        <f t="shared" si="0"/>
        <v>1.36</v>
      </c>
      <c r="G33" s="21">
        <f>0.09*0.01*7850</f>
        <v>7.0649999999999995</v>
      </c>
      <c r="H33" s="13">
        <f t="shared" si="1"/>
        <v>0.05</v>
      </c>
      <c r="I33" s="11" t="s">
        <v>607</v>
      </c>
    </row>
    <row r="34" spans="1:9" x14ac:dyDescent="0.15">
      <c r="B34" s="7" t="s">
        <v>649</v>
      </c>
      <c r="C34" s="8">
        <v>0.625</v>
      </c>
      <c r="D34" s="9">
        <f t="shared" ref="D34:D42" si="3">4*7</f>
        <v>28</v>
      </c>
      <c r="E34" s="8">
        <f>0.085*2</f>
        <v>0.17</v>
      </c>
      <c r="F34" s="13">
        <f t="shared" si="0"/>
        <v>2.98</v>
      </c>
      <c r="G34" s="21">
        <f>0.085*0.012*7850</f>
        <v>8.0070000000000014</v>
      </c>
      <c r="H34" s="13">
        <f t="shared" si="1"/>
        <v>0.14000000000000001</v>
      </c>
      <c r="I34" s="11" t="s">
        <v>607</v>
      </c>
    </row>
    <row r="35" spans="1:9" x14ac:dyDescent="0.15">
      <c r="B35" s="7" t="s">
        <v>650</v>
      </c>
      <c r="C35" s="8">
        <v>0.59299999999999997</v>
      </c>
      <c r="D35" s="9">
        <f t="shared" si="3"/>
        <v>28</v>
      </c>
      <c r="E35" s="8">
        <f>0.085*2</f>
        <v>0.17</v>
      </c>
      <c r="F35" s="13">
        <f t="shared" si="0"/>
        <v>2.82</v>
      </c>
      <c r="G35" s="21">
        <f>0.085*0.006*7850</f>
        <v>4.0035000000000007</v>
      </c>
      <c r="H35" s="13">
        <f t="shared" si="1"/>
        <v>7.0000000000000007E-2</v>
      </c>
      <c r="I35" s="11" t="s">
        <v>607</v>
      </c>
    </row>
    <row r="36" spans="1:9" x14ac:dyDescent="0.15">
      <c r="B36" s="7" t="s">
        <v>651</v>
      </c>
      <c r="C36" s="8">
        <v>0.56100000000000005</v>
      </c>
      <c r="D36" s="9">
        <f t="shared" si="3"/>
        <v>28</v>
      </c>
      <c r="E36" s="8">
        <f>0.085*2</f>
        <v>0.17</v>
      </c>
      <c r="F36" s="13">
        <f t="shared" si="0"/>
        <v>2.67</v>
      </c>
      <c r="G36" s="21">
        <f>0.085*0.006*7850</f>
        <v>4.0035000000000007</v>
      </c>
      <c r="H36" s="13">
        <f t="shared" si="1"/>
        <v>0.06</v>
      </c>
      <c r="I36" s="11" t="s">
        <v>607</v>
      </c>
    </row>
    <row r="37" spans="1:9" x14ac:dyDescent="0.15">
      <c r="B37" s="7" t="s">
        <v>151</v>
      </c>
      <c r="C37" s="8">
        <v>0.52900000000000003</v>
      </c>
      <c r="D37" s="9">
        <f t="shared" si="3"/>
        <v>28</v>
      </c>
      <c r="E37" s="8">
        <f>0.085*2</f>
        <v>0.17</v>
      </c>
      <c r="F37" s="13">
        <f t="shared" si="0"/>
        <v>2.52</v>
      </c>
      <c r="G37" s="21">
        <f>0.085*0.006*7850</f>
        <v>4.0035000000000007</v>
      </c>
      <c r="H37" s="13">
        <f t="shared" si="1"/>
        <v>0.06</v>
      </c>
      <c r="I37" s="11" t="s">
        <v>19</v>
      </c>
    </row>
    <row r="38" spans="1:9" x14ac:dyDescent="0.15">
      <c r="B38" s="7" t="s">
        <v>152</v>
      </c>
      <c r="C38" s="8">
        <v>0.501</v>
      </c>
      <c r="D38" s="9">
        <f t="shared" si="3"/>
        <v>28</v>
      </c>
      <c r="E38" s="8">
        <f>0.086*2</f>
        <v>0.17199999999999999</v>
      </c>
      <c r="F38" s="13">
        <f t="shared" si="0"/>
        <v>2.41</v>
      </c>
      <c r="G38" s="21">
        <f>0.086*0.006*7850</f>
        <v>4.0505999999999993</v>
      </c>
      <c r="H38" s="13">
        <f t="shared" si="1"/>
        <v>0.06</v>
      </c>
      <c r="I38" s="11" t="s">
        <v>19</v>
      </c>
    </row>
    <row r="39" spans="1:9" x14ac:dyDescent="0.15">
      <c r="B39" s="7" t="s">
        <v>153</v>
      </c>
      <c r="C39" s="8">
        <v>0.47300000000000003</v>
      </c>
      <c r="D39" s="9">
        <f t="shared" si="3"/>
        <v>28</v>
      </c>
      <c r="E39" s="8">
        <f>0.086*2</f>
        <v>0.17199999999999999</v>
      </c>
      <c r="F39" s="13">
        <f t="shared" si="0"/>
        <v>2.2799999999999998</v>
      </c>
      <c r="G39" s="21">
        <f>0.086*0.006*7850</f>
        <v>4.0505999999999993</v>
      </c>
      <c r="H39" s="13">
        <f t="shared" si="1"/>
        <v>0.05</v>
      </c>
      <c r="I39" s="11" t="s">
        <v>19</v>
      </c>
    </row>
    <row r="40" spans="1:9" x14ac:dyDescent="0.15">
      <c r="B40" s="7" t="s">
        <v>154</v>
      </c>
      <c r="C40" s="8">
        <v>0.44400000000000001</v>
      </c>
      <c r="D40" s="9">
        <f t="shared" si="3"/>
        <v>28</v>
      </c>
      <c r="E40" s="8">
        <f>0.086*2</f>
        <v>0.17199999999999999</v>
      </c>
      <c r="F40" s="13">
        <f t="shared" si="0"/>
        <v>2.14</v>
      </c>
      <c r="G40" s="21">
        <f>0.086*0.006*7850</f>
        <v>4.0505999999999993</v>
      </c>
      <c r="H40" s="13">
        <f t="shared" si="1"/>
        <v>0.05</v>
      </c>
      <c r="I40" s="11" t="s">
        <v>19</v>
      </c>
    </row>
    <row r="41" spans="1:9" x14ac:dyDescent="0.15">
      <c r="B41" s="7" t="s">
        <v>155</v>
      </c>
      <c r="C41" s="8">
        <v>0.41600000000000004</v>
      </c>
      <c r="D41" s="9">
        <f t="shared" si="3"/>
        <v>28</v>
      </c>
      <c r="E41" s="8">
        <f>0.086*2</f>
        <v>0.17199999999999999</v>
      </c>
      <c r="F41" s="13">
        <f t="shared" si="0"/>
        <v>2</v>
      </c>
      <c r="G41" s="21">
        <f>0.086*0.006*7850</f>
        <v>4.0505999999999993</v>
      </c>
      <c r="H41" s="13">
        <f t="shared" si="1"/>
        <v>0.05</v>
      </c>
      <c r="I41" s="11" t="s">
        <v>19</v>
      </c>
    </row>
    <row r="42" spans="1:9" x14ac:dyDescent="0.15">
      <c r="B42" s="7" t="s">
        <v>156</v>
      </c>
      <c r="C42" s="8">
        <v>0.38800000000000001</v>
      </c>
      <c r="D42" s="9">
        <f t="shared" si="3"/>
        <v>28</v>
      </c>
      <c r="E42" s="8">
        <f>0.086*2</f>
        <v>0.17199999999999999</v>
      </c>
      <c r="F42" s="13">
        <f t="shared" si="0"/>
        <v>1.87</v>
      </c>
      <c r="G42" s="21">
        <f>0.086*0.006*7850</f>
        <v>4.0505999999999993</v>
      </c>
      <c r="H42" s="13">
        <f t="shared" si="1"/>
        <v>0.04</v>
      </c>
      <c r="I42" s="11" t="s">
        <v>19</v>
      </c>
    </row>
    <row r="43" spans="1:9" x14ac:dyDescent="0.15">
      <c r="A43" s="7" t="s">
        <v>157</v>
      </c>
      <c r="F43" s="13">
        <f t="shared" si="0"/>
        <v>0</v>
      </c>
      <c r="H43" s="13">
        <f t="shared" si="1"/>
        <v>0</v>
      </c>
    </row>
    <row r="44" spans="1:9" x14ac:dyDescent="0.15">
      <c r="A44" s="7" t="s">
        <v>158</v>
      </c>
      <c r="B44" s="7" t="s">
        <v>159</v>
      </c>
      <c r="C44" s="8">
        <f>(7.3^2+7.2^2)^0.5</f>
        <v>10.25329215423027</v>
      </c>
      <c r="D44" s="9">
        <v>8</v>
      </c>
      <c r="E44" s="8">
        <f>0.11*4</f>
        <v>0.44</v>
      </c>
      <c r="F44" s="13">
        <f t="shared" si="0"/>
        <v>36.090000000000003</v>
      </c>
      <c r="G44" s="21">
        <v>13.5</v>
      </c>
      <c r="H44" s="13">
        <f t="shared" si="1"/>
        <v>1.1100000000000001</v>
      </c>
      <c r="I44" s="11" t="s">
        <v>184</v>
      </c>
    </row>
    <row r="45" spans="1:9" x14ac:dyDescent="0.15">
      <c r="C45" s="8">
        <f>(7.3^2+7.5^2)^0.5</f>
        <v>10.466135867644754</v>
      </c>
      <c r="D45" s="9">
        <v>8</v>
      </c>
      <c r="E45" s="8">
        <f>0.11*4</f>
        <v>0.44</v>
      </c>
      <c r="F45" s="13">
        <f t="shared" si="0"/>
        <v>36.840000000000003</v>
      </c>
      <c r="G45" s="21">
        <v>13.5</v>
      </c>
      <c r="H45" s="13">
        <f t="shared" si="1"/>
        <v>1.1299999999999999</v>
      </c>
      <c r="I45" s="11" t="s">
        <v>184</v>
      </c>
    </row>
    <row r="46" spans="1:9" x14ac:dyDescent="0.15">
      <c r="C46" s="8">
        <f>(7.8^2+7.2^2)^0.5</f>
        <v>10.61508360777248</v>
      </c>
      <c r="D46" s="9">
        <v>4</v>
      </c>
      <c r="E46" s="8">
        <f t="shared" ref="E46:E47" si="4">0.11*4</f>
        <v>0.44</v>
      </c>
      <c r="F46" s="13">
        <f t="shared" si="0"/>
        <v>18.68</v>
      </c>
      <c r="G46" s="21">
        <v>13.5</v>
      </c>
      <c r="H46" s="13">
        <f t="shared" si="1"/>
        <v>0.56999999999999995</v>
      </c>
      <c r="I46" s="11" t="s">
        <v>184</v>
      </c>
    </row>
    <row r="47" spans="1:9" x14ac:dyDescent="0.15">
      <c r="C47" s="8">
        <f>(7.8^2+7.5^2)^0.5</f>
        <v>10.820813278122861</v>
      </c>
      <c r="D47" s="9">
        <v>4</v>
      </c>
      <c r="E47" s="8">
        <f t="shared" si="4"/>
        <v>0.44</v>
      </c>
      <c r="F47" s="13">
        <f t="shared" si="0"/>
        <v>19.04</v>
      </c>
      <c r="G47" s="21">
        <v>13.5</v>
      </c>
      <c r="H47" s="13">
        <f t="shared" si="1"/>
        <v>0.57999999999999996</v>
      </c>
      <c r="I47" s="11" t="s">
        <v>184</v>
      </c>
    </row>
    <row r="48" spans="1:9" x14ac:dyDescent="0.15">
      <c r="A48" s="7" t="s">
        <v>160</v>
      </c>
      <c r="B48" s="7" t="s">
        <v>161</v>
      </c>
      <c r="C48" s="8">
        <v>7.3</v>
      </c>
      <c r="D48" s="9">
        <v>10</v>
      </c>
      <c r="E48" s="8">
        <f>PI()*0.133</f>
        <v>0.41783182292744253</v>
      </c>
      <c r="F48" s="13">
        <f t="shared" si="0"/>
        <v>30.5</v>
      </c>
      <c r="G48" s="21">
        <v>14.26</v>
      </c>
      <c r="H48" s="13">
        <f t="shared" si="1"/>
        <v>1.04</v>
      </c>
      <c r="I48" s="11" t="s">
        <v>185</v>
      </c>
    </row>
    <row r="49" spans="1:9" x14ac:dyDescent="0.15">
      <c r="C49" s="8">
        <v>7.8</v>
      </c>
      <c r="D49" s="9">
        <v>20</v>
      </c>
      <c r="E49" s="8">
        <f>PI()*0.133</f>
        <v>0.41783182292744253</v>
      </c>
      <c r="F49" s="13">
        <f t="shared" si="0"/>
        <v>65.180000000000007</v>
      </c>
      <c r="G49" s="21">
        <v>14.26</v>
      </c>
      <c r="H49" s="13">
        <f t="shared" si="1"/>
        <v>2.2200000000000002</v>
      </c>
      <c r="I49" s="11" t="s">
        <v>185</v>
      </c>
    </row>
    <row r="50" spans="1:9" x14ac:dyDescent="0.15">
      <c r="A50" s="7" t="s">
        <v>162</v>
      </c>
      <c r="F50" s="13">
        <f t="shared" si="0"/>
        <v>0</v>
      </c>
      <c r="H50" s="13">
        <f t="shared" si="1"/>
        <v>0</v>
      </c>
    </row>
    <row r="51" spans="1:9" x14ac:dyDescent="0.15">
      <c r="A51" s="7" t="s">
        <v>121</v>
      </c>
      <c r="B51" s="7" t="s">
        <v>167</v>
      </c>
      <c r="C51" s="8">
        <v>46.8</v>
      </c>
      <c r="D51" s="9">
        <v>24</v>
      </c>
      <c r="E51" s="8">
        <f>0.25*2+0.075*4+0.02*4</f>
        <v>0.88</v>
      </c>
      <c r="F51" s="13">
        <f t="shared" si="0"/>
        <v>988.42</v>
      </c>
      <c r="G51" s="21">
        <v>8.43</v>
      </c>
      <c r="H51" s="13">
        <f t="shared" si="1"/>
        <v>9.4700000000000006</v>
      </c>
      <c r="I51" s="11" t="s">
        <v>186</v>
      </c>
    </row>
    <row r="52" spans="1:9" x14ac:dyDescent="0.15">
      <c r="A52" s="7" t="s">
        <v>163</v>
      </c>
      <c r="B52" s="7" t="s">
        <v>168</v>
      </c>
      <c r="C52" s="8">
        <f>1.2*2+1.35*7</f>
        <v>11.850000000000001</v>
      </c>
      <c r="D52" s="9">
        <v>24</v>
      </c>
      <c r="E52" s="8">
        <f>PI()*0.012</f>
        <v>3.7699111843077518E-2</v>
      </c>
      <c r="F52" s="13">
        <f t="shared" si="0"/>
        <v>10.72</v>
      </c>
      <c r="G52" s="21">
        <v>0.88800000000000001</v>
      </c>
      <c r="H52" s="13">
        <f t="shared" si="1"/>
        <v>0.25</v>
      </c>
      <c r="I52" s="11" t="s">
        <v>186</v>
      </c>
    </row>
    <row r="53" spans="1:9" x14ac:dyDescent="0.15">
      <c r="A53" s="7" t="s">
        <v>164</v>
      </c>
      <c r="B53" s="7" t="s">
        <v>168</v>
      </c>
      <c r="C53" s="8">
        <v>3</v>
      </c>
      <c r="D53" s="9">
        <v>48</v>
      </c>
      <c r="E53" s="8">
        <f>PI()*0.012</f>
        <v>3.7699111843077518E-2</v>
      </c>
      <c r="F53" s="13">
        <f t="shared" si="0"/>
        <v>5.43</v>
      </c>
      <c r="G53" s="21">
        <v>0.88800000000000001</v>
      </c>
      <c r="H53" s="13">
        <f t="shared" si="1"/>
        <v>0.13</v>
      </c>
      <c r="I53" s="11" t="s">
        <v>186</v>
      </c>
    </row>
    <row r="54" spans="1:9" x14ac:dyDescent="0.15">
      <c r="A54" s="7" t="s">
        <v>165</v>
      </c>
      <c r="B54" s="7" t="s">
        <v>169</v>
      </c>
      <c r="C54" s="8">
        <v>1.2</v>
      </c>
      <c r="D54" s="9">
        <v>48</v>
      </c>
      <c r="E54" s="8">
        <f>PI()*0.032</f>
        <v>0.10053096491487339</v>
      </c>
      <c r="F54" s="13">
        <f t="shared" si="0"/>
        <v>5.79</v>
      </c>
      <c r="G54" s="21">
        <v>1.819</v>
      </c>
      <c r="H54" s="13">
        <f t="shared" si="1"/>
        <v>0.1</v>
      </c>
      <c r="I54" s="11" t="s">
        <v>186</v>
      </c>
    </row>
    <row r="55" spans="1:9" x14ac:dyDescent="0.15">
      <c r="A55" s="7" t="s">
        <v>166</v>
      </c>
      <c r="B55" s="7" t="s">
        <v>170</v>
      </c>
      <c r="C55" s="8">
        <f>(0.55+0.125)*2^0.5</f>
        <v>0.95459415460183927</v>
      </c>
      <c r="D55" s="9">
        <v>100</v>
      </c>
      <c r="E55" s="8">
        <f>0.05*4</f>
        <v>0.2</v>
      </c>
      <c r="F55" s="13">
        <f t="shared" si="0"/>
        <v>19.09</v>
      </c>
      <c r="G55" s="21">
        <v>3.77</v>
      </c>
      <c r="H55" s="13">
        <f t="shared" si="1"/>
        <v>0.36</v>
      </c>
      <c r="I55" s="11" t="s">
        <v>186</v>
      </c>
    </row>
    <row r="56" spans="1:9" x14ac:dyDescent="0.15">
      <c r="A56" s="7" t="s">
        <v>171</v>
      </c>
      <c r="F56" s="13">
        <f t="shared" si="0"/>
        <v>0</v>
      </c>
      <c r="H56" s="13">
        <f t="shared" si="1"/>
        <v>0</v>
      </c>
    </row>
    <row r="57" spans="1:9" ht="28.5" x14ac:dyDescent="0.15">
      <c r="A57" s="7" t="s">
        <v>172</v>
      </c>
      <c r="B57" s="7" t="s">
        <v>173</v>
      </c>
      <c r="C57" s="8">
        <v>5</v>
      </c>
      <c r="D57" s="9">
        <v>7</v>
      </c>
      <c r="E57" s="8">
        <f>0.5+0.4+0.2*4</f>
        <v>1.7000000000000002</v>
      </c>
      <c r="F57" s="13">
        <f t="shared" si="0"/>
        <v>59.5</v>
      </c>
      <c r="G57" s="21">
        <v>71.12</v>
      </c>
      <c r="H57" s="13">
        <f t="shared" si="1"/>
        <v>2.4900000000000002</v>
      </c>
      <c r="I57" s="11" t="s">
        <v>19</v>
      </c>
    </row>
    <row r="58" spans="1:9" x14ac:dyDescent="0.15">
      <c r="A58" s="7" t="s">
        <v>174</v>
      </c>
      <c r="B58" s="7" t="s">
        <v>175</v>
      </c>
      <c r="C58" s="8">
        <v>0.376</v>
      </c>
      <c r="D58" s="9">
        <f>2*7</f>
        <v>14</v>
      </c>
      <c r="E58" s="8">
        <f>0.095*2</f>
        <v>0.19</v>
      </c>
      <c r="F58" s="13">
        <f t="shared" si="0"/>
        <v>1</v>
      </c>
      <c r="G58" s="21">
        <f>0.095*0.01*7850</f>
        <v>7.4574999999999996</v>
      </c>
      <c r="H58" s="13">
        <f t="shared" si="1"/>
        <v>0.04</v>
      </c>
      <c r="I58" s="11" t="s">
        <v>19</v>
      </c>
    </row>
    <row r="59" spans="1:9" x14ac:dyDescent="0.15">
      <c r="A59" s="7" t="s">
        <v>176</v>
      </c>
      <c r="F59" s="13">
        <f t="shared" si="0"/>
        <v>0</v>
      </c>
      <c r="H59" s="13">
        <f t="shared" si="1"/>
        <v>0</v>
      </c>
    </row>
    <row r="60" spans="1:9" x14ac:dyDescent="0.15">
      <c r="A60" s="7" t="s">
        <v>177</v>
      </c>
      <c r="B60" s="7" t="s">
        <v>178</v>
      </c>
      <c r="C60" s="8">
        <f>(7.3^2+3.7^2)^0.5</f>
        <v>8.1841309862440497</v>
      </c>
      <c r="D60" s="9">
        <v>4</v>
      </c>
      <c r="E60" s="8">
        <f>0.09*4</f>
        <v>0.36</v>
      </c>
      <c r="F60" s="13">
        <f t="shared" si="0"/>
        <v>11.79</v>
      </c>
      <c r="G60" s="21">
        <v>8.35</v>
      </c>
      <c r="H60" s="13">
        <f t="shared" si="1"/>
        <v>0.27</v>
      </c>
      <c r="I60" s="11" t="s">
        <v>184</v>
      </c>
    </row>
    <row r="61" spans="1:9" x14ac:dyDescent="0.15">
      <c r="A61" s="7" t="s">
        <v>179</v>
      </c>
      <c r="B61" s="7" t="s">
        <v>180</v>
      </c>
      <c r="C61" s="8">
        <v>7.3</v>
      </c>
      <c r="D61" s="9">
        <v>4</v>
      </c>
      <c r="E61" s="8">
        <f>PI()*0.133</f>
        <v>0.41783182292744253</v>
      </c>
      <c r="F61" s="13">
        <f t="shared" si="0"/>
        <v>12.2</v>
      </c>
      <c r="G61" s="21">
        <v>14.26</v>
      </c>
      <c r="H61" s="13">
        <f t="shared" si="1"/>
        <v>0.42</v>
      </c>
      <c r="I61" s="11" t="s">
        <v>185</v>
      </c>
    </row>
    <row r="62" spans="1:9" x14ac:dyDescent="0.15">
      <c r="C62" s="8">
        <v>7.8</v>
      </c>
      <c r="D62" s="9">
        <v>8</v>
      </c>
      <c r="E62" s="8">
        <f>PI()*0.133</f>
        <v>0.41783182292744253</v>
      </c>
      <c r="F62" s="13">
        <f t="shared" si="0"/>
        <v>26.07</v>
      </c>
      <c r="G62" s="21">
        <v>14.26</v>
      </c>
      <c r="H62" s="13">
        <f t="shared" si="1"/>
        <v>0.89</v>
      </c>
      <c r="I62" s="11" t="s">
        <v>185</v>
      </c>
    </row>
    <row r="63" spans="1:9" x14ac:dyDescent="0.15">
      <c r="A63" s="7" t="s">
        <v>181</v>
      </c>
      <c r="F63" s="13">
        <f t="shared" si="0"/>
        <v>0</v>
      </c>
      <c r="H63" s="13">
        <f t="shared" si="1"/>
        <v>0</v>
      </c>
    </row>
    <row r="64" spans="1:9" x14ac:dyDescent="0.15">
      <c r="A64" s="7" t="s">
        <v>85</v>
      </c>
      <c r="B64" s="7" t="s">
        <v>125</v>
      </c>
      <c r="C64" s="8">
        <v>46.8</v>
      </c>
      <c r="D64" s="9">
        <v>5</v>
      </c>
      <c r="E64" s="8">
        <f>0.25*2+0.075*4+0.02*4</f>
        <v>0.88</v>
      </c>
      <c r="F64" s="13">
        <f t="shared" si="0"/>
        <v>205.92</v>
      </c>
      <c r="G64" s="21">
        <v>8.43</v>
      </c>
      <c r="H64" s="13">
        <f t="shared" si="1"/>
        <v>1.97</v>
      </c>
      <c r="I64" s="11" t="s">
        <v>186</v>
      </c>
    </row>
    <row r="65" spans="1:9" x14ac:dyDescent="0.15">
      <c r="A65" s="7" t="s">
        <v>87</v>
      </c>
      <c r="B65" s="7" t="s">
        <v>96</v>
      </c>
      <c r="C65" s="8">
        <f>1.15*2</f>
        <v>2.2999999999999998</v>
      </c>
      <c r="D65" s="9">
        <v>12</v>
      </c>
      <c r="E65" s="8">
        <f>PI()*0.012</f>
        <v>3.7699111843077518E-2</v>
      </c>
      <c r="F65" s="13">
        <f t="shared" si="0"/>
        <v>1.04</v>
      </c>
      <c r="G65" s="21">
        <v>0.88800000000000001</v>
      </c>
      <c r="H65" s="13">
        <f t="shared" si="1"/>
        <v>0.02</v>
      </c>
      <c r="I65" s="11" t="s">
        <v>186</v>
      </c>
    </row>
    <row r="66" spans="1:9" x14ac:dyDescent="0.15">
      <c r="A66" s="7" t="s">
        <v>89</v>
      </c>
      <c r="B66" s="7" t="s">
        <v>96</v>
      </c>
      <c r="C66" s="8">
        <v>3</v>
      </c>
      <c r="D66" s="9">
        <v>24</v>
      </c>
      <c r="E66" s="8">
        <f>PI()*0.012</f>
        <v>3.7699111843077518E-2</v>
      </c>
      <c r="F66" s="13">
        <f t="shared" si="0"/>
        <v>2.71</v>
      </c>
      <c r="G66" s="21">
        <v>0.88800000000000001</v>
      </c>
      <c r="H66" s="13">
        <f t="shared" si="1"/>
        <v>0.06</v>
      </c>
      <c r="I66" s="11" t="s">
        <v>186</v>
      </c>
    </row>
    <row r="67" spans="1:9" x14ac:dyDescent="0.15">
      <c r="A67" s="7" t="s">
        <v>91</v>
      </c>
      <c r="B67" s="7" t="s">
        <v>98</v>
      </c>
      <c r="C67" s="8">
        <v>1.1499999999999999</v>
      </c>
      <c r="D67" s="9">
        <v>24</v>
      </c>
      <c r="E67" s="8">
        <f>PI()*0.032</f>
        <v>0.10053096491487339</v>
      </c>
      <c r="F67" s="13">
        <f t="shared" ref="F67:F68" si="5">ROUND(PRODUCT($C67:$E67),2)</f>
        <v>2.77</v>
      </c>
      <c r="G67" s="21">
        <v>1.819</v>
      </c>
      <c r="H67" s="13">
        <f t="shared" ref="H67:H68" si="6">ROUND(PRODUCT($C67:$D67,$G67)*0.001,2)</f>
        <v>0.05</v>
      </c>
      <c r="I67" s="11" t="s">
        <v>186</v>
      </c>
    </row>
    <row r="68" spans="1:9" x14ac:dyDescent="0.15">
      <c r="A68" s="7" t="s">
        <v>93</v>
      </c>
      <c r="B68" s="7" t="s">
        <v>100</v>
      </c>
      <c r="C68" s="8">
        <f>(0.45+0.125)*2^0.5</f>
        <v>0.8131727983645296</v>
      </c>
      <c r="D68" s="9">
        <v>10</v>
      </c>
      <c r="E68" s="8">
        <f>0.05*4</f>
        <v>0.2</v>
      </c>
      <c r="F68" s="13">
        <f t="shared" si="5"/>
        <v>1.63</v>
      </c>
      <c r="G68" s="21">
        <v>3.77</v>
      </c>
      <c r="H68" s="13">
        <f t="shared" si="6"/>
        <v>0.03</v>
      </c>
      <c r="I68" s="11" t="s">
        <v>186</v>
      </c>
    </row>
    <row r="69" spans="1:9" x14ac:dyDescent="0.15">
      <c r="A69" s="7" t="s">
        <v>182</v>
      </c>
      <c r="F69" s="13">
        <f>SUBTOTAL(109,F2:F68)</f>
        <v>2029.34</v>
      </c>
      <c r="H69" s="13">
        <f>SUBTOTAL(109,H2:H68)</f>
        <v>41.280000000000008</v>
      </c>
    </row>
  </sheetData>
  <phoneticPr fontId="3" type="noConversion"/>
  <conditionalFormatting sqref="A1:I1048576">
    <cfRule type="expression" dxfId="54" priority="1">
      <formula>(ROW()=1)+($A1="汇总")</formula>
    </cfRule>
    <cfRule type="expression" dxfId="53" priority="2">
      <formula>(ROW()&gt;1)*($A1&lt;&gt;"汇总")*(MOD(ROW(),2)=0)*($A1&lt;&gt;"")*($B1&amp;$C1&amp;$D1&amp;$E1&amp;$G1&amp;$I1="")</formula>
    </cfRule>
    <cfRule type="expression" dxfId="52" priority="3">
      <formula>(ROW()&gt;1)*($A1&lt;&gt;"汇总")*(MOD(ROW(),2)=0)*($B1&amp;$C1&amp;$D1&amp;$E1&amp;$G1&amp;$I1&lt;&gt;"")</formula>
    </cfRule>
    <cfRule type="expression" dxfId="51" priority="4">
      <formula>(ROW()&gt;1)*($A1&lt;&gt;"汇总")*(MOD(ROW(),2)=1)*($A1&lt;&gt;"")*($B1&amp;$C1&amp;$D1&amp;$E1&amp;$G1&amp;$I1="")</formula>
    </cfRule>
    <cfRule type="expression" dxfId="5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pane ySplit="1" topLeftCell="A2" activePane="bottomLeft" state="frozen"/>
      <selection sqref="A1:F1"/>
      <selection pane="bottomLeft" activeCell="H10" sqref="H10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652</v>
      </c>
      <c r="F2" s="13">
        <f>ROUND(PRODUCT($C2:$E2),2)</f>
        <v>0</v>
      </c>
      <c r="H2" s="13">
        <f>ROUND(PRODUCT($C2:$D2,$G2)*0.001,2)</f>
        <v>0</v>
      </c>
    </row>
    <row r="3" spans="1:9" x14ac:dyDescent="0.15">
      <c r="A3" s="7" t="s">
        <v>653</v>
      </c>
      <c r="B3" s="7" t="s">
        <v>654</v>
      </c>
      <c r="C3" s="8">
        <v>20</v>
      </c>
      <c r="D3" s="9">
        <v>8</v>
      </c>
      <c r="E3" s="8">
        <f>0.22*2+0.075*4+0.02*4</f>
        <v>0.82</v>
      </c>
      <c r="F3" s="13">
        <f t="shared" ref="F3:F6" si="0">ROUND(PRODUCT($C3:$E3),2)</f>
        <v>131.19999999999999</v>
      </c>
      <c r="G3" s="21">
        <v>6.92</v>
      </c>
      <c r="H3" s="13">
        <f t="shared" ref="H3:H6" si="1">ROUND(PRODUCT($C3:$D3,$G3)*0.001,2)</f>
        <v>1.1100000000000001</v>
      </c>
      <c r="I3" s="11" t="s">
        <v>655</v>
      </c>
    </row>
    <row r="4" spans="1:9" x14ac:dyDescent="0.15">
      <c r="A4" s="7" t="s">
        <v>187</v>
      </c>
      <c r="B4" s="7" t="s">
        <v>656</v>
      </c>
      <c r="C4" s="8">
        <f>1.3+1.4+0.95+0.45+1.4+1.3</f>
        <v>6.8</v>
      </c>
      <c r="D4" s="9">
        <v>4</v>
      </c>
      <c r="E4" s="8">
        <f>PI()*0.012</f>
        <v>3.7699111843077518E-2</v>
      </c>
      <c r="F4" s="13">
        <f t="shared" si="0"/>
        <v>1.03</v>
      </c>
      <c r="G4" s="21">
        <v>0.88800000000000001</v>
      </c>
      <c r="H4" s="13">
        <f t="shared" si="1"/>
        <v>0.02</v>
      </c>
      <c r="I4" s="11" t="s">
        <v>620</v>
      </c>
    </row>
    <row r="5" spans="1:9" x14ac:dyDescent="0.15">
      <c r="A5" s="7" t="s">
        <v>90</v>
      </c>
      <c r="B5" s="7" t="s">
        <v>656</v>
      </c>
      <c r="C5" s="8">
        <v>2.5</v>
      </c>
      <c r="D5" s="9">
        <v>16</v>
      </c>
      <c r="E5" s="8">
        <f>PI()*0.012</f>
        <v>3.7699111843077518E-2</v>
      </c>
      <c r="F5" s="13">
        <f t="shared" si="0"/>
        <v>1.51</v>
      </c>
      <c r="G5" s="21">
        <v>0.88800000000000001</v>
      </c>
      <c r="H5" s="13">
        <f t="shared" si="1"/>
        <v>0.04</v>
      </c>
      <c r="I5" s="11" t="s">
        <v>620</v>
      </c>
    </row>
    <row r="6" spans="1:9" x14ac:dyDescent="0.15">
      <c r="A6" s="7" t="s">
        <v>124</v>
      </c>
      <c r="B6" s="7" t="s">
        <v>657</v>
      </c>
      <c r="C6" s="8">
        <v>1.25</v>
      </c>
      <c r="D6" s="9">
        <v>8</v>
      </c>
      <c r="E6" s="8">
        <f>PI()*0.032</f>
        <v>0.10053096491487339</v>
      </c>
      <c r="F6" s="13">
        <f t="shared" si="0"/>
        <v>1.01</v>
      </c>
      <c r="G6" s="21">
        <v>1.819</v>
      </c>
      <c r="H6" s="13">
        <f t="shared" si="1"/>
        <v>0.02</v>
      </c>
      <c r="I6" s="11" t="s">
        <v>621</v>
      </c>
    </row>
    <row r="7" spans="1:9" x14ac:dyDescent="0.15">
      <c r="A7" s="7" t="s">
        <v>132</v>
      </c>
      <c r="F7" s="13">
        <f>SUBTOTAL(109,F2:F6)</f>
        <v>134.74999999999997</v>
      </c>
      <c r="H7" s="13">
        <f>SUBTOTAL(109,H2:H6)</f>
        <v>1.1900000000000002</v>
      </c>
    </row>
  </sheetData>
  <phoneticPr fontId="3" type="noConversion"/>
  <conditionalFormatting sqref="A1:I1048576">
    <cfRule type="expression" dxfId="49" priority="1">
      <formula>(ROW()=1)+($A1="汇总")</formula>
    </cfRule>
    <cfRule type="expression" dxfId="48" priority="2">
      <formula>(ROW()&gt;1)*($A1&lt;&gt;"汇总")*(MOD(ROW(),2)=0)*($A1&lt;&gt;"")*($B1&amp;$C1&amp;$D1&amp;$E1&amp;$G1&amp;$I1="")</formula>
    </cfRule>
    <cfRule type="expression" dxfId="47" priority="3">
      <formula>(ROW()&gt;1)*($A1&lt;&gt;"汇总")*(MOD(ROW(),2)=0)*($B1&amp;$C1&amp;$D1&amp;$E1&amp;$G1&amp;$I1&lt;&gt;"")</formula>
    </cfRule>
    <cfRule type="expression" dxfId="46" priority="4">
      <formula>(ROW()&gt;1)*($A1&lt;&gt;"汇总")*(MOD(ROW(),2)=1)*($A1&lt;&gt;"")*($B1&amp;$C1&amp;$D1&amp;$E1&amp;$G1&amp;$I1="")</formula>
    </cfRule>
    <cfRule type="expression" dxfId="4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pane ySplit="1" topLeftCell="A2" activePane="bottomLeft" state="frozen"/>
      <selection sqref="A1:F1"/>
      <selection pane="bottomLeft" activeCell="H20" sqref="H20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658</v>
      </c>
      <c r="F2" s="13">
        <f t="shared" ref="F2:F19" si="0">ROUND(PRODUCT($C2:$E2),2)</f>
        <v>0</v>
      </c>
      <c r="H2" s="13">
        <f>ROUND(PRODUCT($C2:$D2,$G2)*0.001,2)</f>
        <v>0</v>
      </c>
    </row>
    <row r="3" spans="1:9" x14ac:dyDescent="0.15">
      <c r="A3" s="7" t="s">
        <v>659</v>
      </c>
      <c r="B3" s="7" t="s">
        <v>660</v>
      </c>
      <c r="C3" s="8">
        <f>4.9-0.2</f>
        <v>4.7</v>
      </c>
      <c r="D3" s="9">
        <v>2</v>
      </c>
      <c r="E3" s="8">
        <f>0.25*2+0.25*4</f>
        <v>1.5</v>
      </c>
      <c r="F3" s="13">
        <f t="shared" si="0"/>
        <v>14.1</v>
      </c>
      <c r="G3" s="21">
        <v>70.63</v>
      </c>
      <c r="H3" s="13">
        <f t="shared" ref="H3:H19" si="1">ROUND(PRODUCT($C3:$D3,$G3)*0.001,2)</f>
        <v>0.66</v>
      </c>
      <c r="I3" s="11" t="s">
        <v>658</v>
      </c>
    </row>
    <row r="4" spans="1:9" x14ac:dyDescent="0.15">
      <c r="C4" s="8">
        <f>4.5-0.2</f>
        <v>4.3</v>
      </c>
      <c r="D4" s="9">
        <v>2</v>
      </c>
      <c r="E4" s="8">
        <f>0.25*2+0.25*4</f>
        <v>1.5</v>
      </c>
      <c r="F4" s="13">
        <f t="shared" si="0"/>
        <v>12.9</v>
      </c>
      <c r="G4" s="21">
        <v>70.63</v>
      </c>
      <c r="H4" s="13">
        <f t="shared" si="1"/>
        <v>0.61</v>
      </c>
      <c r="I4" s="11" t="s">
        <v>661</v>
      </c>
    </row>
    <row r="5" spans="1:9" x14ac:dyDescent="0.15">
      <c r="A5" s="7" t="s">
        <v>196</v>
      </c>
      <c r="B5" s="7" t="s">
        <v>662</v>
      </c>
      <c r="C5" s="8">
        <v>0.59</v>
      </c>
      <c r="D5" s="9">
        <v>4</v>
      </c>
      <c r="E5" s="8">
        <v>0.59</v>
      </c>
      <c r="F5" s="13">
        <f t="shared" si="0"/>
        <v>1.39</v>
      </c>
      <c r="G5" s="21">
        <f>0.59*0.03*7850</f>
        <v>138.94499999999996</v>
      </c>
      <c r="H5" s="13">
        <f t="shared" si="1"/>
        <v>0.33</v>
      </c>
      <c r="I5" s="11" t="s">
        <v>661</v>
      </c>
    </row>
    <row r="6" spans="1:9" x14ac:dyDescent="0.15">
      <c r="B6" s="7" t="s">
        <v>663</v>
      </c>
      <c r="C6" s="8">
        <v>0.3</v>
      </c>
      <c r="D6" s="9">
        <f>8*4</f>
        <v>32</v>
      </c>
      <c r="E6" s="8">
        <f>0.15*2</f>
        <v>0.3</v>
      </c>
      <c r="F6" s="13">
        <f t="shared" si="0"/>
        <v>2.88</v>
      </c>
      <c r="G6" s="21">
        <f>0.15*0.014*7850</f>
        <v>16.484999999999999</v>
      </c>
      <c r="H6" s="13">
        <f t="shared" si="1"/>
        <v>0.16</v>
      </c>
      <c r="I6" s="11" t="s">
        <v>661</v>
      </c>
    </row>
    <row r="7" spans="1:9" x14ac:dyDescent="0.15">
      <c r="A7" s="7" t="s">
        <v>202</v>
      </c>
      <c r="F7" s="13">
        <f t="shared" si="0"/>
        <v>0</v>
      </c>
      <c r="H7" s="13">
        <f t="shared" si="1"/>
        <v>0</v>
      </c>
    </row>
    <row r="8" spans="1:9" x14ac:dyDescent="0.15">
      <c r="A8" s="7" t="s">
        <v>190</v>
      </c>
      <c r="B8" s="7" t="s">
        <v>664</v>
      </c>
      <c r="C8" s="8">
        <f>6-0.125*2</f>
        <v>5.75</v>
      </c>
      <c r="D8" s="9">
        <v>2</v>
      </c>
      <c r="E8" s="8">
        <f>0.194*2+0.15*4</f>
        <v>0.98799999999999999</v>
      </c>
      <c r="F8" s="13">
        <f t="shared" si="0"/>
        <v>11.36</v>
      </c>
      <c r="G8" s="21">
        <v>29.48</v>
      </c>
      <c r="H8" s="13">
        <f t="shared" si="1"/>
        <v>0.34</v>
      </c>
      <c r="I8" s="11" t="s">
        <v>665</v>
      </c>
    </row>
    <row r="9" spans="1:9" x14ac:dyDescent="0.15">
      <c r="C9" s="8">
        <f>0.9-0.125</f>
        <v>0.77500000000000002</v>
      </c>
      <c r="D9" s="9">
        <v>4</v>
      </c>
      <c r="E9" s="8">
        <f>0.194*2+0.15*4</f>
        <v>0.98799999999999999</v>
      </c>
      <c r="F9" s="13">
        <f t="shared" si="0"/>
        <v>3.06</v>
      </c>
      <c r="G9" s="21">
        <v>29.48</v>
      </c>
      <c r="H9" s="13">
        <f t="shared" si="1"/>
        <v>0.09</v>
      </c>
      <c r="I9" s="11" t="s">
        <v>666</v>
      </c>
    </row>
    <row r="10" spans="1:9" x14ac:dyDescent="0.15">
      <c r="C10" s="8">
        <v>6</v>
      </c>
      <c r="D10" s="9">
        <v>2</v>
      </c>
      <c r="E10" s="8">
        <f>0.194*2+0.15*4</f>
        <v>0.98799999999999999</v>
      </c>
      <c r="F10" s="13">
        <f t="shared" si="0"/>
        <v>11.86</v>
      </c>
      <c r="G10" s="21">
        <v>29.48</v>
      </c>
      <c r="H10" s="13">
        <f t="shared" si="1"/>
        <v>0.35</v>
      </c>
      <c r="I10" s="11" t="s">
        <v>667</v>
      </c>
    </row>
    <row r="11" spans="1:9" x14ac:dyDescent="0.15">
      <c r="C11" s="8">
        <v>0.9</v>
      </c>
      <c r="D11" s="9">
        <v>4</v>
      </c>
      <c r="E11" s="8">
        <f>0.194*2+0.15*4</f>
        <v>0.98799999999999999</v>
      </c>
      <c r="F11" s="13">
        <f t="shared" si="0"/>
        <v>3.56</v>
      </c>
      <c r="G11" s="21">
        <v>29.48</v>
      </c>
      <c r="H11" s="13">
        <f t="shared" si="1"/>
        <v>0.11</v>
      </c>
      <c r="I11" s="11" t="s">
        <v>668</v>
      </c>
    </row>
    <row r="12" spans="1:9" x14ac:dyDescent="0.15">
      <c r="C12" s="8">
        <v>7.8</v>
      </c>
      <c r="D12" s="9">
        <v>4</v>
      </c>
      <c r="E12" s="8">
        <f>0.194*2+0.15*4</f>
        <v>0.98799999999999999</v>
      </c>
      <c r="F12" s="13">
        <f t="shared" si="0"/>
        <v>30.83</v>
      </c>
      <c r="G12" s="21">
        <v>29.48</v>
      </c>
      <c r="H12" s="13">
        <f t="shared" si="1"/>
        <v>0.92</v>
      </c>
      <c r="I12" s="11" t="s">
        <v>668</v>
      </c>
    </row>
    <row r="13" spans="1:9" x14ac:dyDescent="0.15">
      <c r="A13" s="7" t="s">
        <v>107</v>
      </c>
      <c r="F13" s="13">
        <f t="shared" si="0"/>
        <v>0</v>
      </c>
      <c r="H13" s="13">
        <f t="shared" si="1"/>
        <v>0</v>
      </c>
    </row>
    <row r="14" spans="1:9" x14ac:dyDescent="0.15">
      <c r="A14" s="7" t="s">
        <v>191</v>
      </c>
      <c r="B14" s="7" t="s">
        <v>669</v>
      </c>
      <c r="C14" s="8">
        <v>7.8</v>
      </c>
      <c r="D14" s="9">
        <v>9</v>
      </c>
      <c r="E14" s="8">
        <f>0.25*2+0.075*4+0.02*4</f>
        <v>0.88</v>
      </c>
      <c r="F14" s="13">
        <f t="shared" si="0"/>
        <v>61.78</v>
      </c>
      <c r="G14" s="21">
        <v>8.43</v>
      </c>
      <c r="H14" s="13">
        <f t="shared" si="1"/>
        <v>0.59</v>
      </c>
      <c r="I14" s="11" t="s">
        <v>670</v>
      </c>
    </row>
    <row r="15" spans="1:9" x14ac:dyDescent="0.15">
      <c r="A15" s="7" t="s">
        <v>88</v>
      </c>
      <c r="B15" s="7" t="s">
        <v>97</v>
      </c>
      <c r="C15" s="8">
        <v>6</v>
      </c>
      <c r="D15" s="9">
        <v>1</v>
      </c>
      <c r="E15" s="8">
        <f>PI()*0.012</f>
        <v>3.7699111843077518E-2</v>
      </c>
      <c r="F15" s="13">
        <f t="shared" si="0"/>
        <v>0.23</v>
      </c>
      <c r="G15" s="21">
        <v>0.88800000000000001</v>
      </c>
      <c r="H15" s="13">
        <f t="shared" si="1"/>
        <v>0.01</v>
      </c>
      <c r="I15" s="11" t="s">
        <v>671</v>
      </c>
    </row>
    <row r="16" spans="1:9" x14ac:dyDescent="0.15">
      <c r="A16" s="7" t="s">
        <v>90</v>
      </c>
      <c r="B16" s="7" t="s">
        <v>97</v>
      </c>
      <c r="C16" s="8">
        <v>3</v>
      </c>
      <c r="D16" s="9">
        <v>4</v>
      </c>
      <c r="E16" s="8">
        <f>PI()*0.012</f>
        <v>3.7699111843077518E-2</v>
      </c>
      <c r="F16" s="13">
        <f t="shared" si="0"/>
        <v>0.45</v>
      </c>
      <c r="G16" s="21">
        <v>0.88800000000000001</v>
      </c>
      <c r="H16" s="13">
        <f t="shared" si="1"/>
        <v>0.01</v>
      </c>
      <c r="I16" s="11" t="s">
        <v>672</v>
      </c>
    </row>
    <row r="17" spans="1:9" x14ac:dyDescent="0.15">
      <c r="A17" s="7" t="s">
        <v>622</v>
      </c>
      <c r="B17" s="7" t="s">
        <v>99</v>
      </c>
      <c r="C17" s="8">
        <v>0.9</v>
      </c>
      <c r="D17" s="9">
        <v>2</v>
      </c>
      <c r="E17" s="8">
        <f>PI()*0.032</f>
        <v>0.10053096491487339</v>
      </c>
      <c r="F17" s="13">
        <f t="shared" si="0"/>
        <v>0.18</v>
      </c>
      <c r="G17" s="21">
        <v>1.819</v>
      </c>
      <c r="H17" s="13">
        <f t="shared" si="1"/>
        <v>0</v>
      </c>
      <c r="I17" s="11" t="s">
        <v>107</v>
      </c>
    </row>
    <row r="18" spans="1:9" x14ac:dyDescent="0.15">
      <c r="A18" s="7" t="s">
        <v>673</v>
      </c>
      <c r="F18" s="13">
        <f t="shared" si="0"/>
        <v>0</v>
      </c>
      <c r="H18" s="13">
        <f t="shared" si="1"/>
        <v>0</v>
      </c>
    </row>
    <row r="19" spans="1:9" x14ac:dyDescent="0.15">
      <c r="A19" s="7" t="s">
        <v>80</v>
      </c>
      <c r="B19" s="7" t="s">
        <v>674</v>
      </c>
      <c r="C19" s="8">
        <f>(6^2+6^2)^0.5</f>
        <v>8.4852813742385695</v>
      </c>
      <c r="D19" s="9">
        <v>2</v>
      </c>
      <c r="E19" s="8">
        <f>0.11*4</f>
        <v>0.44</v>
      </c>
      <c r="F19" s="13">
        <f t="shared" si="0"/>
        <v>7.47</v>
      </c>
      <c r="G19" s="21">
        <v>13.5</v>
      </c>
      <c r="H19" s="13">
        <f t="shared" si="1"/>
        <v>0.23</v>
      </c>
      <c r="I19" s="11" t="s">
        <v>675</v>
      </c>
    </row>
    <row r="20" spans="1:9" x14ac:dyDescent="0.15">
      <c r="A20" s="7" t="s">
        <v>132</v>
      </c>
      <c r="F20" s="13">
        <f>SUBTOTAL(109,F3:F19)</f>
        <v>162.04999999999998</v>
      </c>
      <c r="H20" s="13">
        <f>SUBTOTAL(109,H3:H19)</f>
        <v>4.41</v>
      </c>
    </row>
  </sheetData>
  <phoneticPr fontId="3" type="noConversion"/>
  <conditionalFormatting sqref="A1:I1048576">
    <cfRule type="expression" dxfId="44" priority="1">
      <formula>(ROW()=1)+($A1="汇总")</formula>
    </cfRule>
    <cfRule type="expression" dxfId="43" priority="2">
      <formula>(ROW()&gt;1)*($A1&lt;&gt;"汇总")*(MOD(ROW(),2)=0)*($A1&lt;&gt;"")*($B1&amp;$C1&amp;$D1&amp;$E1&amp;$G1&amp;$I1="")</formula>
    </cfRule>
    <cfRule type="expression" dxfId="42" priority="3">
      <formula>(ROW()&gt;1)*($A1&lt;&gt;"汇总")*(MOD(ROW(),2)=0)*($B1&amp;$C1&amp;$D1&amp;$E1&amp;$G1&amp;$I1&lt;&gt;"")</formula>
    </cfRule>
    <cfRule type="expression" dxfId="41" priority="4">
      <formula>(ROW()&gt;1)*($A1&lt;&gt;"汇总")*(MOD(ROW(),2)=1)*($A1&lt;&gt;"")*($B1&amp;$C1&amp;$D1&amp;$E1&amp;$G1&amp;$I1="")</formula>
    </cfRule>
    <cfRule type="expression" dxfId="40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pane ySplit="1" topLeftCell="A2" activePane="bottomLeft" state="frozen"/>
      <selection sqref="A1:F1"/>
      <selection pane="bottomLeft" activeCell="H30" sqref="H30"/>
    </sheetView>
  </sheetViews>
  <sheetFormatPr defaultRowHeight="14.25" x14ac:dyDescent="0.15"/>
  <cols>
    <col min="1" max="1" width="14.625" style="7" customWidth="1"/>
    <col min="2" max="2" width="19.375" style="7" bestFit="1" customWidth="1"/>
    <col min="3" max="3" width="7.625" style="8" customWidth="1"/>
    <col min="4" max="4" width="6" style="9" bestFit="1" customWidth="1"/>
    <col min="5" max="5" width="10.625" style="8" customWidth="1"/>
    <col min="6" max="6" width="10.625" style="13" customWidth="1"/>
    <col min="7" max="7" width="10.625" style="21" customWidth="1"/>
    <col min="8" max="8" width="10.625" style="13" customWidth="1"/>
    <col min="9" max="9" width="10.625" style="11" customWidth="1"/>
    <col min="10" max="16384" width="9" style="12"/>
  </cols>
  <sheetData>
    <row r="1" spans="1:9" x14ac:dyDescent="0.15">
      <c r="A1" s="7" t="s">
        <v>1</v>
      </c>
      <c r="B1" s="7" t="s">
        <v>2</v>
      </c>
      <c r="C1" s="8" t="s">
        <v>4</v>
      </c>
      <c r="D1" s="9" t="s">
        <v>5</v>
      </c>
      <c r="E1" s="8" t="s">
        <v>3</v>
      </c>
      <c r="F1" s="10" t="s">
        <v>6</v>
      </c>
      <c r="G1" s="20" t="s">
        <v>594</v>
      </c>
      <c r="H1" s="10" t="s">
        <v>595</v>
      </c>
      <c r="I1" s="11" t="s">
        <v>596</v>
      </c>
    </row>
    <row r="2" spans="1:9" x14ac:dyDescent="0.15">
      <c r="A2" s="7" t="s">
        <v>658</v>
      </c>
      <c r="F2" s="13">
        <f t="shared" ref="F2:F29" si="0">ROUND(PRODUCT($C2:$E2),2)</f>
        <v>0</v>
      </c>
      <c r="H2" s="13">
        <f>ROUND(PRODUCT($C2:$D2,$G2)*0.001,2)</f>
        <v>0</v>
      </c>
    </row>
    <row r="3" spans="1:9" x14ac:dyDescent="0.15">
      <c r="A3" s="7" t="s">
        <v>659</v>
      </c>
      <c r="B3" s="7" t="s">
        <v>660</v>
      </c>
      <c r="C3" s="8">
        <f>5.9-0.2</f>
        <v>5.7</v>
      </c>
      <c r="D3" s="9">
        <v>5</v>
      </c>
      <c r="E3" s="8">
        <f>0.25*2+0.25*4</f>
        <v>1.5</v>
      </c>
      <c r="F3" s="13">
        <f t="shared" si="0"/>
        <v>42.75</v>
      </c>
      <c r="G3" s="21">
        <v>70.63</v>
      </c>
      <c r="H3" s="13">
        <f t="shared" ref="H3:H29" si="1">ROUND(PRODUCT($C3:$D3,$G3)*0.001,2)</f>
        <v>2.0099999999999998</v>
      </c>
      <c r="I3" s="11" t="s">
        <v>658</v>
      </c>
    </row>
    <row r="4" spans="1:9" x14ac:dyDescent="0.15">
      <c r="C4" s="8">
        <f>5.5-0.2</f>
        <v>5.3</v>
      </c>
      <c r="D4" s="9">
        <v>5</v>
      </c>
      <c r="E4" s="8">
        <f>0.25*2+0.25*4</f>
        <v>1.5</v>
      </c>
      <c r="F4" s="13">
        <f t="shared" si="0"/>
        <v>39.75</v>
      </c>
      <c r="G4" s="21">
        <v>70.63</v>
      </c>
      <c r="H4" s="13">
        <f t="shared" si="1"/>
        <v>1.87</v>
      </c>
      <c r="I4" s="11" t="s">
        <v>661</v>
      </c>
    </row>
    <row r="5" spans="1:9" x14ac:dyDescent="0.15">
      <c r="A5" s="7" t="s">
        <v>196</v>
      </c>
      <c r="B5" s="7" t="s">
        <v>662</v>
      </c>
      <c r="C5" s="8">
        <v>0.59</v>
      </c>
      <c r="D5" s="9">
        <v>10</v>
      </c>
      <c r="E5" s="8">
        <v>0.59</v>
      </c>
      <c r="F5" s="13">
        <f t="shared" si="0"/>
        <v>3.48</v>
      </c>
      <c r="G5" s="21">
        <f>0.59*0.03*7850</f>
        <v>138.94499999999996</v>
      </c>
      <c r="H5" s="13">
        <f t="shared" si="1"/>
        <v>0.82</v>
      </c>
      <c r="I5" s="11" t="s">
        <v>661</v>
      </c>
    </row>
    <row r="6" spans="1:9" x14ac:dyDescent="0.15">
      <c r="B6" s="7" t="s">
        <v>663</v>
      </c>
      <c r="C6" s="8">
        <v>0.3</v>
      </c>
      <c r="D6" s="9">
        <f>8*10</f>
        <v>80</v>
      </c>
      <c r="E6" s="8">
        <f>0.15*2</f>
        <v>0.3</v>
      </c>
      <c r="F6" s="13">
        <f t="shared" si="0"/>
        <v>7.2</v>
      </c>
      <c r="G6" s="21">
        <f>0.15*0.014*7850</f>
        <v>16.484999999999999</v>
      </c>
      <c r="H6" s="13">
        <f t="shared" si="1"/>
        <v>0.4</v>
      </c>
      <c r="I6" s="11" t="s">
        <v>661</v>
      </c>
    </row>
    <row r="7" spans="1:9" x14ac:dyDescent="0.15">
      <c r="A7" s="7" t="s">
        <v>197</v>
      </c>
      <c r="F7" s="13">
        <f t="shared" si="0"/>
        <v>0</v>
      </c>
      <c r="H7" s="13">
        <f t="shared" si="1"/>
        <v>0</v>
      </c>
    </row>
    <row r="8" spans="1:9" x14ac:dyDescent="0.15">
      <c r="A8" s="7" t="s">
        <v>198</v>
      </c>
      <c r="B8" s="7" t="s">
        <v>664</v>
      </c>
      <c r="C8" s="8">
        <f>6-0.125*2</f>
        <v>5.75</v>
      </c>
      <c r="D8" s="9">
        <v>5</v>
      </c>
      <c r="E8" s="8">
        <f>0.194*2+0.15*4</f>
        <v>0.98799999999999999</v>
      </c>
      <c r="F8" s="13">
        <f t="shared" si="0"/>
        <v>28.41</v>
      </c>
      <c r="G8" s="21">
        <v>29.48</v>
      </c>
      <c r="H8" s="13">
        <f t="shared" si="1"/>
        <v>0.85</v>
      </c>
      <c r="I8" s="11" t="s">
        <v>665</v>
      </c>
    </row>
    <row r="9" spans="1:9" x14ac:dyDescent="0.15">
      <c r="C9" s="8">
        <v>6</v>
      </c>
      <c r="D9" s="9">
        <v>4</v>
      </c>
      <c r="E9" s="8">
        <f>0.194*2+0.15*4</f>
        <v>0.98799999999999999</v>
      </c>
      <c r="F9" s="13">
        <f t="shared" si="0"/>
        <v>23.71</v>
      </c>
      <c r="G9" s="21">
        <v>29.48</v>
      </c>
      <c r="H9" s="13">
        <f t="shared" si="1"/>
        <v>0.71</v>
      </c>
      <c r="I9" s="11" t="s">
        <v>667</v>
      </c>
    </row>
    <row r="10" spans="1:9" x14ac:dyDescent="0.15">
      <c r="C10" s="8">
        <v>6</v>
      </c>
      <c r="D10" s="9">
        <v>4</v>
      </c>
      <c r="E10" s="8">
        <f>0.194*2+0.15*4</f>
        <v>0.98799999999999999</v>
      </c>
      <c r="F10" s="13">
        <f t="shared" si="0"/>
        <v>23.71</v>
      </c>
      <c r="G10" s="21">
        <v>29.48</v>
      </c>
      <c r="H10" s="13">
        <f t="shared" si="1"/>
        <v>0.71</v>
      </c>
      <c r="I10" s="11" t="s">
        <v>667</v>
      </c>
    </row>
    <row r="11" spans="1:9" x14ac:dyDescent="0.15">
      <c r="A11" s="7" t="s">
        <v>200</v>
      </c>
      <c r="B11" s="7" t="s">
        <v>201</v>
      </c>
      <c r="C11" s="8">
        <v>8</v>
      </c>
      <c r="D11" s="9">
        <v>2</v>
      </c>
      <c r="E11" s="8">
        <f>0.244*2+0.175*4</f>
        <v>1.1879999999999999</v>
      </c>
      <c r="F11" s="13">
        <f t="shared" si="0"/>
        <v>19.010000000000002</v>
      </c>
      <c r="G11" s="21">
        <v>42.42</v>
      </c>
      <c r="H11" s="13">
        <f t="shared" si="1"/>
        <v>0.68</v>
      </c>
      <c r="I11" s="11" t="s">
        <v>667</v>
      </c>
    </row>
    <row r="12" spans="1:9" x14ac:dyDescent="0.15">
      <c r="C12" s="8">
        <v>6</v>
      </c>
      <c r="D12" s="9">
        <v>2</v>
      </c>
      <c r="E12" s="8">
        <f>0.244*2+0.175*4</f>
        <v>1.1879999999999999</v>
      </c>
      <c r="F12" s="13">
        <f t="shared" si="0"/>
        <v>14.26</v>
      </c>
      <c r="G12" s="21">
        <v>42.42</v>
      </c>
      <c r="H12" s="13">
        <f t="shared" si="1"/>
        <v>0.51</v>
      </c>
      <c r="I12" s="11" t="s">
        <v>665</v>
      </c>
    </row>
    <row r="13" spans="1:9" x14ac:dyDescent="0.15">
      <c r="A13" s="7" t="s">
        <v>111</v>
      </c>
      <c r="F13" s="13">
        <f t="shared" si="0"/>
        <v>0</v>
      </c>
      <c r="H13" s="13">
        <f t="shared" si="1"/>
        <v>0</v>
      </c>
    </row>
    <row r="14" spans="1:9" x14ac:dyDescent="0.15">
      <c r="A14" s="7" t="s">
        <v>198</v>
      </c>
      <c r="B14" s="7" t="s">
        <v>664</v>
      </c>
      <c r="C14" s="8">
        <f>6-0.125*2</f>
        <v>5.75</v>
      </c>
      <c r="D14" s="9">
        <v>5</v>
      </c>
      <c r="E14" s="8">
        <f t="shared" ref="E14:E20" si="2">0.194*2+0.15*4</f>
        <v>0.98799999999999999</v>
      </c>
      <c r="F14" s="13">
        <f t="shared" si="0"/>
        <v>28.41</v>
      </c>
      <c r="G14" s="21">
        <v>29.48</v>
      </c>
      <c r="H14" s="13">
        <f t="shared" si="1"/>
        <v>0.85</v>
      </c>
      <c r="I14" s="11" t="s">
        <v>665</v>
      </c>
    </row>
    <row r="15" spans="1:9" x14ac:dyDescent="0.15">
      <c r="C15" s="8">
        <v>6</v>
      </c>
      <c r="D15" s="9">
        <v>1</v>
      </c>
      <c r="E15" s="8">
        <f t="shared" si="2"/>
        <v>0.98799999999999999</v>
      </c>
      <c r="F15" s="13">
        <f t="shared" si="0"/>
        <v>5.93</v>
      </c>
      <c r="G15" s="21">
        <v>29.48</v>
      </c>
      <c r="H15" s="13">
        <f t="shared" si="1"/>
        <v>0.18</v>
      </c>
      <c r="I15" s="11" t="s">
        <v>667</v>
      </c>
    </row>
    <row r="16" spans="1:9" x14ac:dyDescent="0.15">
      <c r="C16" s="8">
        <v>0.9</v>
      </c>
      <c r="D16" s="9">
        <v>10</v>
      </c>
      <c r="E16" s="8">
        <f t="shared" si="2"/>
        <v>0.98799999999999999</v>
      </c>
      <c r="F16" s="13">
        <f t="shared" si="0"/>
        <v>8.89</v>
      </c>
      <c r="G16" s="21">
        <v>29.48</v>
      </c>
      <c r="H16" s="13">
        <f t="shared" si="1"/>
        <v>0.27</v>
      </c>
      <c r="I16" s="11" t="s">
        <v>668</v>
      </c>
    </row>
    <row r="17" spans="1:9" x14ac:dyDescent="0.15">
      <c r="C17" s="8">
        <v>7.8</v>
      </c>
      <c r="D17" s="9">
        <v>2</v>
      </c>
      <c r="E17" s="8">
        <f t="shared" si="2"/>
        <v>0.98799999999999999</v>
      </c>
      <c r="F17" s="13">
        <f t="shared" si="0"/>
        <v>15.41</v>
      </c>
      <c r="G17" s="21">
        <v>29.48</v>
      </c>
      <c r="H17" s="13">
        <f t="shared" si="1"/>
        <v>0.46</v>
      </c>
      <c r="I17" s="11" t="s">
        <v>15</v>
      </c>
    </row>
    <row r="18" spans="1:9" x14ac:dyDescent="0.15">
      <c r="C18" s="8">
        <v>6</v>
      </c>
      <c r="D18" s="9">
        <v>10</v>
      </c>
      <c r="E18" s="8">
        <f t="shared" si="2"/>
        <v>0.98799999999999999</v>
      </c>
      <c r="F18" s="13">
        <f t="shared" si="0"/>
        <v>59.28</v>
      </c>
      <c r="G18" s="21">
        <v>29.48</v>
      </c>
      <c r="H18" s="13">
        <f t="shared" si="1"/>
        <v>1.77</v>
      </c>
      <c r="I18" s="11" t="s">
        <v>676</v>
      </c>
    </row>
    <row r="19" spans="1:9" x14ac:dyDescent="0.15">
      <c r="C19" s="8">
        <v>6.9</v>
      </c>
      <c r="D19" s="9">
        <v>2</v>
      </c>
      <c r="E19" s="8">
        <f t="shared" si="2"/>
        <v>0.98799999999999999</v>
      </c>
      <c r="F19" s="13">
        <f t="shared" si="0"/>
        <v>13.63</v>
      </c>
      <c r="G19" s="21">
        <v>29.48</v>
      </c>
      <c r="H19" s="13">
        <f t="shared" si="1"/>
        <v>0.41</v>
      </c>
      <c r="I19" s="11" t="s">
        <v>668</v>
      </c>
    </row>
    <row r="20" spans="1:9" x14ac:dyDescent="0.15">
      <c r="C20" s="8">
        <v>0.9</v>
      </c>
      <c r="D20" s="9">
        <v>4</v>
      </c>
      <c r="E20" s="8">
        <f t="shared" si="2"/>
        <v>0.98799999999999999</v>
      </c>
      <c r="F20" s="13">
        <f t="shared" si="0"/>
        <v>3.56</v>
      </c>
      <c r="G20" s="21">
        <v>29.48</v>
      </c>
      <c r="H20" s="13">
        <f t="shared" si="1"/>
        <v>0.11</v>
      </c>
      <c r="I20" s="11" t="s">
        <v>668</v>
      </c>
    </row>
    <row r="21" spans="1:9" x14ac:dyDescent="0.15">
      <c r="A21" s="7" t="s">
        <v>200</v>
      </c>
      <c r="B21" s="7" t="s">
        <v>677</v>
      </c>
      <c r="C21" s="8">
        <v>8</v>
      </c>
      <c r="D21" s="9">
        <v>2</v>
      </c>
      <c r="E21" s="8">
        <f>0.244*2+0.175*4</f>
        <v>1.1879999999999999</v>
      </c>
      <c r="F21" s="13">
        <f t="shared" si="0"/>
        <v>19.010000000000002</v>
      </c>
      <c r="G21" s="21">
        <v>42.42</v>
      </c>
      <c r="H21" s="13">
        <f t="shared" si="1"/>
        <v>0.68</v>
      </c>
      <c r="I21" s="11" t="s">
        <v>668</v>
      </c>
    </row>
    <row r="22" spans="1:9" x14ac:dyDescent="0.15">
      <c r="C22" s="8">
        <v>8.9</v>
      </c>
      <c r="D22" s="9">
        <v>2</v>
      </c>
      <c r="E22" s="8">
        <f>0.244*2+0.175*4</f>
        <v>1.1879999999999999</v>
      </c>
      <c r="F22" s="13">
        <f t="shared" si="0"/>
        <v>21.15</v>
      </c>
      <c r="G22" s="21">
        <v>42.42</v>
      </c>
      <c r="H22" s="13">
        <f t="shared" si="1"/>
        <v>0.76</v>
      </c>
      <c r="I22" s="11" t="s">
        <v>665</v>
      </c>
    </row>
    <row r="23" spans="1:9" x14ac:dyDescent="0.15">
      <c r="A23" s="7" t="s">
        <v>79</v>
      </c>
      <c r="F23" s="13">
        <f t="shared" si="0"/>
        <v>0</v>
      </c>
      <c r="H23" s="13">
        <f t="shared" si="1"/>
        <v>0</v>
      </c>
    </row>
    <row r="24" spans="1:9" x14ac:dyDescent="0.15">
      <c r="A24" s="7" t="s">
        <v>678</v>
      </c>
      <c r="B24" s="7" t="s">
        <v>108</v>
      </c>
      <c r="C24" s="8">
        <f>(6^2+6^2)^0.5</f>
        <v>8.4852813742385695</v>
      </c>
      <c r="D24" s="9">
        <v>2</v>
      </c>
      <c r="E24" s="8">
        <f>0.11*4</f>
        <v>0.44</v>
      </c>
      <c r="F24" s="13">
        <f t="shared" si="0"/>
        <v>7.47</v>
      </c>
      <c r="G24" s="21">
        <v>13.5</v>
      </c>
      <c r="H24" s="13">
        <f t="shared" si="1"/>
        <v>0.23</v>
      </c>
      <c r="I24" s="11" t="s">
        <v>105</v>
      </c>
    </row>
    <row r="25" spans="1:9" x14ac:dyDescent="0.15">
      <c r="A25" s="7" t="s">
        <v>679</v>
      </c>
      <c r="F25" s="13">
        <f t="shared" si="0"/>
        <v>0</v>
      </c>
      <c r="H25" s="13">
        <f t="shared" si="1"/>
        <v>0</v>
      </c>
    </row>
    <row r="26" spans="1:9" x14ac:dyDescent="0.15">
      <c r="A26" s="7" t="s">
        <v>203</v>
      </c>
      <c r="B26" s="7" t="s">
        <v>126</v>
      </c>
      <c r="C26" s="8">
        <v>27.8</v>
      </c>
      <c r="D26" s="9">
        <v>9</v>
      </c>
      <c r="E26" s="8">
        <f>0.25*2+0.075*4+0.02*4</f>
        <v>0.88</v>
      </c>
      <c r="F26" s="13">
        <f t="shared" si="0"/>
        <v>220.18</v>
      </c>
      <c r="G26" s="21">
        <v>8.43</v>
      </c>
      <c r="H26" s="13">
        <f t="shared" si="1"/>
        <v>2.11</v>
      </c>
      <c r="I26" s="11" t="s">
        <v>671</v>
      </c>
    </row>
    <row r="27" spans="1:9" x14ac:dyDescent="0.15">
      <c r="A27" s="7" t="s">
        <v>187</v>
      </c>
      <c r="B27" s="7" t="s">
        <v>97</v>
      </c>
      <c r="C27" s="8">
        <v>6</v>
      </c>
      <c r="D27" s="9">
        <v>5</v>
      </c>
      <c r="E27" s="8">
        <f>PI()*0.012</f>
        <v>3.7699111843077518E-2</v>
      </c>
      <c r="F27" s="13">
        <f t="shared" si="0"/>
        <v>1.1299999999999999</v>
      </c>
      <c r="G27" s="21">
        <v>0.88800000000000001</v>
      </c>
      <c r="H27" s="13">
        <f t="shared" si="1"/>
        <v>0.03</v>
      </c>
      <c r="I27" s="11" t="s">
        <v>680</v>
      </c>
    </row>
    <row r="28" spans="1:9" x14ac:dyDescent="0.15">
      <c r="A28" s="7" t="s">
        <v>681</v>
      </c>
      <c r="B28" s="7" t="s">
        <v>682</v>
      </c>
      <c r="C28" s="8">
        <v>3</v>
      </c>
      <c r="D28" s="9">
        <v>20</v>
      </c>
      <c r="E28" s="8">
        <f>PI()*0.012</f>
        <v>3.7699111843077518E-2</v>
      </c>
      <c r="F28" s="13">
        <f t="shared" si="0"/>
        <v>2.2599999999999998</v>
      </c>
      <c r="G28" s="21">
        <v>0.88800000000000001</v>
      </c>
      <c r="H28" s="13">
        <f t="shared" si="1"/>
        <v>0.05</v>
      </c>
      <c r="I28" s="11" t="s">
        <v>621</v>
      </c>
    </row>
    <row r="29" spans="1:9" x14ac:dyDescent="0.15">
      <c r="A29" s="7" t="s">
        <v>204</v>
      </c>
      <c r="B29" s="7" t="s">
        <v>99</v>
      </c>
      <c r="C29" s="8">
        <v>0.9</v>
      </c>
      <c r="D29" s="9">
        <v>10</v>
      </c>
      <c r="E29" s="8">
        <f>PI()*0.032</f>
        <v>0.10053096491487339</v>
      </c>
      <c r="F29" s="13">
        <f t="shared" si="0"/>
        <v>0.9</v>
      </c>
      <c r="G29" s="21">
        <v>1.819</v>
      </c>
      <c r="H29" s="13">
        <f t="shared" si="1"/>
        <v>0.02</v>
      </c>
      <c r="I29" s="11" t="s">
        <v>621</v>
      </c>
    </row>
    <row r="30" spans="1:9" x14ac:dyDescent="0.15">
      <c r="A30" s="7" t="s">
        <v>205</v>
      </c>
      <c r="F30" s="13">
        <f>SUBTOTAL(109,F2:F29)</f>
        <v>609.49</v>
      </c>
      <c r="H30" s="13">
        <f>SUBTOTAL(109,H2:H29)</f>
        <v>16.490000000000002</v>
      </c>
    </row>
  </sheetData>
  <phoneticPr fontId="3" type="noConversion"/>
  <conditionalFormatting sqref="A1:I1048576">
    <cfRule type="expression" dxfId="39" priority="1">
      <formula>(ROW()=1)+($A1="汇总")</formula>
    </cfRule>
    <cfRule type="expression" dxfId="38" priority="2">
      <formula>(ROW()&gt;1)*($A1&lt;&gt;"汇总")*(MOD(ROW(),2)=0)*($A1&lt;&gt;"")*($B1&amp;$C1&amp;$D1&amp;$E1&amp;$G1&amp;$I1="")</formula>
    </cfRule>
    <cfRule type="expression" dxfId="37" priority="3">
      <formula>(ROW()&gt;1)*($A1&lt;&gt;"汇总")*(MOD(ROW(),2)=0)*($B1&amp;$C1&amp;$D1&amp;$E1&amp;$G1&amp;$I1&lt;&gt;"")</formula>
    </cfRule>
    <cfRule type="expression" dxfId="36" priority="4">
      <formula>(ROW()&gt;1)*($A1&lt;&gt;"汇总")*(MOD(ROW(),2)=1)*($A1&lt;&gt;"")*($B1&amp;$C1&amp;$D1&amp;$E1&amp;$G1&amp;$I1="")</formula>
    </cfRule>
    <cfRule type="expression" dxfId="35" priority="5">
      <formula>(ROW()&gt;1)*($A1&lt;&gt;"汇总")*(MOD(ROW(),2)=1)*($B1&amp;$C1&amp;$D1&amp;$E1&amp;$G1&amp;$I1&lt;&gt;"")</formula>
    </cfRule>
  </conditionalFormatting>
  <printOptions horizontalCentered="1"/>
  <pageMargins left="0.59055118110236227" right="0.39370078740157483" top="0.6692913385826772" bottom="0.59055118110236227" header="0.39370078740157483" footer="0.39370078740157483"/>
  <pageSetup paperSize="9" orientation="portrait" blackAndWhite="1" r:id="rId1"/>
  <headerFooter alignWithMargins="0">
    <oddHeader>&amp;C&amp;"黑体,加粗"&amp;14&amp;A工程量计算书&amp;R&amp;10第 &amp;P 页 共 &amp;N 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15</vt:i4>
      </vt:variant>
    </vt:vector>
  </HeadingPairs>
  <TitlesOfParts>
    <vt:vector size="31" baseType="lpstr">
      <vt:lpstr>汇总</vt:lpstr>
      <vt:lpstr>消防水站</vt:lpstr>
      <vt:lpstr>甲类仓库C1</vt:lpstr>
      <vt:lpstr>甲类仓库C2</vt:lpstr>
      <vt:lpstr>丙类仓库D1</vt:lpstr>
      <vt:lpstr>丙类仓库D2</vt:lpstr>
      <vt:lpstr>危废库</vt:lpstr>
      <vt:lpstr>酸碱类泵棚</vt:lpstr>
      <vt:lpstr>甲乙类泵棚</vt:lpstr>
      <vt:lpstr>罐区管架</vt:lpstr>
      <vt:lpstr>胶粘剂厂房</vt:lpstr>
      <vt:lpstr>军用助剂厂房</vt:lpstr>
      <vt:lpstr>卸车泵棚</vt:lpstr>
      <vt:lpstr>卸车台</vt:lpstr>
      <vt:lpstr>阻燃剂厂房</vt:lpstr>
      <vt:lpstr>管廊</vt:lpstr>
      <vt:lpstr>丙类仓库D1!Print_Titles</vt:lpstr>
      <vt:lpstr>丙类仓库D2!Print_Titles</vt:lpstr>
      <vt:lpstr>管廊!Print_Titles</vt:lpstr>
      <vt:lpstr>罐区管架!Print_Titles</vt:lpstr>
      <vt:lpstr>甲类仓库C1!Print_Titles</vt:lpstr>
      <vt:lpstr>甲类仓库C2!Print_Titles</vt:lpstr>
      <vt:lpstr>甲乙类泵棚!Print_Titles</vt:lpstr>
      <vt:lpstr>胶粘剂厂房!Print_Titles</vt:lpstr>
      <vt:lpstr>军用助剂厂房!Print_Titles</vt:lpstr>
      <vt:lpstr>酸碱类泵棚!Print_Titles</vt:lpstr>
      <vt:lpstr>危废库!Print_Titles</vt:lpstr>
      <vt:lpstr>消防水站!Print_Titles</vt:lpstr>
      <vt:lpstr>卸车泵棚!Print_Titles</vt:lpstr>
      <vt:lpstr>卸车台!Print_Titles</vt:lpstr>
      <vt:lpstr>阻燃剂厂房!Print_Titles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Thinker</dc:creator>
  <cp:lastModifiedBy>Win7</cp:lastModifiedBy>
  <cp:lastPrinted>2022-03-13T01:34:03Z</cp:lastPrinted>
  <dcterms:created xsi:type="dcterms:W3CDTF">2018-03-18T02:36:29Z</dcterms:created>
  <dcterms:modified xsi:type="dcterms:W3CDTF">2022-05-09T00:22:17Z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