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visible" name="klasifikasi" sheetId="2" r:id="rId5"/>
    <sheet state="visible" name="DATA KLASIFIKASI" sheetId="3" r:id="rId6"/>
    <sheet state="visible" name="algoritma decision tree" sheetId="4" r:id="rId7"/>
    <sheet state="visible" name="algoritma decision tree-node ca" sheetId="5" r:id="rId8"/>
    <sheet state="visible" name="Sheet6" sheetId="6" r:id="rId9"/>
    <sheet state="visible" name="ANN" sheetId="7" r:id="rId10"/>
  </sheets>
  <definedNames/>
  <calcPr/>
</workbook>
</file>

<file path=xl/sharedStrings.xml><?xml version="1.0" encoding="utf-8"?>
<sst xmlns="http://schemas.openxmlformats.org/spreadsheetml/2006/main" count="3720" uniqueCount="216">
  <si>
    <t>Provinsi</t>
  </si>
  <si>
    <t>Tahun</t>
  </si>
  <si>
    <t>Produksi</t>
  </si>
  <si>
    <t>Luas Panen</t>
  </si>
  <si>
    <t>Curah hujan</t>
  </si>
  <si>
    <t>Kelembapan</t>
  </si>
  <si>
    <t>Suhu rata-rata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</si>
  <si>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</si>
  <si>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</si>
  <si>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</si>
  <si>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</si>
  <si>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</si>
  <si>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</si>
  <si>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</si>
  <si>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</si>
  <si>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Tabel 1 Klasifikasi Provinsi</t>
  </si>
  <si>
    <t>Tabel 2 Klasifikasi Suhu</t>
  </si>
  <si>
    <t>Tabel 3 Klasifikasi Kelembaban</t>
  </si>
  <si>
    <t>Klasifikasi</t>
  </si>
  <si>
    <t>Kelembaban</t>
  </si>
  <si>
    <t>AH</t>
  </si>
  <si>
    <t>22,19-24</t>
  </si>
  <si>
    <t>DINGIN</t>
  </si>
  <si>
    <t>54,2-65</t>
  </si>
  <si>
    <t>normal</t>
  </si>
  <si>
    <t>SU</t>
  </si>
  <si>
    <t>24-26</t>
  </si>
  <si>
    <t>SEDANG</t>
  </si>
  <si>
    <t>66-90,6</t>
  </si>
  <si>
    <t>high</t>
  </si>
  <si>
    <t>SB</t>
  </si>
  <si>
    <t>26-29,85</t>
  </si>
  <si>
    <t>PANAS</t>
  </si>
  <si>
    <t>RU</t>
  </si>
  <si>
    <t xml:space="preserve">Jambi </t>
  </si>
  <si>
    <t>JI</t>
  </si>
  <si>
    <t>SS</t>
  </si>
  <si>
    <t>BU</t>
  </si>
  <si>
    <t>Tabel 4 Klasifikasi Curah Hujan</t>
  </si>
  <si>
    <t>Tabel 5 Klasifikasi Produksi</t>
  </si>
  <si>
    <t>LG</t>
  </si>
  <si>
    <t>Curah Hujan</t>
  </si>
  <si>
    <t>&gt;=222,5-(&lt;=500)</t>
  </si>
  <si>
    <t>rendah</t>
  </si>
  <si>
    <t>&lt;=1679700,887</t>
  </si>
  <si>
    <t>sedikit</t>
  </si>
  <si>
    <t>&gt;500-(&lt;=1000)</t>
  </si>
  <si>
    <t xml:space="preserve">sedang </t>
  </si>
  <si>
    <t>&gt;=1679700,887</t>
  </si>
  <si>
    <t>banyak</t>
  </si>
  <si>
    <t>&gt;1000-(&lt;=2000)</t>
  </si>
  <si>
    <t>tinggi</t>
  </si>
  <si>
    <t>&gt;2000</t>
  </si>
  <si>
    <t>sangat tinggi</t>
  </si>
  <si>
    <t>Tabel 6 Klasifikasi Luas Panen</t>
  </si>
  <si>
    <t>&lt;=374349,9669</t>
  </si>
  <si>
    <t>sempit</t>
  </si>
  <si>
    <t>&gt;=374349,9669</t>
  </si>
  <si>
    <t>luas</t>
  </si>
  <si>
    <t>SEDIKIT</t>
  </si>
  <si>
    <t>SEMPIT</t>
  </si>
  <si>
    <t>TINGGI</t>
  </si>
  <si>
    <t>HIGH</t>
  </si>
  <si>
    <t>BANYAK</t>
  </si>
  <si>
    <t>LUAS</t>
  </si>
  <si>
    <t>SANGAT TINGGI</t>
  </si>
  <si>
    <t>RENDAH</t>
  </si>
  <si>
    <t>NORMAL</t>
  </si>
  <si>
    <t>Tahap 1 : Menghitung Nilai Entropy Total Seluruh Data Berdasarkan Kategori Label Produksinya</t>
  </si>
  <si>
    <t>atribut</t>
  </si>
  <si>
    <t>jumlah</t>
  </si>
  <si>
    <t>entropy</t>
  </si>
  <si>
    <t>Total</t>
  </si>
  <si>
    <t>Tahap 2 : Menghitung Nilai Entropy Untuk Masing-Masing Atribut Berdasarkan Produksinya</t>
  </si>
  <si>
    <t>dan info gain pada satu atribut</t>
  </si>
  <si>
    <t>Info Gain</t>
  </si>
  <si>
    <t>Split Info</t>
  </si>
  <si>
    <t>Gain Ratio</t>
  </si>
  <si>
    <t>Luas panen</t>
  </si>
  <si>
    <t>sedang</t>
  </si>
  <si>
    <t>dingin</t>
  </si>
  <si>
    <t>panas</t>
  </si>
  <si>
    <t>Tahap 3 : Menentukan Node Cabang</t>
  </si>
  <si>
    <t>disini contoh perhitungan kami hanya pada provinsi aceh saja</t>
  </si>
  <si>
    <t>Tahap 4 : Menentukan Node Cabang</t>
  </si>
  <si>
    <t>karena, jika diteruskan akan menghasilkan nol baik entropy maupun info gain maka perhitungan cukup sampai pada cabang node ini.</t>
  </si>
  <si>
    <t xml:space="preserve">PERHITUNGAN MANUAL ARTIFICIAL NEURAL NETWORK PENERAPAN PREDIKSI PRODUKSI TANAMAN PADI </t>
  </si>
  <si>
    <t>Data Awal Sebenarnya</t>
  </si>
  <si>
    <t>Pada perhitungan manual ini, digunakan sample hasil produksi di Provinsi Aceh saja dari tahun 1993 - 2019</t>
  </si>
  <si>
    <t>1. Data Awal Dilakukan Untuk Mencari Target</t>
  </si>
  <si>
    <t>No</t>
  </si>
  <si>
    <t>x1</t>
  </si>
  <si>
    <t>x2</t>
  </si>
  <si>
    <t>y</t>
  </si>
  <si>
    <t>TRAINING DATA</t>
  </si>
  <si>
    <t>TESTING DATA</t>
  </si>
  <si>
    <t>-</t>
  </si>
  <si>
    <t>PREDIKSI</t>
  </si>
  <si>
    <t>2. Normalisasi Data</t>
  </si>
  <si>
    <t>MAX</t>
  </si>
  <si>
    <t>a</t>
  </si>
  <si>
    <t>MIN</t>
  </si>
  <si>
    <t>b</t>
  </si>
  <si>
    <t>INTERVAL</t>
  </si>
  <si>
    <t>3. Training Data</t>
  </si>
  <si>
    <t>- Data Awal</t>
  </si>
  <si>
    <t>- Inisialisasi Bobot (Nilai Random) Awal</t>
  </si>
  <si>
    <t>INPUT</t>
  </si>
  <si>
    <t>HIDDEN</t>
  </si>
  <si>
    <t>OUTPUT</t>
  </si>
  <si>
    <t>INPUT HIDDEN LAYER</t>
  </si>
  <si>
    <t>BOBOT</t>
  </si>
  <si>
    <t>Z1</t>
  </si>
  <si>
    <t>Z2</t>
  </si>
  <si>
    <t>V1</t>
  </si>
  <si>
    <t>V2</t>
  </si>
  <si>
    <t>V3</t>
  </si>
  <si>
    <t>V4</t>
  </si>
  <si>
    <t>HIDDEN LAYER KE OUTPUT</t>
  </si>
  <si>
    <t>W1</t>
  </si>
  <si>
    <t>W2</t>
  </si>
  <si>
    <t>W3</t>
  </si>
  <si>
    <t>W4</t>
  </si>
  <si>
    <t>Y</t>
  </si>
  <si>
    <t>BIAS INPUT KE HIDDEN</t>
  </si>
  <si>
    <t xml:space="preserve">BIAS </t>
  </si>
  <si>
    <t>BIAS HIDDEN KE OUTPUT</t>
  </si>
  <si>
    <t>BIAS</t>
  </si>
  <si>
    <t>4. PELATIHAN EPOCH KE 1</t>
  </si>
  <si>
    <t xml:space="preserve">LEARNING RATE </t>
  </si>
  <si>
    <t>- Tahap Forward</t>
  </si>
  <si>
    <t>1. Operasi Pada Hidden Layer</t>
  </si>
  <si>
    <t>Persamaan 1</t>
  </si>
  <si>
    <t>Persamaan 2</t>
  </si>
  <si>
    <t>&gt;&gt; Penjumlahan Bobot (Dengan Rumus Persamaan 1)</t>
  </si>
  <si>
    <t>Z_in1</t>
  </si>
  <si>
    <t>Z_in2</t>
  </si>
  <si>
    <t>Z_in3</t>
  </si>
  <si>
    <t>Z_in4</t>
  </si>
  <si>
    <t>&gt;&gt; Pengaktifan Bobot (Dengan rumus persamaan 2)</t>
  </si>
  <si>
    <t>Z3</t>
  </si>
  <si>
    <t>Z4</t>
  </si>
  <si>
    <t>2. Operasi Pada Output Layer</t>
  </si>
  <si>
    <t>Persamaan 3</t>
  </si>
  <si>
    <t>Persamaan 4</t>
  </si>
  <si>
    <t>&gt;&gt; Perkalian Bobot (Dengan Rumus Persamaan 3)</t>
  </si>
  <si>
    <t xml:space="preserve">y_in </t>
  </si>
  <si>
    <t>&gt;&gt;Pengaktifan Bobot (Dengan Rumus Persamaan 3)</t>
  </si>
  <si>
    <t>yk</t>
  </si>
  <si>
    <t>3. Tahap Backpropagation</t>
  </si>
  <si>
    <t>&gt;&gt; Hitung faktor kesalahan</t>
  </si>
  <si>
    <t xml:space="preserve">ERROR = TARGET - Y </t>
  </si>
  <si>
    <t>KUADRAT ERROR</t>
  </si>
  <si>
    <t>LAMDA K</t>
  </si>
  <si>
    <t xml:space="preserve">&gt;&gt; Koneksi Bobot pada unit k </t>
  </si>
  <si>
    <t>AW0</t>
  </si>
  <si>
    <t>AW1</t>
  </si>
  <si>
    <t>AW2</t>
  </si>
  <si>
    <t>AW3</t>
  </si>
  <si>
    <t>AW4</t>
  </si>
  <si>
    <t>&gt;&gt;Perbaharui Bobot</t>
  </si>
  <si>
    <t>lambda_in1</t>
  </si>
  <si>
    <t>lambda_in2</t>
  </si>
  <si>
    <t>lambda_in3</t>
  </si>
  <si>
    <t>lambda_in4</t>
  </si>
  <si>
    <t>lamda1</t>
  </si>
  <si>
    <t>lamda2</t>
  </si>
  <si>
    <t>lamda3</t>
  </si>
  <si>
    <t>lamda4</t>
  </si>
  <si>
    <t>&gt;&gt;Perbaharui Bobot Setiap Unit Keluaran</t>
  </si>
  <si>
    <t>deltaV1</t>
  </si>
  <si>
    <t>deltaV2</t>
  </si>
  <si>
    <t>deltaV3</t>
  </si>
  <si>
    <t>deltaV4</t>
  </si>
  <si>
    <t>&gt;&gt; Tabel Perubahan Bobot Input Menuju Hidden</t>
  </si>
  <si>
    <t>&gt;&gt; Perbaharui Bobot Awal Input</t>
  </si>
  <si>
    <t>Tabel Input Bobot Input menuju Hidden</t>
  </si>
  <si>
    <t>v1</t>
  </si>
  <si>
    <t>v2</t>
  </si>
  <si>
    <t>v3</t>
  </si>
  <si>
    <t>v4</t>
  </si>
  <si>
    <t>Tabel Perubahan Bobot Median ke Output</t>
  </si>
  <si>
    <t>v</t>
  </si>
  <si>
    <t>Tabel Perubahan Bobot Hidden ke Output</t>
  </si>
  <si>
    <t>Bias</t>
  </si>
  <si>
    <t>Wk</t>
  </si>
  <si>
    <t>5. TESTING DATA</t>
  </si>
  <si>
    <t>1. Data Bobot dan Bias Terupdate</t>
  </si>
  <si>
    <t>BOBOT BARU INPUT MENUJU HIDDEN</t>
  </si>
  <si>
    <t>BOBOT BARU HIDDEN KE OUTPUT</t>
  </si>
  <si>
    <t>BOBOT BIAS BARU KE HIDDEN</t>
  </si>
  <si>
    <t>BOBOT BIAS BARU INPUT</t>
  </si>
  <si>
    <t>2. Data Testing yang dicari</t>
  </si>
  <si>
    <t>DATA TESTING PERIODE 2</t>
  </si>
  <si>
    <t>DATA TESTING PERIODE 3</t>
  </si>
  <si>
    <t>DATA TESTING PERIODE 4</t>
  </si>
  <si>
    <t>PERIODE</t>
  </si>
  <si>
    <t>&gt;&gt;Penjumlahan Bobot</t>
  </si>
  <si>
    <t>Z_int1</t>
  </si>
  <si>
    <t>Z_int2</t>
  </si>
  <si>
    <t>Z_int3</t>
  </si>
  <si>
    <t>Z_int4</t>
  </si>
  <si>
    <t>&gt;&gt;Pengaktifan Bobot</t>
  </si>
  <si>
    <t>&gt;&gt;Perkalian Bobot</t>
  </si>
  <si>
    <t>y_in</t>
  </si>
  <si>
    <t xml:space="preserve">&gt;&gt;Denormalisasi </t>
  </si>
  <si>
    <t>Yk</t>
  </si>
  <si>
    <t>HASIL</t>
  </si>
  <si>
    <t>TARGET</t>
  </si>
  <si>
    <t>ERROR</t>
  </si>
  <si>
    <t>HASIL PREDIKSI</t>
  </si>
  <si>
    <t>DATA AKTUAL</t>
  </si>
  <si>
    <t>SELISIH</t>
  </si>
  <si>
    <t>AKURASI</t>
  </si>
  <si>
    <t>MSE</t>
  </si>
  <si>
    <t>HASIL MEMENUHI SETELAH DILAKUKAN PERULANAGAN EPOCH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</si>
</sst>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  <font>
      <color rgb="FF3266D5"/>
      <name val="Inconsolata"/>
    </font>
    <font>
      <b/>
      <color theme="1"/>
      <name val="Calibri"/>
      <scheme val="minor"/>
    </font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Calibri"/>
      <scheme val="minor"/>
    </font>
    <font>
      <sz val="14.0"/>
      <color theme="1"/>
      <name val="Calibri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EA9999"/>
        <bgColor rgb="FFEA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left" readingOrder="0" shrinkToFit="0" wrapText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3" fontId="7" numFmtId="0" xfId="0" applyAlignment="1" applyFill="1" applyFont="1">
      <alignment horizontal="center" readingOrder="0" shrinkToFit="0" wrapText="0"/>
    </xf>
    <xf borderId="0" fillId="0" fontId="6" numFmtId="0" xfId="0" applyAlignment="1" applyFont="1">
      <alignment horizontal="left" readingOrder="0" vertical="center"/>
    </xf>
    <xf borderId="0" fillId="2" fontId="7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0" fillId="4" fontId="7" numFmtId="0" xfId="0" applyAlignment="1" applyFill="1" applyFont="1">
      <alignment horizontal="center" readingOrder="0" vertical="center"/>
    </xf>
    <xf borderId="0" fillId="4" fontId="7" numFmtId="0" xfId="0" applyAlignment="1" applyFont="1">
      <alignment horizontal="center"/>
    </xf>
    <xf borderId="0" fillId="5" fontId="7" numFmtId="0" xfId="0" applyAlignment="1" applyFill="1" applyFont="1">
      <alignment horizontal="center"/>
    </xf>
    <xf borderId="0" fillId="6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7" fontId="7" numFmtId="0" xfId="0" applyAlignment="1" applyFill="1" applyFont="1">
      <alignment horizontal="center" readingOrder="0" vertical="center"/>
    </xf>
    <xf borderId="0" fillId="7" fontId="7" numFmtId="0" xfId="0" applyAlignment="1" applyFont="1">
      <alignment horizontal="center"/>
    </xf>
    <xf borderId="0" fillId="6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7" numFmtId="0" xfId="0" applyAlignment="1" applyFont="1">
      <alignment horizontal="center" readingOrder="0"/>
    </xf>
    <xf borderId="0" fillId="4" fontId="7" numFmtId="0" xfId="0" applyAlignment="1" applyFont="1">
      <alignment horizontal="center" shrinkToFit="0" wrapText="0"/>
    </xf>
    <xf borderId="0" fillId="6" fontId="8" numFmtId="0" xfId="0" applyAlignment="1" applyFont="1">
      <alignment horizontal="center"/>
    </xf>
    <xf borderId="0" fillId="4" fontId="7" numFmtId="0" xfId="0" applyAlignment="1" applyFont="1">
      <alignment horizontal="center" readingOrder="0"/>
    </xf>
    <xf borderId="0" fillId="4" fontId="1" numFmtId="0" xfId="0" applyFont="1"/>
    <xf borderId="0" fillId="2" fontId="2" numFmtId="0" xfId="0" applyAlignment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9" fontId="1" numFmtId="0" xfId="0" applyBorder="1" applyFill="1" applyFont="1"/>
    <xf borderId="0" fillId="10" fontId="1" numFmtId="0" xfId="0" applyFill="1" applyFont="1"/>
    <xf borderId="1" fillId="0" fontId="1" numFmtId="0" xfId="0" applyBorder="1" applyFont="1"/>
    <xf borderId="1" fillId="11" fontId="1" numFmtId="0" xfId="0" applyAlignment="1" applyBorder="1" applyFill="1" applyFont="1">
      <alignment readingOrder="0"/>
    </xf>
    <xf borderId="1" fillId="11" fontId="1" numFmtId="0" xfId="0" applyBorder="1" applyFont="1"/>
    <xf borderId="1" fillId="12" fontId="1" numFmtId="0" xfId="0" applyAlignment="1" applyBorder="1" applyFill="1" applyFont="1">
      <alignment readingOrder="0"/>
    </xf>
    <xf borderId="1" fillId="13" fontId="1" numFmtId="0" xfId="0" applyAlignment="1" applyBorder="1" applyFill="1" applyFont="1">
      <alignment horizontal="center" readingOrder="0"/>
    </xf>
    <xf borderId="1" fillId="1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  <xf borderId="1" fillId="15" fontId="1" numFmtId="0" xfId="0" applyAlignment="1" applyBorder="1" applyFill="1" applyFont="1">
      <alignment horizontal="center"/>
    </xf>
    <xf borderId="1" fillId="16" fontId="1" numFmtId="0" xfId="0" applyAlignment="1" applyBorder="1" applyFill="1" applyFont="1">
      <alignment horizontal="center"/>
    </xf>
    <xf borderId="1" fillId="16" fontId="1" numFmtId="0" xfId="0" applyAlignment="1" applyBorder="1" applyFont="1">
      <alignment horizontal="center" readingOrder="0"/>
    </xf>
    <xf borderId="1" fillId="11" fontId="1" numFmtId="0" xfId="0" applyAlignment="1" applyBorder="1" applyFont="1">
      <alignment horizontal="center" readingOrder="0"/>
    </xf>
    <xf borderId="1" fillId="17" fontId="1" numFmtId="0" xfId="0" applyAlignment="1" applyBorder="1" applyFill="1" applyFont="1">
      <alignment horizontal="center" readingOrder="0"/>
    </xf>
    <xf borderId="1" fillId="0" fontId="1" numFmtId="4" xfId="0" applyAlignment="1" applyBorder="1" applyFont="1" applyNumberFormat="1">
      <alignment horizontal="center"/>
    </xf>
    <xf borderId="1" fillId="10" fontId="1" numFmtId="4" xfId="0" applyAlignment="1" applyBorder="1" applyFont="1" applyNumberFormat="1">
      <alignment horizontal="center"/>
    </xf>
    <xf borderId="0" fillId="18" fontId="1" numFmtId="0" xfId="0" applyAlignment="1" applyFill="1" applyFont="1">
      <alignment horizontal="center" readingOrder="0"/>
    </xf>
    <xf borderId="0" fillId="19" fontId="1" numFmtId="0" xfId="0" applyAlignment="1" applyFill="1" applyFont="1">
      <alignment horizontal="center" readingOrder="0"/>
    </xf>
    <xf borderId="0" fillId="0" fontId="1" numFmtId="4" xfId="0" applyAlignment="1" applyFont="1" applyNumberFormat="1">
      <alignment horizontal="center"/>
    </xf>
    <xf borderId="0" fillId="9" fontId="1" numFmtId="0" xfId="0" applyAlignment="1" applyFont="1">
      <alignment readingOrder="0"/>
    </xf>
    <xf borderId="0" fillId="20" fontId="1" numFmtId="0" xfId="0" applyAlignment="1" applyFill="1" applyFont="1">
      <alignment readingOrder="0"/>
    </xf>
    <xf borderId="0" fillId="21" fontId="1" numFmtId="0" xfId="0" applyAlignment="1" applyFill="1" applyFont="1">
      <alignment readingOrder="0"/>
    </xf>
    <xf borderId="0" fillId="15" fontId="1" numFmtId="0" xfId="0" applyAlignment="1" applyFont="1">
      <alignment readingOrder="0"/>
    </xf>
    <xf borderId="0" fillId="15" fontId="1" numFmtId="0" xfId="0" applyFont="1"/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15" fontId="1" numFmtId="0" xfId="0" applyAlignment="1" applyBorder="1" applyFont="1">
      <alignment readingOrder="0"/>
    </xf>
    <xf borderId="1" fillId="15" fontId="1" numFmtId="0" xfId="0" applyBorder="1" applyFont="1"/>
    <xf borderId="1" fillId="0" fontId="1" numFmtId="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4" xfId="0" applyFont="1" applyNumberFormat="1"/>
    <xf borderId="1" fillId="18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18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" fillId="0" fontId="1" numFmtId="4" xfId="0" applyBorder="1" applyFont="1" applyNumberFormat="1"/>
    <xf borderId="1" fillId="0" fontId="1" numFmtId="49" xfId="0" applyBorder="1" applyFont="1" applyNumberFormat="1"/>
    <xf borderId="1" fillId="0" fontId="1" numFmtId="10" xfId="0" applyBorder="1" applyFont="1" applyNumberFormat="1"/>
    <xf borderId="0" fillId="0" fontId="9" numFmtId="0" xfId="0" applyAlignment="1" applyFont="1">
      <alignment readingOrder="0"/>
    </xf>
    <xf borderId="1" fillId="9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1" fillId="18" fontId="1" numFmtId="10" xfId="0" applyBorder="1" applyFont="1" applyNumberFormat="1"/>
    <xf borderId="1" fillId="18" fontId="1" numFmtId="0" xfId="0" applyBorder="1" applyFont="1"/>
    <xf borderId="1" fillId="3" fontId="1" numFmtId="0" xfId="0" applyAlignment="1" applyBorder="1" applyFont="1">
      <alignment readingOrder="0"/>
    </xf>
    <xf borderId="1" fillId="21" fontId="1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9.png"/><Relationship Id="rId3" Type="http://schemas.openxmlformats.org/officeDocument/2006/relationships/image" Target="../media/image7.png"/><Relationship Id="rId4" Type="http://schemas.openxmlformats.org/officeDocument/2006/relationships/image" Target="../media/image6.png"/><Relationship Id="rId5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342900</xdr:colOff>
      <xdr:row>3</xdr:row>
      <xdr:rowOff>114300</xdr:rowOff>
    </xdr:from>
    <xdr:ext cx="3505200" cy="1266825"/>
    <xdr:pic>
      <xdr:nvPicPr>
        <xdr:cNvPr id="0" name="image4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342900</xdr:colOff>
      <xdr:row>13</xdr:row>
      <xdr:rowOff>76200</xdr:rowOff>
    </xdr:from>
    <xdr:ext cx="3609975" cy="1628775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342900</xdr:colOff>
      <xdr:row>25</xdr:row>
      <xdr:rowOff>38100</xdr:rowOff>
    </xdr:from>
    <xdr:ext cx="3771900" cy="1457325"/>
    <xdr:pic>
      <xdr:nvPicPr>
        <xdr:cNvPr id="0" name="image2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342900</xdr:colOff>
      <xdr:row>36</xdr:row>
      <xdr:rowOff>9525</xdr:rowOff>
    </xdr:from>
    <xdr:ext cx="2762250" cy="800100"/>
    <xdr:pic>
      <xdr:nvPicPr>
        <xdr:cNvPr id="0" name="image3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52</xdr:row>
      <xdr:rowOff>171450</xdr:rowOff>
    </xdr:from>
    <xdr:ext cx="1552575" cy="409575"/>
    <xdr:pic>
      <xdr:nvPicPr>
        <xdr:cNvPr id="0" name="image5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120</xdr:row>
      <xdr:rowOff>133350</xdr:rowOff>
    </xdr:from>
    <xdr:ext cx="2419350" cy="504825"/>
    <xdr:pic>
      <xdr:nvPicPr>
        <xdr:cNvPr id="0" name="image9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120</xdr:row>
      <xdr:rowOff>133350</xdr:rowOff>
    </xdr:from>
    <xdr:ext cx="2647950" cy="704850"/>
    <xdr:pic>
      <xdr:nvPicPr>
        <xdr:cNvPr id="0" name="image7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146</xdr:row>
      <xdr:rowOff>38100</xdr:rowOff>
    </xdr:from>
    <xdr:ext cx="2219325" cy="581025"/>
    <xdr:pic>
      <xdr:nvPicPr>
        <xdr:cNvPr id="0" name="image6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146</xdr:row>
      <xdr:rowOff>123825</xdr:rowOff>
    </xdr:from>
    <xdr:ext cx="1419225" cy="409575"/>
    <xdr:pic>
      <xdr:nvPicPr>
        <xdr:cNvPr id="0" name="image8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8.71"/>
    <col customWidth="1" min="3" max="3" width="17.71"/>
    <col customWidth="1" min="4" max="4" width="15.43"/>
    <col customWidth="1" min="5" max="5" width="15.29"/>
    <col customWidth="1" min="6" max="6" width="16.71"/>
    <col customWidth="1" min="7" max="7" width="17.14"/>
    <col customWidth="1" min="8" max="11" width="8.71"/>
    <col customWidth="1" min="12" max="12" width="18.86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 t="s">
        <v>7</v>
      </c>
      <c r="B2" s="1">
        <v>1993.0</v>
      </c>
      <c r="C2" s="1">
        <v>1329536.0</v>
      </c>
      <c r="D2" s="1">
        <v>323589.0</v>
      </c>
      <c r="E2" s="1">
        <v>1627.0</v>
      </c>
      <c r="F2" s="1">
        <v>82.0</v>
      </c>
      <c r="G2" s="1">
        <v>26.06</v>
      </c>
    </row>
    <row r="3" ht="14.25" customHeight="1">
      <c r="A3" s="1" t="s">
        <v>7</v>
      </c>
      <c r="B3" s="1">
        <v>1994.0</v>
      </c>
      <c r="C3" s="1">
        <v>1299699.0</v>
      </c>
      <c r="D3" s="1">
        <v>329041.0</v>
      </c>
      <c r="E3" s="1">
        <v>1521.0</v>
      </c>
      <c r="F3" s="1">
        <v>82.12</v>
      </c>
      <c r="G3" s="1">
        <v>26.92</v>
      </c>
    </row>
    <row r="4" ht="14.25" customHeight="1">
      <c r="A4" s="1" t="s">
        <v>7</v>
      </c>
      <c r="B4" s="1">
        <v>1995.0</v>
      </c>
      <c r="C4" s="1">
        <v>1382905.0</v>
      </c>
      <c r="D4" s="1">
        <v>339253.0</v>
      </c>
      <c r="E4" s="1">
        <v>1476.0</v>
      </c>
      <c r="F4" s="1">
        <v>82.72</v>
      </c>
      <c r="G4" s="1">
        <v>26.27</v>
      </c>
    </row>
    <row r="5" ht="14.25" customHeight="1">
      <c r="A5" s="1" t="s">
        <v>7</v>
      </c>
      <c r="B5" s="1">
        <v>1996.0</v>
      </c>
      <c r="C5" s="1">
        <v>1419128.0</v>
      </c>
      <c r="D5" s="1">
        <v>348223.0</v>
      </c>
      <c r="E5" s="1">
        <v>1557.0</v>
      </c>
      <c r="F5" s="1">
        <v>83.0</v>
      </c>
      <c r="G5" s="1">
        <v>26.08</v>
      </c>
    </row>
    <row r="6" ht="14.25" customHeight="1">
      <c r="A6" s="1" t="s">
        <v>7</v>
      </c>
      <c r="B6" s="1">
        <v>1997.0</v>
      </c>
      <c r="C6" s="1">
        <v>1368074.0</v>
      </c>
      <c r="D6" s="1">
        <v>337561.0</v>
      </c>
      <c r="E6" s="1">
        <v>1339.0</v>
      </c>
      <c r="F6" s="1">
        <v>82.46</v>
      </c>
      <c r="G6" s="1">
        <v>26.31</v>
      </c>
    </row>
    <row r="7" ht="14.25" customHeight="1">
      <c r="A7" s="1" t="s">
        <v>7</v>
      </c>
      <c r="B7" s="1">
        <v>1998.0</v>
      </c>
      <c r="C7" s="1">
        <v>1404580.0</v>
      </c>
      <c r="D7" s="1">
        <v>365892.0</v>
      </c>
      <c r="E7" s="1">
        <v>1465.0</v>
      </c>
      <c r="F7" s="1">
        <v>82.6</v>
      </c>
      <c r="G7" s="1">
        <v>26.84</v>
      </c>
    </row>
    <row r="8" ht="14.25" customHeight="1">
      <c r="A8" s="1" t="s">
        <v>7</v>
      </c>
      <c r="B8" s="1">
        <v>1999.0</v>
      </c>
      <c r="C8" s="1">
        <v>1478712.0</v>
      </c>
      <c r="D8" s="1">
        <v>359817.0</v>
      </c>
      <c r="E8" s="1">
        <v>1778.0</v>
      </c>
      <c r="F8" s="1">
        <v>82.79</v>
      </c>
      <c r="G8" s="1">
        <v>26.14</v>
      </c>
    </row>
    <row r="9" ht="14.25" customHeight="1">
      <c r="A9" s="1" t="s">
        <v>7</v>
      </c>
      <c r="B9" s="1">
        <v>2000.0</v>
      </c>
      <c r="C9" s="1">
        <v>1486909.0</v>
      </c>
      <c r="D9" s="1">
        <v>336765.0</v>
      </c>
      <c r="E9" s="1">
        <v>1974.7</v>
      </c>
      <c r="F9" s="1">
        <v>90.6</v>
      </c>
      <c r="G9" s="1">
        <v>27.1</v>
      </c>
      <c r="O9" s="2"/>
    </row>
    <row r="10" ht="14.25" customHeight="1">
      <c r="A10" s="1" t="s">
        <v>7</v>
      </c>
      <c r="B10" s="1">
        <v>2001.0</v>
      </c>
      <c r="C10" s="1">
        <v>1547499.0</v>
      </c>
      <c r="D10" s="1">
        <v>295212.0</v>
      </c>
      <c r="E10" s="1">
        <v>1688.7</v>
      </c>
      <c r="F10" s="1">
        <v>69.48</v>
      </c>
      <c r="G10" s="1">
        <v>28.9</v>
      </c>
    </row>
    <row r="11" ht="14.25" customHeight="1">
      <c r="A11" s="1" t="s">
        <v>7</v>
      </c>
      <c r="B11" s="1">
        <v>2002.0</v>
      </c>
      <c r="C11" s="1">
        <v>1314165.0</v>
      </c>
      <c r="D11" s="1">
        <v>315131.0</v>
      </c>
      <c r="E11" s="1">
        <v>1296.8</v>
      </c>
      <c r="F11" s="1">
        <v>68.75</v>
      </c>
      <c r="G11" s="1">
        <v>29.2</v>
      </c>
    </row>
    <row r="12" ht="14.25" customHeight="1">
      <c r="A12" s="1" t="s">
        <v>7</v>
      </c>
      <c r="B12" s="1">
        <v>2003.0</v>
      </c>
      <c r="C12" s="1">
        <v>1246614.0</v>
      </c>
      <c r="D12" s="1">
        <v>367636.0</v>
      </c>
      <c r="E12" s="1">
        <v>1507.2</v>
      </c>
      <c r="F12" s="1">
        <v>70.66</v>
      </c>
      <c r="G12" s="1">
        <v>29.4</v>
      </c>
    </row>
    <row r="13" ht="14.25" customHeight="1">
      <c r="A13" s="1" t="s">
        <v>7</v>
      </c>
      <c r="B13" s="1">
        <v>2004.0</v>
      </c>
      <c r="C13" s="1">
        <v>1350748.0</v>
      </c>
      <c r="D13" s="1">
        <v>370966.0</v>
      </c>
      <c r="E13" s="1">
        <v>1097.0</v>
      </c>
      <c r="F13" s="1">
        <v>80.84</v>
      </c>
      <c r="G13" s="1">
        <v>29.4</v>
      </c>
    </row>
    <row r="14" ht="14.25" customHeight="1">
      <c r="A14" s="1" t="s">
        <v>7</v>
      </c>
      <c r="B14" s="1">
        <v>2005.0</v>
      </c>
      <c r="C14" s="1">
        <v>1411650.0</v>
      </c>
      <c r="D14" s="1">
        <v>337893.0</v>
      </c>
      <c r="E14" s="1">
        <v>710.5</v>
      </c>
      <c r="F14" s="1">
        <v>79.5</v>
      </c>
      <c r="G14" s="1">
        <v>26.8</v>
      </c>
    </row>
    <row r="15" ht="14.25" customHeight="1">
      <c r="A15" s="1" t="s">
        <v>7</v>
      </c>
      <c r="B15" s="1">
        <v>2006.0</v>
      </c>
      <c r="C15" s="1">
        <v>1552078.0</v>
      </c>
      <c r="D15" s="1">
        <v>320789.0</v>
      </c>
      <c r="E15" s="1">
        <v>506.5</v>
      </c>
      <c r="F15" s="1">
        <v>80.8</v>
      </c>
      <c r="G15" s="1">
        <v>26.73</v>
      </c>
      <c r="K15" s="3"/>
    </row>
    <row r="16" ht="14.25" customHeight="1">
      <c r="A16" s="1" t="s">
        <v>7</v>
      </c>
      <c r="B16" s="1">
        <v>2007.0</v>
      </c>
      <c r="C16" s="1">
        <v>1556858.0</v>
      </c>
      <c r="D16" s="1">
        <v>360717.0</v>
      </c>
      <c r="E16" s="1">
        <v>1414.0</v>
      </c>
      <c r="F16" s="1">
        <v>81.5</v>
      </c>
      <c r="G16" s="1">
        <v>26.38</v>
      </c>
    </row>
    <row r="17" ht="14.25" customHeight="1">
      <c r="A17" s="1" t="s">
        <v>7</v>
      </c>
      <c r="B17" s="1">
        <v>2008.0</v>
      </c>
      <c r="C17" s="1">
        <v>1402287.0</v>
      </c>
      <c r="D17" s="1">
        <v>329109.0</v>
      </c>
      <c r="E17" s="1">
        <v>1270.4</v>
      </c>
      <c r="F17" s="1">
        <v>78.5</v>
      </c>
      <c r="G17" s="1">
        <v>27.0</v>
      </c>
    </row>
    <row r="18" ht="14.25" customHeight="1">
      <c r="A18" s="1" t="s">
        <v>7</v>
      </c>
      <c r="B18" s="1">
        <v>2009.0</v>
      </c>
      <c r="C18" s="1">
        <v>1533369.0</v>
      </c>
      <c r="D18" s="1">
        <v>359375.0</v>
      </c>
      <c r="E18" s="1">
        <v>1577.0</v>
      </c>
      <c r="F18" s="1">
        <v>78.7</v>
      </c>
      <c r="G18" s="1">
        <v>26.9</v>
      </c>
    </row>
    <row r="19" ht="14.25" customHeight="1">
      <c r="A19" s="1" t="s">
        <v>7</v>
      </c>
      <c r="B19" s="1">
        <v>2010.0</v>
      </c>
      <c r="C19" s="1">
        <v>1788738.0</v>
      </c>
      <c r="D19" s="1">
        <v>352281.0</v>
      </c>
      <c r="E19" s="1">
        <v>1986.0</v>
      </c>
      <c r="F19" s="1">
        <v>81.4</v>
      </c>
      <c r="G19" s="1">
        <v>27.1</v>
      </c>
    </row>
    <row r="20" ht="14.25" customHeight="1">
      <c r="A20" s="1" t="s">
        <v>7</v>
      </c>
      <c r="B20" s="1">
        <v>2011.0</v>
      </c>
      <c r="C20" s="1">
        <v>1772962.0</v>
      </c>
      <c r="D20" s="1">
        <v>380686.0</v>
      </c>
      <c r="E20" s="1">
        <v>1268.0</v>
      </c>
      <c r="F20" s="1">
        <v>79.4</v>
      </c>
      <c r="G20" s="1">
        <v>27.1</v>
      </c>
    </row>
    <row r="21" ht="14.25" customHeight="1">
      <c r="A21" s="1" t="s">
        <v>7</v>
      </c>
      <c r="B21" s="1">
        <v>2012.0</v>
      </c>
      <c r="C21" s="1">
        <v>1582393.0</v>
      </c>
      <c r="D21" s="1">
        <v>387803.0</v>
      </c>
      <c r="E21" s="1">
        <v>1098.0</v>
      </c>
      <c r="F21" s="1">
        <v>79.6</v>
      </c>
      <c r="G21" s="1">
        <v>26.9</v>
      </c>
    </row>
    <row r="22" ht="14.25" customHeight="1">
      <c r="A22" s="1" t="s">
        <v>7</v>
      </c>
      <c r="B22" s="1">
        <v>2013.0</v>
      </c>
      <c r="C22" s="1">
        <v>2331046.0</v>
      </c>
      <c r="D22" s="1">
        <v>419183.0</v>
      </c>
      <c r="E22" s="1">
        <v>1623.6</v>
      </c>
      <c r="F22" s="1">
        <v>80.7</v>
      </c>
      <c r="G22" s="1">
        <v>27.0</v>
      </c>
    </row>
    <row r="23" ht="14.25" customHeight="1">
      <c r="A23" s="1" t="s">
        <v>7</v>
      </c>
      <c r="B23" s="1">
        <v>2014.0</v>
      </c>
      <c r="C23" s="1">
        <v>1820062.0</v>
      </c>
      <c r="D23" s="1">
        <v>376137.0</v>
      </c>
      <c r="E23" s="1">
        <v>2264.4</v>
      </c>
      <c r="F23" s="1">
        <v>78.3</v>
      </c>
      <c r="G23" s="1">
        <v>27.1</v>
      </c>
    </row>
    <row r="24" ht="14.25" customHeight="1">
      <c r="A24" s="1" t="s">
        <v>7</v>
      </c>
      <c r="B24" s="1">
        <v>2015.0</v>
      </c>
      <c r="C24" s="1">
        <v>1956940.0</v>
      </c>
      <c r="D24" s="1">
        <v>461060.0</v>
      </c>
      <c r="E24" s="1">
        <v>1575.0</v>
      </c>
      <c r="F24" s="1">
        <v>80.0</v>
      </c>
      <c r="G24" s="1">
        <v>27.1</v>
      </c>
    </row>
    <row r="25" ht="14.25" customHeight="1">
      <c r="A25" s="1" t="s">
        <v>7</v>
      </c>
      <c r="B25" s="1">
        <v>2016.0</v>
      </c>
      <c r="C25" s="1">
        <v>2180754.0</v>
      </c>
      <c r="D25" s="1">
        <v>293067.0</v>
      </c>
      <c r="E25" s="1">
        <v>1096.0</v>
      </c>
      <c r="F25" s="1">
        <v>83.32</v>
      </c>
      <c r="G25" s="1">
        <v>27.12</v>
      </c>
    </row>
    <row r="26" ht="14.25" customHeight="1">
      <c r="A26" s="1" t="s">
        <v>7</v>
      </c>
      <c r="B26" s="1">
        <v>2017.0</v>
      </c>
      <c r="C26" s="1">
        <v>2478922.0</v>
      </c>
      <c r="D26" s="1">
        <v>294483.0</v>
      </c>
      <c r="E26" s="1">
        <v>1905.9</v>
      </c>
      <c r="F26" s="1">
        <v>85.57</v>
      </c>
      <c r="G26" s="1">
        <v>26.51</v>
      </c>
    </row>
    <row r="27" ht="14.25" customHeight="1">
      <c r="A27" s="1" t="s">
        <v>7</v>
      </c>
      <c r="B27" s="1">
        <v>2018.0</v>
      </c>
      <c r="C27" s="1">
        <v>1751996.94</v>
      </c>
      <c r="D27" s="1">
        <v>329515.78</v>
      </c>
      <c r="E27" s="1">
        <v>1427.8</v>
      </c>
      <c r="F27" s="1">
        <v>83.98</v>
      </c>
      <c r="G27" s="1">
        <v>26.48</v>
      </c>
    </row>
    <row r="28" ht="14.25" customHeight="1">
      <c r="A28" s="1" t="s">
        <v>7</v>
      </c>
      <c r="B28" s="1">
        <v>2019.0</v>
      </c>
      <c r="C28" s="1">
        <v>1714437.6</v>
      </c>
      <c r="D28" s="1">
        <v>310012.46</v>
      </c>
      <c r="E28" s="1">
        <v>1931.4</v>
      </c>
      <c r="F28" s="1">
        <v>83.9</v>
      </c>
      <c r="G28" s="1">
        <v>26.65</v>
      </c>
    </row>
    <row r="29" ht="14.25" customHeight="1">
      <c r="A29" s="1" t="s">
        <v>7</v>
      </c>
      <c r="B29" s="1">
        <v>2020.0</v>
      </c>
      <c r="C29" s="1">
        <v>1861567.1</v>
      </c>
      <c r="D29" s="1">
        <v>317869.41</v>
      </c>
      <c r="E29" s="1">
        <v>1619.2</v>
      </c>
      <c r="F29" s="1">
        <v>80.82</v>
      </c>
      <c r="G29" s="1">
        <v>25.41</v>
      </c>
      <c r="L29" s="4"/>
    </row>
    <row r="30" ht="14.25" customHeight="1">
      <c r="A30" s="1" t="s">
        <v>8</v>
      </c>
      <c r="B30" s="1">
        <v>1993.0</v>
      </c>
      <c r="C30" s="1">
        <v>2918152.0</v>
      </c>
      <c r="D30" s="1">
        <v>754569.0</v>
      </c>
      <c r="E30" s="1">
        <v>2549.4</v>
      </c>
      <c r="F30" s="1">
        <v>83.8</v>
      </c>
      <c r="G30" s="1">
        <v>26.45</v>
      </c>
    </row>
    <row r="31" ht="14.25" customHeight="1">
      <c r="A31" s="1" t="s">
        <v>8</v>
      </c>
      <c r="B31" s="1">
        <v>1994.0</v>
      </c>
      <c r="C31" s="1">
        <v>3079960.0</v>
      </c>
      <c r="D31" s="1">
        <v>792534.0</v>
      </c>
      <c r="E31" s="1">
        <v>2166.5</v>
      </c>
      <c r="F31" s="1">
        <v>83.79</v>
      </c>
      <c r="G31" s="1">
        <v>26.4</v>
      </c>
    </row>
    <row r="32" ht="14.25" customHeight="1">
      <c r="A32" s="1" t="s">
        <v>8</v>
      </c>
      <c r="B32" s="1">
        <v>1995.0</v>
      </c>
      <c r="C32" s="1">
        <v>3134533.0</v>
      </c>
      <c r="D32" s="1">
        <v>795183.0</v>
      </c>
      <c r="E32" s="1">
        <v>2917.1</v>
      </c>
      <c r="F32" s="1">
        <v>81.68</v>
      </c>
      <c r="G32" s="1">
        <v>26.58</v>
      </c>
    </row>
    <row r="33" ht="14.25" customHeight="1">
      <c r="A33" s="1" t="s">
        <v>8</v>
      </c>
      <c r="B33" s="1">
        <v>1996.0</v>
      </c>
      <c r="C33" s="1">
        <v>3136760.0</v>
      </c>
      <c r="D33" s="1">
        <v>790051.0</v>
      </c>
      <c r="E33" s="1">
        <v>2326.5</v>
      </c>
      <c r="F33" s="1">
        <v>81.31</v>
      </c>
      <c r="G33" s="1">
        <v>26.33</v>
      </c>
    </row>
    <row r="34" ht="14.25" customHeight="1">
      <c r="A34" s="1" t="s">
        <v>8</v>
      </c>
      <c r="B34" s="1">
        <v>1997.0</v>
      </c>
      <c r="C34" s="1">
        <v>3212208.0</v>
      </c>
      <c r="D34" s="1">
        <v>797545.0</v>
      </c>
      <c r="E34" s="1">
        <v>1865.0</v>
      </c>
      <c r="F34" s="1">
        <v>81.81</v>
      </c>
      <c r="G34" s="1">
        <v>26.4</v>
      </c>
    </row>
    <row r="35" ht="14.25" customHeight="1">
      <c r="A35" s="1" t="s">
        <v>8</v>
      </c>
      <c r="B35" s="1">
        <v>1998.0</v>
      </c>
      <c r="C35" s="1">
        <v>3321049.0</v>
      </c>
      <c r="D35" s="1">
        <v>823749.0</v>
      </c>
      <c r="E35" s="1">
        <v>2496.9</v>
      </c>
      <c r="F35" s="1">
        <v>83.53</v>
      </c>
      <c r="G35" s="1">
        <v>27.16</v>
      </c>
    </row>
    <row r="36" ht="14.25" customHeight="1">
      <c r="A36" s="1" t="s">
        <v>8</v>
      </c>
      <c r="B36" s="1">
        <v>1999.0</v>
      </c>
      <c r="C36" s="1">
        <v>3451430.0</v>
      </c>
      <c r="D36" s="1">
        <v>838626.0</v>
      </c>
      <c r="E36" s="1">
        <v>3087.3</v>
      </c>
      <c r="F36" s="1">
        <v>84.56</v>
      </c>
      <c r="G36" s="1">
        <v>26.45</v>
      </c>
    </row>
    <row r="37" ht="14.25" customHeight="1">
      <c r="A37" s="1" t="s">
        <v>8</v>
      </c>
      <c r="B37" s="1">
        <v>2000.0</v>
      </c>
      <c r="C37" s="1">
        <v>3514253.0</v>
      </c>
      <c r="D37" s="1">
        <v>847610.0</v>
      </c>
      <c r="E37" s="1">
        <v>1289.5</v>
      </c>
      <c r="F37" s="1">
        <v>82.94</v>
      </c>
      <c r="G37" s="1">
        <v>27.7</v>
      </c>
    </row>
    <row r="38" ht="14.25" customHeight="1">
      <c r="A38" s="1" t="s">
        <v>8</v>
      </c>
      <c r="B38" s="1">
        <v>2001.0</v>
      </c>
      <c r="C38" s="1">
        <v>3291515.0</v>
      </c>
      <c r="D38" s="1">
        <v>801948.0</v>
      </c>
      <c r="E38" s="1">
        <v>3595.3</v>
      </c>
      <c r="F38" s="1">
        <v>72.78</v>
      </c>
      <c r="G38" s="1">
        <v>28.03</v>
      </c>
    </row>
    <row r="39" ht="14.25" customHeight="1">
      <c r="A39" s="1" t="s">
        <v>8</v>
      </c>
      <c r="B39" s="1">
        <v>2002.0</v>
      </c>
      <c r="C39" s="1">
        <v>3153305.0</v>
      </c>
      <c r="D39" s="1">
        <v>765161.0</v>
      </c>
      <c r="E39" s="1">
        <v>1944.9</v>
      </c>
      <c r="F39" s="1">
        <v>72.31</v>
      </c>
      <c r="G39" s="1">
        <v>28.45</v>
      </c>
    </row>
    <row r="40" ht="14.25" customHeight="1">
      <c r="A40" s="1" t="s">
        <v>8</v>
      </c>
      <c r="B40" s="1">
        <v>2003.0</v>
      </c>
      <c r="C40" s="1">
        <v>3403075.0</v>
      </c>
      <c r="D40" s="1">
        <v>825188.0</v>
      </c>
      <c r="E40" s="1">
        <v>3140.2</v>
      </c>
      <c r="F40" s="1">
        <v>72.08</v>
      </c>
      <c r="G40" s="1">
        <v>29.59</v>
      </c>
    </row>
    <row r="41" ht="14.25" customHeight="1">
      <c r="A41" s="1" t="s">
        <v>8</v>
      </c>
      <c r="B41" s="1">
        <v>2004.0</v>
      </c>
      <c r="C41" s="1">
        <v>3418782.0</v>
      </c>
      <c r="D41" s="1">
        <v>826091.0</v>
      </c>
      <c r="E41" s="1">
        <v>2406.9</v>
      </c>
      <c r="F41" s="1">
        <v>80.79</v>
      </c>
      <c r="G41" s="1">
        <v>29.27</v>
      </c>
    </row>
    <row r="42" ht="14.25" customHeight="1">
      <c r="A42" s="1" t="s">
        <v>8</v>
      </c>
      <c r="B42" s="1">
        <v>2005.0</v>
      </c>
      <c r="C42" s="1">
        <v>3447394.0</v>
      </c>
      <c r="D42" s="1">
        <v>822073.0</v>
      </c>
      <c r="E42" s="1">
        <v>776.7</v>
      </c>
      <c r="F42" s="1">
        <v>83.8</v>
      </c>
      <c r="G42" s="1">
        <v>27.0</v>
      </c>
    </row>
    <row r="43" ht="14.25" customHeight="1">
      <c r="A43" s="1" t="s">
        <v>8</v>
      </c>
      <c r="B43" s="1">
        <v>2006.0</v>
      </c>
      <c r="C43" s="1">
        <v>3007636.0</v>
      </c>
      <c r="D43" s="1">
        <v>705023.0</v>
      </c>
      <c r="E43" s="1">
        <v>222.5</v>
      </c>
      <c r="F43" s="1">
        <v>81.0</v>
      </c>
      <c r="G43" s="1">
        <v>27.8</v>
      </c>
    </row>
    <row r="44" ht="14.25" customHeight="1">
      <c r="A44" s="1" t="s">
        <v>8</v>
      </c>
      <c r="B44" s="1">
        <v>2007.0</v>
      </c>
      <c r="C44" s="1">
        <v>3265834.0</v>
      </c>
      <c r="D44" s="1">
        <v>750232.0</v>
      </c>
      <c r="E44" s="1">
        <v>2513.0</v>
      </c>
      <c r="F44" s="1">
        <v>82.0</v>
      </c>
      <c r="G44" s="1">
        <v>27.0</v>
      </c>
    </row>
    <row r="45" ht="14.25" customHeight="1">
      <c r="A45" s="1" t="s">
        <v>8</v>
      </c>
      <c r="B45" s="1">
        <v>2008.0</v>
      </c>
      <c r="C45" s="1">
        <v>3340794.0</v>
      </c>
      <c r="D45" s="1">
        <v>748540.0</v>
      </c>
      <c r="E45" s="1">
        <v>2442.0</v>
      </c>
      <c r="F45" s="1">
        <v>81.4</v>
      </c>
      <c r="G45" s="1">
        <v>26.9</v>
      </c>
    </row>
    <row r="46" ht="14.25" customHeight="1">
      <c r="A46" s="1" t="s">
        <v>8</v>
      </c>
      <c r="B46" s="1">
        <v>2009.0</v>
      </c>
      <c r="C46" s="1">
        <v>3527899.0</v>
      </c>
      <c r="D46" s="1">
        <v>768407.0</v>
      </c>
      <c r="E46" s="1">
        <v>2184.0</v>
      </c>
      <c r="F46" s="1">
        <v>86.0</v>
      </c>
      <c r="G46" s="1">
        <v>27.1</v>
      </c>
    </row>
    <row r="47" ht="14.25" customHeight="1">
      <c r="A47" s="1" t="s">
        <v>8</v>
      </c>
      <c r="B47" s="1">
        <v>2010.0</v>
      </c>
      <c r="C47" s="1">
        <v>3582302.0</v>
      </c>
      <c r="D47" s="1">
        <v>754674.0</v>
      </c>
      <c r="E47" s="1">
        <v>1903.3</v>
      </c>
      <c r="F47" s="1">
        <v>78.55</v>
      </c>
      <c r="G47" s="1">
        <v>27.18</v>
      </c>
    </row>
    <row r="48" ht="14.25" customHeight="1">
      <c r="A48" s="1" t="s">
        <v>8</v>
      </c>
      <c r="B48" s="1">
        <v>2011.0</v>
      </c>
      <c r="C48" s="1">
        <v>3607403.0</v>
      </c>
      <c r="D48" s="1">
        <v>757547.0</v>
      </c>
      <c r="E48" s="1">
        <v>2042.0</v>
      </c>
      <c r="F48" s="1">
        <v>79.0</v>
      </c>
      <c r="G48" s="1">
        <v>27.2</v>
      </c>
    </row>
    <row r="49" ht="14.25" customHeight="1">
      <c r="A49" s="1" t="s">
        <v>8</v>
      </c>
      <c r="B49" s="1">
        <v>2012.0</v>
      </c>
      <c r="C49" s="1">
        <v>3715514.0</v>
      </c>
      <c r="D49" s="1">
        <v>765099.0</v>
      </c>
      <c r="E49" s="1">
        <v>3175.0</v>
      </c>
      <c r="F49" s="1">
        <v>76.0</v>
      </c>
      <c r="G49" s="1">
        <v>27.3</v>
      </c>
    </row>
    <row r="50" ht="14.25" customHeight="1">
      <c r="A50" s="1" t="s">
        <v>8</v>
      </c>
      <c r="B50" s="1">
        <v>2013.0</v>
      </c>
      <c r="C50" s="1">
        <v>3727249.0</v>
      </c>
      <c r="D50" s="1">
        <v>742968.0</v>
      </c>
      <c r="E50" s="1">
        <v>2627.0</v>
      </c>
      <c r="F50" s="1">
        <v>78.67</v>
      </c>
      <c r="G50" s="1">
        <v>28.8</v>
      </c>
    </row>
    <row r="51" ht="14.25" customHeight="1">
      <c r="A51" s="1" t="s">
        <v>8</v>
      </c>
      <c r="B51" s="1">
        <v>2014.0</v>
      </c>
      <c r="C51" s="1">
        <v>3631039.0</v>
      </c>
      <c r="D51" s="1">
        <v>717318.0</v>
      </c>
      <c r="E51" s="1">
        <v>2148.0</v>
      </c>
      <c r="F51" s="1">
        <v>79.0</v>
      </c>
      <c r="G51" s="1">
        <v>27.9</v>
      </c>
    </row>
    <row r="52" ht="14.25" customHeight="1">
      <c r="A52" s="1" t="s">
        <v>8</v>
      </c>
      <c r="B52" s="1">
        <v>2015.0</v>
      </c>
      <c r="C52" s="1">
        <v>4044829.0</v>
      </c>
      <c r="D52" s="1">
        <v>781769.0</v>
      </c>
      <c r="E52" s="1">
        <v>975.9</v>
      </c>
      <c r="F52" s="1">
        <v>86.9</v>
      </c>
      <c r="G52" s="1">
        <v>27.4</v>
      </c>
    </row>
    <row r="53" ht="14.25" customHeight="1">
      <c r="A53" s="1" t="s">
        <v>8</v>
      </c>
      <c r="B53" s="1">
        <v>2016.0</v>
      </c>
      <c r="C53" s="1">
        <v>4387035.9</v>
      </c>
      <c r="D53" s="1">
        <v>423029.0</v>
      </c>
      <c r="E53" s="1">
        <v>2384.0</v>
      </c>
      <c r="F53" s="1">
        <v>82.0</v>
      </c>
      <c r="G53" s="1">
        <v>27.65</v>
      </c>
    </row>
    <row r="54" ht="14.25" customHeight="1">
      <c r="A54" s="1" t="s">
        <v>8</v>
      </c>
      <c r="B54" s="1">
        <v>2017.0</v>
      </c>
      <c r="C54" s="1">
        <v>4669777.5</v>
      </c>
      <c r="D54" s="1">
        <v>415675.0</v>
      </c>
      <c r="E54" s="1">
        <v>3190.0</v>
      </c>
      <c r="F54" s="1">
        <v>84.0</v>
      </c>
      <c r="G54" s="1">
        <v>27.5</v>
      </c>
    </row>
    <row r="55" ht="14.25" customHeight="1">
      <c r="A55" s="1" t="s">
        <v>8</v>
      </c>
      <c r="B55" s="1">
        <v>2018.0</v>
      </c>
      <c r="C55" s="1">
        <v>2108284.72</v>
      </c>
      <c r="D55" s="1">
        <v>408176.45</v>
      </c>
      <c r="E55" s="1">
        <v>2431.0</v>
      </c>
      <c r="F55" s="1">
        <v>80.0</v>
      </c>
      <c r="G55" s="1">
        <v>26.41</v>
      </c>
    </row>
    <row r="56" ht="14.25" customHeight="1">
      <c r="A56" s="1" t="s">
        <v>8</v>
      </c>
      <c r="B56" s="1">
        <v>2019.0</v>
      </c>
      <c r="C56" s="1">
        <v>2078901.59</v>
      </c>
      <c r="D56" s="1">
        <v>413141.24</v>
      </c>
      <c r="E56" s="1">
        <v>1401.6</v>
      </c>
      <c r="F56" s="1">
        <v>86.53</v>
      </c>
      <c r="G56" s="1">
        <v>27.03</v>
      </c>
    </row>
    <row r="57" ht="14.25" customHeight="1">
      <c r="A57" s="1" t="s">
        <v>8</v>
      </c>
      <c r="B57" s="1">
        <v>2020.0</v>
      </c>
      <c r="C57" s="1">
        <v>2076280.01</v>
      </c>
      <c r="D57" s="1">
        <v>388591.22</v>
      </c>
      <c r="E57" s="1">
        <v>1648.3</v>
      </c>
      <c r="F57" s="1">
        <v>83.76</v>
      </c>
      <c r="G57" s="1">
        <v>25.79</v>
      </c>
    </row>
    <row r="58" ht="14.25" customHeight="1">
      <c r="A58" s="1" t="s">
        <v>9</v>
      </c>
      <c r="B58" s="1">
        <v>1993.0</v>
      </c>
      <c r="C58" s="1">
        <v>1806424.0</v>
      </c>
      <c r="D58" s="1">
        <v>394412.0</v>
      </c>
      <c r="E58" s="1">
        <v>5110.0</v>
      </c>
      <c r="F58" s="1">
        <v>89.77</v>
      </c>
      <c r="G58" s="1">
        <v>24.7</v>
      </c>
    </row>
    <row r="59" ht="14.25" customHeight="1">
      <c r="A59" s="1" t="s">
        <v>9</v>
      </c>
      <c r="B59" s="1">
        <v>1994.0</v>
      </c>
      <c r="C59" s="1">
        <v>1747543.0</v>
      </c>
      <c r="D59" s="1">
        <v>382740.0</v>
      </c>
      <c r="E59" s="1">
        <v>4869.5</v>
      </c>
      <c r="F59" s="1">
        <v>75.22</v>
      </c>
      <c r="G59" s="1">
        <v>24.49</v>
      </c>
    </row>
    <row r="60" ht="14.25" customHeight="1">
      <c r="A60" s="1" t="s">
        <v>9</v>
      </c>
      <c r="B60" s="1">
        <v>1995.0</v>
      </c>
      <c r="C60" s="1">
        <v>1829192.0</v>
      </c>
      <c r="D60" s="1">
        <v>400627.0</v>
      </c>
      <c r="E60" s="1">
        <v>5022.0</v>
      </c>
      <c r="F60" s="1">
        <v>87.68</v>
      </c>
      <c r="G60" s="1">
        <v>24.82</v>
      </c>
    </row>
    <row r="61" ht="14.25" customHeight="1">
      <c r="A61" s="1" t="s">
        <v>9</v>
      </c>
      <c r="B61" s="1">
        <v>1996.0</v>
      </c>
      <c r="C61" s="1">
        <v>1971180.0</v>
      </c>
      <c r="D61" s="1">
        <v>430343.0</v>
      </c>
      <c r="E61" s="1">
        <v>3866.0</v>
      </c>
      <c r="F61" s="1">
        <v>87.29</v>
      </c>
      <c r="G61" s="1">
        <v>24.52</v>
      </c>
    </row>
    <row r="62" ht="14.25" customHeight="1">
      <c r="A62" s="1" t="s">
        <v>9</v>
      </c>
      <c r="B62" s="1">
        <v>1997.0</v>
      </c>
      <c r="C62" s="1">
        <v>1787719.0</v>
      </c>
      <c r="D62" s="1">
        <v>395728.0</v>
      </c>
      <c r="E62" s="1">
        <v>2945.1</v>
      </c>
      <c r="F62" s="1">
        <v>87.97</v>
      </c>
      <c r="G62" s="1">
        <v>24.69</v>
      </c>
    </row>
    <row r="63" ht="14.25" customHeight="1">
      <c r="A63" s="1" t="s">
        <v>9</v>
      </c>
      <c r="B63" s="1">
        <v>1998.0</v>
      </c>
      <c r="C63" s="1">
        <v>1807622.0</v>
      </c>
      <c r="D63" s="1">
        <v>412810.0</v>
      </c>
      <c r="E63" s="1">
        <v>5522.0</v>
      </c>
      <c r="F63" s="1">
        <v>87.39</v>
      </c>
      <c r="G63" s="1">
        <v>25.04</v>
      </c>
    </row>
    <row r="64" ht="14.25" customHeight="1">
      <c r="A64" s="1" t="s">
        <v>9</v>
      </c>
      <c r="B64" s="1">
        <v>1999.0</v>
      </c>
      <c r="C64" s="1">
        <v>1897678.0</v>
      </c>
      <c r="D64" s="1">
        <v>432254.0</v>
      </c>
      <c r="E64" s="1">
        <v>4327.5</v>
      </c>
      <c r="F64" s="1">
        <v>80.89</v>
      </c>
      <c r="G64" s="1">
        <v>22.48</v>
      </c>
    </row>
    <row r="65" ht="14.25" customHeight="1">
      <c r="A65" s="1" t="s">
        <v>9</v>
      </c>
      <c r="B65" s="1">
        <v>2000.0</v>
      </c>
      <c r="C65" s="1">
        <v>1759059.0</v>
      </c>
      <c r="D65" s="1">
        <v>396919.0</v>
      </c>
      <c r="E65" s="1">
        <v>3040.6</v>
      </c>
      <c r="F65" s="1">
        <v>86.01</v>
      </c>
      <c r="G65" s="1">
        <v>25.86</v>
      </c>
    </row>
    <row r="66" ht="14.25" customHeight="1">
      <c r="A66" s="1" t="s">
        <v>9</v>
      </c>
      <c r="B66" s="1">
        <v>2001.0</v>
      </c>
      <c r="C66" s="1">
        <v>1668955.0</v>
      </c>
      <c r="D66" s="1">
        <v>376710.0</v>
      </c>
      <c r="E66" s="1">
        <v>2811.0</v>
      </c>
      <c r="F66" s="1">
        <v>71.08</v>
      </c>
      <c r="G66" s="1">
        <v>28.17</v>
      </c>
    </row>
    <row r="67" ht="14.25" customHeight="1">
      <c r="A67" s="1" t="s">
        <v>9</v>
      </c>
      <c r="B67" s="1">
        <v>2002.0</v>
      </c>
      <c r="C67" s="1">
        <v>1875834.0</v>
      </c>
      <c r="D67" s="1">
        <v>424253.0</v>
      </c>
      <c r="E67" s="1">
        <v>4241.2</v>
      </c>
      <c r="F67" s="1">
        <v>71.28</v>
      </c>
      <c r="G67" s="1">
        <v>28.19</v>
      </c>
    </row>
    <row r="68" ht="14.25" customHeight="1">
      <c r="A68" s="1" t="s">
        <v>9</v>
      </c>
      <c r="B68" s="1">
        <v>2003.0</v>
      </c>
      <c r="C68" s="1">
        <v>1823739.0</v>
      </c>
      <c r="D68" s="1">
        <v>411860.0</v>
      </c>
      <c r="E68" s="1">
        <v>4927.2</v>
      </c>
      <c r="F68" s="1">
        <v>71.91</v>
      </c>
      <c r="G68" s="1">
        <v>29.17</v>
      </c>
    </row>
    <row r="69" ht="14.25" customHeight="1">
      <c r="A69" s="1" t="s">
        <v>9</v>
      </c>
      <c r="B69" s="1">
        <v>2004.0</v>
      </c>
      <c r="C69" s="1">
        <v>1875188.0</v>
      </c>
      <c r="D69" s="1">
        <v>422582.0</v>
      </c>
      <c r="E69" s="1">
        <v>4584.2</v>
      </c>
      <c r="F69" s="1">
        <v>78.5</v>
      </c>
      <c r="G69" s="1">
        <v>29.02</v>
      </c>
    </row>
    <row r="70" ht="14.25" customHeight="1">
      <c r="A70" s="1" t="s">
        <v>9</v>
      </c>
      <c r="B70" s="1">
        <v>2005.0</v>
      </c>
      <c r="C70" s="1">
        <v>1907390.0</v>
      </c>
      <c r="D70" s="1">
        <v>426950.0</v>
      </c>
      <c r="E70" s="1">
        <v>1533.6</v>
      </c>
      <c r="F70" s="1">
        <v>78.0</v>
      </c>
      <c r="G70" s="1">
        <v>25.9</v>
      </c>
    </row>
    <row r="71" ht="14.25" customHeight="1">
      <c r="A71" s="1" t="s">
        <v>9</v>
      </c>
      <c r="B71" s="1">
        <v>2006.0</v>
      </c>
      <c r="C71" s="1">
        <v>1889489.0</v>
      </c>
      <c r="D71" s="1">
        <v>417846.0</v>
      </c>
      <c r="E71" s="1">
        <v>776.0</v>
      </c>
      <c r="F71" s="1">
        <v>79.0</v>
      </c>
      <c r="G71" s="1">
        <v>26.05</v>
      </c>
    </row>
    <row r="72" ht="14.25" customHeight="1">
      <c r="A72" s="1" t="s">
        <v>9</v>
      </c>
      <c r="B72" s="1">
        <v>2007.0</v>
      </c>
      <c r="C72" s="1">
        <v>1938120.0</v>
      </c>
      <c r="D72" s="1">
        <v>423655.0</v>
      </c>
      <c r="E72" s="1">
        <v>4329.0</v>
      </c>
      <c r="F72" s="1">
        <v>85.3</v>
      </c>
      <c r="G72" s="1">
        <v>25.7</v>
      </c>
    </row>
    <row r="73" ht="14.25" customHeight="1">
      <c r="A73" s="1" t="s">
        <v>9</v>
      </c>
      <c r="B73" s="1">
        <v>2008.0</v>
      </c>
      <c r="C73" s="1">
        <v>1965634.0</v>
      </c>
      <c r="D73" s="1">
        <v>421902.0</v>
      </c>
      <c r="E73" s="1">
        <v>2552.5</v>
      </c>
      <c r="F73" s="1">
        <v>86.2</v>
      </c>
      <c r="G73" s="1">
        <v>25.4</v>
      </c>
    </row>
    <row r="74" ht="14.25" customHeight="1">
      <c r="A74" s="1" t="s">
        <v>9</v>
      </c>
      <c r="B74" s="1">
        <v>2009.0</v>
      </c>
      <c r="C74" s="1">
        <v>2105790.0</v>
      </c>
      <c r="D74" s="1">
        <v>439542.0</v>
      </c>
      <c r="E74" s="1">
        <v>4691.0</v>
      </c>
      <c r="F74" s="1">
        <v>86.2</v>
      </c>
      <c r="G74" s="1">
        <v>25.5</v>
      </c>
    </row>
    <row r="75" ht="14.25" customHeight="1">
      <c r="A75" s="1" t="s">
        <v>9</v>
      </c>
      <c r="B75" s="1">
        <v>2010.0</v>
      </c>
      <c r="C75" s="1">
        <v>2211248.0</v>
      </c>
      <c r="D75" s="1">
        <v>460497.0</v>
      </c>
      <c r="E75" s="1">
        <v>5228.0</v>
      </c>
      <c r="F75" s="1">
        <v>87.2</v>
      </c>
      <c r="G75" s="1">
        <v>25.8</v>
      </c>
    </row>
    <row r="76" ht="14.25" customHeight="1">
      <c r="A76" s="1" t="s">
        <v>9</v>
      </c>
      <c r="B76" s="1">
        <v>2011.0</v>
      </c>
      <c r="C76" s="1">
        <v>2279602.0</v>
      </c>
      <c r="D76" s="1">
        <v>461709.0</v>
      </c>
      <c r="E76" s="1">
        <v>4959.5</v>
      </c>
      <c r="F76" s="1">
        <v>54.2</v>
      </c>
      <c r="G76" s="1">
        <v>26.0</v>
      </c>
    </row>
    <row r="77" ht="14.25" customHeight="1">
      <c r="A77" s="1" t="s">
        <v>9</v>
      </c>
      <c r="B77" s="1">
        <v>2012.0</v>
      </c>
      <c r="C77" s="1">
        <v>2368390.0</v>
      </c>
      <c r="D77" s="1">
        <v>476422.0</v>
      </c>
      <c r="E77" s="1">
        <v>4339.0</v>
      </c>
      <c r="F77" s="1">
        <v>87.0</v>
      </c>
      <c r="G77" s="1">
        <v>25.2</v>
      </c>
    </row>
    <row r="78" ht="14.25" customHeight="1">
      <c r="A78" s="1" t="s">
        <v>9</v>
      </c>
      <c r="B78" s="1">
        <v>2013.0</v>
      </c>
      <c r="C78" s="1">
        <v>2430384.0</v>
      </c>
      <c r="D78" s="1">
        <v>487820.0</v>
      </c>
      <c r="E78" s="1">
        <v>4627.9</v>
      </c>
      <c r="F78" s="1">
        <v>86.91</v>
      </c>
      <c r="G78" s="1">
        <v>25.1</v>
      </c>
    </row>
    <row r="79" ht="14.25" customHeight="1">
      <c r="A79" s="1" t="s">
        <v>9</v>
      </c>
      <c r="B79" s="1">
        <v>2014.0</v>
      </c>
      <c r="C79" s="1">
        <v>2519020.0</v>
      </c>
      <c r="D79" s="1">
        <v>503198.0</v>
      </c>
      <c r="E79" s="1">
        <v>2838.4</v>
      </c>
      <c r="F79" s="1">
        <v>85.35</v>
      </c>
      <c r="G79" s="1">
        <v>25.7</v>
      </c>
    </row>
    <row r="80" ht="14.25" customHeight="1">
      <c r="A80" s="1" t="s">
        <v>9</v>
      </c>
      <c r="B80" s="1">
        <v>2015.0</v>
      </c>
      <c r="C80" s="1">
        <v>2550609.0</v>
      </c>
      <c r="D80" s="1">
        <v>507545.0</v>
      </c>
      <c r="E80" s="1">
        <v>3548.0</v>
      </c>
      <c r="F80" s="1">
        <v>84.0</v>
      </c>
      <c r="G80" s="1">
        <v>26.5</v>
      </c>
    </row>
    <row r="81" ht="14.25" customHeight="1">
      <c r="A81" s="1" t="s">
        <v>9</v>
      </c>
      <c r="B81" s="1">
        <v>2016.0</v>
      </c>
      <c r="C81" s="1">
        <v>2487929.0</v>
      </c>
      <c r="D81" s="1">
        <v>222482.0</v>
      </c>
      <c r="E81" s="1">
        <v>4205.2</v>
      </c>
      <c r="F81" s="1">
        <v>76.49</v>
      </c>
      <c r="G81" s="1">
        <v>23.26</v>
      </c>
    </row>
    <row r="82" ht="14.25" customHeight="1">
      <c r="A82" s="1" t="s">
        <v>9</v>
      </c>
      <c r="B82" s="1">
        <v>2017.0</v>
      </c>
      <c r="C82" s="1">
        <v>2810425.0</v>
      </c>
      <c r="D82" s="1">
        <v>222021.0</v>
      </c>
      <c r="E82" s="1">
        <v>4553.0</v>
      </c>
      <c r="F82" s="1">
        <v>75.11</v>
      </c>
      <c r="G82" s="1">
        <v>22.19</v>
      </c>
    </row>
    <row r="83" ht="14.25" customHeight="1">
      <c r="A83" s="1" t="s">
        <v>9</v>
      </c>
      <c r="B83" s="1">
        <v>2018.0</v>
      </c>
      <c r="C83" s="1">
        <v>1483076.48</v>
      </c>
      <c r="D83" s="1">
        <v>313050.82</v>
      </c>
      <c r="E83" s="1">
        <v>327.33</v>
      </c>
      <c r="F83" s="1">
        <v>82.71</v>
      </c>
      <c r="G83" s="1">
        <v>26.91</v>
      </c>
    </row>
    <row r="84" ht="14.25" customHeight="1">
      <c r="A84" s="1" t="s">
        <v>9</v>
      </c>
      <c r="B84" s="1">
        <v>2019.0</v>
      </c>
      <c r="C84" s="1">
        <v>1482996.01</v>
      </c>
      <c r="D84" s="1">
        <v>311671.23</v>
      </c>
      <c r="E84" s="1">
        <v>4757.5</v>
      </c>
      <c r="F84" s="1">
        <v>87.73</v>
      </c>
      <c r="G84" s="1">
        <v>25.61</v>
      </c>
    </row>
    <row r="85" ht="14.25" customHeight="1">
      <c r="A85" s="1" t="s">
        <v>9</v>
      </c>
      <c r="B85" s="1">
        <v>2020.0</v>
      </c>
      <c r="C85" s="1">
        <v>1450839.74</v>
      </c>
      <c r="D85" s="1">
        <v>295664.47</v>
      </c>
      <c r="E85" s="1">
        <v>4072.7</v>
      </c>
      <c r="F85" s="1">
        <v>85.22</v>
      </c>
      <c r="G85" s="1">
        <v>26.26</v>
      </c>
    </row>
    <row r="86" ht="14.25" customHeight="1">
      <c r="A86" s="1" t="s">
        <v>10</v>
      </c>
      <c r="B86" s="1">
        <v>1993.0</v>
      </c>
      <c r="C86" s="1">
        <v>436297.0</v>
      </c>
      <c r="D86" s="1">
        <v>146133.0</v>
      </c>
      <c r="E86" s="1">
        <v>2738.4</v>
      </c>
      <c r="F86" s="1">
        <v>86.37</v>
      </c>
      <c r="G86" s="1">
        <v>26.0</v>
      </c>
    </row>
    <row r="87" ht="14.25" customHeight="1">
      <c r="A87" s="1" t="s">
        <v>10</v>
      </c>
      <c r="B87" s="1">
        <v>1994.0</v>
      </c>
      <c r="C87" s="1">
        <v>445361.0</v>
      </c>
      <c r="D87" s="1">
        <v>146177.0</v>
      </c>
      <c r="E87" s="1">
        <v>1991.3</v>
      </c>
      <c r="F87" s="1">
        <v>84.9</v>
      </c>
      <c r="G87" s="1">
        <v>26.1</v>
      </c>
    </row>
    <row r="88" ht="14.25" customHeight="1">
      <c r="A88" s="1" t="s">
        <v>10</v>
      </c>
      <c r="B88" s="1">
        <v>1995.0</v>
      </c>
      <c r="C88" s="1">
        <v>458756.0</v>
      </c>
      <c r="D88" s="1">
        <v>152204.0</v>
      </c>
      <c r="E88" s="1">
        <v>3099.9</v>
      </c>
      <c r="F88" s="1">
        <v>85.02</v>
      </c>
      <c r="G88" s="1">
        <v>26.17</v>
      </c>
    </row>
    <row r="89" ht="14.25" customHeight="1">
      <c r="A89" s="1" t="s">
        <v>10</v>
      </c>
      <c r="B89" s="1">
        <v>1996.0</v>
      </c>
      <c r="C89" s="1">
        <v>461905.0</v>
      </c>
      <c r="D89" s="1">
        <v>150354.0</v>
      </c>
      <c r="E89" s="1">
        <v>2259.5</v>
      </c>
      <c r="F89" s="1">
        <v>84.26</v>
      </c>
      <c r="G89" s="1">
        <v>25.94</v>
      </c>
    </row>
    <row r="90" ht="14.25" customHeight="1">
      <c r="A90" s="1" t="s">
        <v>10</v>
      </c>
      <c r="B90" s="1">
        <v>1997.0</v>
      </c>
      <c r="C90" s="1">
        <v>416135.0</v>
      </c>
      <c r="D90" s="1">
        <v>137953.0</v>
      </c>
      <c r="E90" s="1">
        <v>1510.4</v>
      </c>
      <c r="F90" s="1">
        <v>83.82</v>
      </c>
      <c r="G90" s="1">
        <v>26.26</v>
      </c>
    </row>
    <row r="91" ht="14.25" customHeight="1">
      <c r="A91" s="1" t="s">
        <v>10</v>
      </c>
      <c r="B91" s="1">
        <v>1998.0</v>
      </c>
      <c r="C91" s="1">
        <v>370124.0</v>
      </c>
      <c r="D91" s="1">
        <v>126280.0</v>
      </c>
      <c r="E91" s="1">
        <v>2233.0</v>
      </c>
      <c r="F91" s="1">
        <v>84.26</v>
      </c>
      <c r="G91" s="1">
        <v>26.73</v>
      </c>
    </row>
    <row r="92" ht="14.25" customHeight="1">
      <c r="A92" s="1" t="s">
        <v>10</v>
      </c>
      <c r="B92" s="1">
        <v>1999.0</v>
      </c>
      <c r="C92" s="1">
        <v>461630.0</v>
      </c>
      <c r="D92" s="1">
        <v>155683.0</v>
      </c>
      <c r="E92" s="1">
        <v>2045.3</v>
      </c>
      <c r="F92" s="1">
        <v>84.59</v>
      </c>
      <c r="G92" s="1">
        <v>26.08</v>
      </c>
    </row>
    <row r="93" ht="14.25" customHeight="1">
      <c r="A93" s="1" t="s">
        <v>10</v>
      </c>
      <c r="B93" s="1">
        <v>2000.0</v>
      </c>
      <c r="C93" s="1">
        <v>431351.0</v>
      </c>
      <c r="D93" s="1">
        <v>141640.0</v>
      </c>
      <c r="E93" s="1">
        <v>2478.2</v>
      </c>
      <c r="F93" s="1">
        <v>84.6</v>
      </c>
      <c r="G93" s="1">
        <v>25.98</v>
      </c>
    </row>
    <row r="94" ht="14.25" customHeight="1">
      <c r="A94" s="1" t="s">
        <v>10</v>
      </c>
      <c r="B94" s="1">
        <v>2001.0</v>
      </c>
      <c r="C94" s="1">
        <v>413391.0</v>
      </c>
      <c r="D94" s="1">
        <v>132507.0</v>
      </c>
      <c r="E94" s="1">
        <v>2441.7</v>
      </c>
      <c r="F94" s="1">
        <v>70.79</v>
      </c>
      <c r="G94" s="1">
        <v>29.05</v>
      </c>
    </row>
    <row r="95" ht="14.25" customHeight="1">
      <c r="A95" s="1" t="s">
        <v>10</v>
      </c>
      <c r="B95" s="1">
        <v>2002.0</v>
      </c>
      <c r="C95" s="1">
        <v>396644.0</v>
      </c>
      <c r="D95" s="1">
        <v>129025.0</v>
      </c>
      <c r="E95" s="1">
        <v>3123.8</v>
      </c>
      <c r="F95" s="1">
        <v>71.73</v>
      </c>
      <c r="G95" s="1">
        <v>28.2</v>
      </c>
    </row>
    <row r="96" ht="14.25" customHeight="1">
      <c r="A96" s="1" t="s">
        <v>10</v>
      </c>
      <c r="B96" s="1">
        <v>2003.0</v>
      </c>
      <c r="C96" s="1">
        <v>414237.0</v>
      </c>
      <c r="D96" s="1">
        <v>132887.0</v>
      </c>
      <c r="E96" s="1">
        <v>3822.8</v>
      </c>
      <c r="F96" s="1">
        <v>72.92</v>
      </c>
      <c r="G96" s="1">
        <v>29.64</v>
      </c>
    </row>
    <row r="97" ht="14.25" customHeight="1">
      <c r="A97" s="1" t="s">
        <v>10</v>
      </c>
      <c r="B97" s="1">
        <v>2004.0</v>
      </c>
      <c r="C97" s="1">
        <v>454186.0</v>
      </c>
      <c r="D97" s="1">
        <v>145239.0</v>
      </c>
      <c r="E97" s="1">
        <v>2540.1</v>
      </c>
      <c r="F97" s="1">
        <v>83.7</v>
      </c>
      <c r="G97" s="1">
        <v>29.85</v>
      </c>
    </row>
    <row r="98" ht="14.25" customHeight="1">
      <c r="A98" s="1" t="s">
        <v>10</v>
      </c>
      <c r="B98" s="1">
        <v>2005.0</v>
      </c>
      <c r="C98" s="1">
        <v>424095.0</v>
      </c>
      <c r="D98" s="1">
        <v>134418.0</v>
      </c>
      <c r="E98" s="1">
        <v>1996.3</v>
      </c>
      <c r="F98" s="1">
        <v>83.93</v>
      </c>
      <c r="G98" s="1">
        <v>26.58</v>
      </c>
    </row>
    <row r="99" ht="14.25" customHeight="1">
      <c r="A99" s="1" t="s">
        <v>10</v>
      </c>
      <c r="B99" s="1">
        <v>2006.0</v>
      </c>
      <c r="C99" s="1">
        <v>42938.0</v>
      </c>
      <c r="D99" s="1">
        <v>136177.0</v>
      </c>
      <c r="E99" s="1">
        <v>537.6</v>
      </c>
      <c r="F99" s="1">
        <v>79.6</v>
      </c>
      <c r="G99" s="1">
        <v>27.7</v>
      </c>
    </row>
    <row r="100" ht="14.25" customHeight="1">
      <c r="A100" s="1" t="s">
        <v>10</v>
      </c>
      <c r="B100" s="1">
        <v>2007.0</v>
      </c>
      <c r="C100" s="1">
        <v>490087.0</v>
      </c>
      <c r="D100" s="1">
        <v>147167.0</v>
      </c>
      <c r="E100" s="1">
        <v>3216.3</v>
      </c>
      <c r="F100" s="1">
        <v>85.3</v>
      </c>
      <c r="G100" s="1">
        <v>27.1</v>
      </c>
    </row>
    <row r="101" ht="14.25" customHeight="1">
      <c r="A101" s="1" t="s">
        <v>10</v>
      </c>
      <c r="B101" s="1">
        <v>2008.0</v>
      </c>
      <c r="C101" s="1">
        <v>494260.0</v>
      </c>
      <c r="D101" s="1">
        <v>147796.0</v>
      </c>
      <c r="E101" s="1">
        <v>3026.2</v>
      </c>
      <c r="F101" s="1">
        <v>80.2</v>
      </c>
      <c r="G101" s="1">
        <v>27.4</v>
      </c>
    </row>
    <row r="102" ht="14.25" customHeight="1">
      <c r="A102" s="1" t="s">
        <v>10</v>
      </c>
      <c r="B102" s="1">
        <v>2009.0</v>
      </c>
      <c r="C102" s="1">
        <v>531429.0</v>
      </c>
      <c r="D102" s="1">
        <v>149423.0</v>
      </c>
      <c r="E102" s="1">
        <v>3390.0</v>
      </c>
      <c r="F102" s="1">
        <v>76.2</v>
      </c>
      <c r="G102" s="1">
        <v>27.7</v>
      </c>
    </row>
    <row r="103" ht="14.25" customHeight="1">
      <c r="A103" s="1" t="s">
        <v>10</v>
      </c>
      <c r="B103" s="1">
        <v>2010.0</v>
      </c>
      <c r="C103" s="1">
        <v>574864.0</v>
      </c>
      <c r="D103" s="1">
        <v>156088.0</v>
      </c>
      <c r="E103" s="1">
        <v>3390.0</v>
      </c>
      <c r="F103" s="1">
        <v>76.2</v>
      </c>
      <c r="G103" s="1">
        <v>27.7</v>
      </c>
    </row>
    <row r="104" ht="14.25" customHeight="1">
      <c r="A104" s="1" t="s">
        <v>10</v>
      </c>
      <c r="B104" s="1">
        <v>2011.0</v>
      </c>
      <c r="C104" s="1">
        <v>535788.0</v>
      </c>
      <c r="D104" s="1">
        <v>145242.0</v>
      </c>
      <c r="E104" s="1">
        <v>2405.0</v>
      </c>
      <c r="F104" s="1">
        <v>74.5</v>
      </c>
      <c r="G104" s="1">
        <v>27.0</v>
      </c>
    </row>
    <row r="105" ht="14.25" customHeight="1">
      <c r="A105" s="1" t="s">
        <v>10</v>
      </c>
      <c r="B105" s="1">
        <v>2012.0</v>
      </c>
      <c r="C105" s="1">
        <v>512152.0</v>
      </c>
      <c r="D105" s="1">
        <v>144015.0</v>
      </c>
      <c r="E105" s="1">
        <v>2636.0</v>
      </c>
      <c r="F105" s="1">
        <v>76.1</v>
      </c>
      <c r="G105" s="1">
        <v>27.3</v>
      </c>
    </row>
    <row r="106" ht="14.25" customHeight="1">
      <c r="A106" s="1" t="s">
        <v>10</v>
      </c>
      <c r="B106" s="1">
        <v>2013.0</v>
      </c>
      <c r="C106" s="1">
        <v>434144.0</v>
      </c>
      <c r="D106" s="1">
        <v>118518.0</v>
      </c>
      <c r="E106" s="1">
        <v>2628.0</v>
      </c>
      <c r="F106" s="1">
        <v>76.0</v>
      </c>
      <c r="G106" s="1">
        <v>26.0</v>
      </c>
    </row>
    <row r="107" ht="14.25" customHeight="1">
      <c r="A107" s="1" t="s">
        <v>10</v>
      </c>
      <c r="B107" s="1">
        <v>2014.0</v>
      </c>
      <c r="C107" s="1">
        <v>385475.0</v>
      </c>
      <c r="D107" s="1">
        <v>106037.0</v>
      </c>
      <c r="E107" s="1">
        <v>2343.0</v>
      </c>
      <c r="F107" s="1">
        <v>78.1</v>
      </c>
      <c r="G107" s="1">
        <v>27.2</v>
      </c>
    </row>
    <row r="108" ht="14.25" customHeight="1">
      <c r="A108" s="1" t="s">
        <v>10</v>
      </c>
      <c r="B108" s="1">
        <v>2015.0</v>
      </c>
      <c r="C108" s="1">
        <v>393917.0</v>
      </c>
      <c r="D108" s="1">
        <v>107546.0</v>
      </c>
      <c r="E108" s="1">
        <v>2048.3</v>
      </c>
      <c r="F108" s="1">
        <v>80.5</v>
      </c>
      <c r="G108" s="1">
        <v>27.2</v>
      </c>
    </row>
    <row r="109" ht="14.25" customHeight="1">
      <c r="A109" s="1" t="s">
        <v>10</v>
      </c>
      <c r="B109" s="1">
        <v>2016.0</v>
      </c>
      <c r="C109" s="1">
        <v>325826.0</v>
      </c>
      <c r="D109" s="1">
        <v>72151.0</v>
      </c>
      <c r="E109" s="1">
        <v>2105.6</v>
      </c>
      <c r="F109" s="1">
        <v>83.72</v>
      </c>
      <c r="G109" s="1">
        <v>27.0</v>
      </c>
    </row>
    <row r="110" ht="14.25" customHeight="1">
      <c r="A110" s="1" t="s">
        <v>10</v>
      </c>
      <c r="B110" s="1">
        <v>2017.0</v>
      </c>
      <c r="C110" s="1">
        <v>337421.0</v>
      </c>
      <c r="D110" s="1">
        <v>70016.0</v>
      </c>
      <c r="E110" s="1">
        <v>2982.9</v>
      </c>
      <c r="F110" s="1">
        <v>84.76</v>
      </c>
      <c r="G110" s="1">
        <v>26.7</v>
      </c>
    </row>
    <row r="111" ht="14.25" customHeight="1">
      <c r="A111" s="1" t="s">
        <v>10</v>
      </c>
      <c r="B111" s="1">
        <v>2018.0</v>
      </c>
      <c r="C111" s="1">
        <v>266375.53</v>
      </c>
      <c r="D111" s="1">
        <v>71448.08</v>
      </c>
      <c r="E111" s="1">
        <v>1837.1</v>
      </c>
      <c r="F111" s="1">
        <v>71.22</v>
      </c>
      <c r="G111" s="1">
        <v>25.0</v>
      </c>
    </row>
    <row r="112" ht="14.25" customHeight="1">
      <c r="A112" s="1" t="s">
        <v>10</v>
      </c>
      <c r="B112" s="1">
        <v>2019.0</v>
      </c>
      <c r="C112" s="1">
        <v>230873.97</v>
      </c>
      <c r="D112" s="1">
        <v>63142.04</v>
      </c>
      <c r="E112" s="1">
        <v>1608.3</v>
      </c>
      <c r="F112" s="1">
        <v>83.77</v>
      </c>
      <c r="G112" s="1">
        <v>26.91</v>
      </c>
    </row>
    <row r="113" ht="14.25" customHeight="1">
      <c r="A113" s="1" t="s">
        <v>10</v>
      </c>
      <c r="B113" s="1">
        <v>2020.0</v>
      </c>
      <c r="C113" s="1">
        <v>269344.05</v>
      </c>
      <c r="D113" s="1">
        <v>64733.13</v>
      </c>
      <c r="E113" s="1">
        <v>2584.9</v>
      </c>
      <c r="F113" s="1">
        <v>81.8</v>
      </c>
      <c r="G113" s="1">
        <v>25.93</v>
      </c>
    </row>
    <row r="114" ht="14.25" customHeight="1">
      <c r="A114" s="1" t="s">
        <v>11</v>
      </c>
      <c r="B114" s="1">
        <v>1993.0</v>
      </c>
      <c r="C114" s="1">
        <v>607529.0</v>
      </c>
      <c r="D114" s="1">
        <v>199431.0</v>
      </c>
      <c r="E114" s="1">
        <v>1954.0</v>
      </c>
      <c r="F114" s="1">
        <v>83.81</v>
      </c>
      <c r="G114" s="1">
        <v>26.29</v>
      </c>
    </row>
    <row r="115" ht="14.25" customHeight="1">
      <c r="A115" s="1" t="s">
        <v>11</v>
      </c>
      <c r="B115" s="1">
        <v>1994.0</v>
      </c>
      <c r="C115" s="1">
        <v>564722.0</v>
      </c>
      <c r="D115" s="1">
        <v>184029.0</v>
      </c>
      <c r="E115" s="1">
        <v>1824.0</v>
      </c>
      <c r="F115" s="1">
        <v>81.25</v>
      </c>
      <c r="G115" s="1">
        <v>25.51</v>
      </c>
    </row>
    <row r="116" ht="14.25" customHeight="1">
      <c r="A116" s="1" t="s">
        <v>11</v>
      </c>
      <c r="B116" s="1">
        <v>1995.0</v>
      </c>
      <c r="C116" s="1">
        <v>593502.0</v>
      </c>
      <c r="D116" s="1">
        <v>193666.0</v>
      </c>
      <c r="E116" s="1">
        <v>2290.1</v>
      </c>
      <c r="F116" s="1">
        <v>83.96</v>
      </c>
      <c r="G116" s="1">
        <v>26.22</v>
      </c>
    </row>
    <row r="117" ht="14.25" customHeight="1">
      <c r="A117" s="1" t="s">
        <v>11</v>
      </c>
      <c r="B117" s="1">
        <v>1996.0</v>
      </c>
      <c r="C117" s="1">
        <v>657650.0</v>
      </c>
      <c r="D117" s="1">
        <v>215975.0</v>
      </c>
      <c r="E117" s="1">
        <v>2309.1</v>
      </c>
      <c r="F117" s="1">
        <v>83.6</v>
      </c>
      <c r="G117" s="1">
        <v>26.0</v>
      </c>
    </row>
    <row r="118" ht="14.25" customHeight="1">
      <c r="A118" s="1" t="s">
        <v>11</v>
      </c>
      <c r="B118" s="1">
        <v>1997.0</v>
      </c>
      <c r="C118" s="1">
        <v>572269.0</v>
      </c>
      <c r="D118" s="1">
        <v>190608.0</v>
      </c>
      <c r="E118" s="1">
        <v>1030.1</v>
      </c>
      <c r="F118" s="1">
        <v>80.64</v>
      </c>
      <c r="G118" s="1">
        <v>26.5</v>
      </c>
    </row>
    <row r="119" ht="14.25" customHeight="1">
      <c r="A119" s="1" t="s">
        <v>11</v>
      </c>
      <c r="B119" s="1">
        <v>1998.0</v>
      </c>
      <c r="C119" s="1">
        <v>550277.0</v>
      </c>
      <c r="D119" s="1">
        <v>178766.0</v>
      </c>
      <c r="E119" s="1">
        <v>2383.8</v>
      </c>
      <c r="F119" s="1">
        <v>83.47</v>
      </c>
      <c r="G119" s="1">
        <v>26.78</v>
      </c>
    </row>
    <row r="120" ht="14.25" customHeight="1">
      <c r="A120" s="1" t="s">
        <v>11</v>
      </c>
      <c r="B120" s="1">
        <v>1999.0</v>
      </c>
      <c r="C120" s="1">
        <v>553641.0</v>
      </c>
      <c r="D120" s="1">
        <v>178307.0</v>
      </c>
      <c r="E120" s="1">
        <v>2429.3</v>
      </c>
      <c r="F120" s="1">
        <v>83.25</v>
      </c>
      <c r="G120" s="1">
        <v>26.34</v>
      </c>
    </row>
    <row r="121" ht="14.25" customHeight="1">
      <c r="A121" s="1" t="s">
        <v>11</v>
      </c>
      <c r="B121" s="1">
        <v>2000.0</v>
      </c>
      <c r="C121" s="1">
        <v>536779.0</v>
      </c>
      <c r="D121" s="1">
        <v>171395.0</v>
      </c>
      <c r="E121" s="1">
        <v>840.3</v>
      </c>
      <c r="F121" s="1">
        <v>84.85</v>
      </c>
      <c r="G121" s="1">
        <v>27.76</v>
      </c>
    </row>
    <row r="122" ht="14.25" customHeight="1">
      <c r="A122" s="1" t="s">
        <v>11</v>
      </c>
      <c r="B122" s="1">
        <v>2001.0</v>
      </c>
      <c r="C122" s="1">
        <v>556564.0</v>
      </c>
      <c r="D122" s="1">
        <v>164826.0</v>
      </c>
      <c r="E122" s="1">
        <v>2515.2</v>
      </c>
      <c r="F122" s="1">
        <v>72.4</v>
      </c>
      <c r="G122" s="1">
        <v>28.12</v>
      </c>
    </row>
    <row r="123" ht="14.25" customHeight="1">
      <c r="A123" s="1" t="s">
        <v>11</v>
      </c>
      <c r="B123" s="1">
        <v>2002.0</v>
      </c>
      <c r="C123" s="1">
        <v>561007.0</v>
      </c>
      <c r="D123" s="1">
        <v>165729.0</v>
      </c>
      <c r="E123" s="1">
        <v>2044.5</v>
      </c>
      <c r="F123" s="1">
        <v>70.77</v>
      </c>
      <c r="G123" s="1">
        <v>28.82</v>
      </c>
    </row>
    <row r="124" ht="14.25" customHeight="1">
      <c r="A124" s="1" t="s">
        <v>11</v>
      </c>
      <c r="B124" s="1">
        <v>2003.0</v>
      </c>
      <c r="C124" s="1">
        <v>578346.0</v>
      </c>
      <c r="D124" s="1">
        <v>159463.0</v>
      </c>
      <c r="E124" s="1">
        <v>2508.1</v>
      </c>
      <c r="F124" s="1">
        <v>71.28</v>
      </c>
      <c r="G124" s="1">
        <v>29.39</v>
      </c>
    </row>
    <row r="125" ht="14.25" customHeight="1">
      <c r="A125" s="1" t="s">
        <v>11</v>
      </c>
      <c r="B125" s="1">
        <v>2004.0</v>
      </c>
      <c r="C125" s="1">
        <v>579404.0</v>
      </c>
      <c r="D125" s="1">
        <v>156803.0</v>
      </c>
      <c r="E125" s="1">
        <v>2561.0</v>
      </c>
      <c r="F125" s="1">
        <v>82.74</v>
      </c>
      <c r="G125" s="1">
        <v>28.95</v>
      </c>
    </row>
    <row r="126" ht="14.25" customHeight="1">
      <c r="A126" s="1" t="s">
        <v>11</v>
      </c>
      <c r="B126" s="1">
        <v>2005.0</v>
      </c>
      <c r="C126" s="1">
        <v>579635.0</v>
      </c>
      <c r="D126" s="1">
        <v>154941.0</v>
      </c>
      <c r="E126" s="1">
        <v>1015.7</v>
      </c>
      <c r="F126" s="1">
        <v>84.8</v>
      </c>
      <c r="G126" s="1">
        <v>26.8</v>
      </c>
    </row>
    <row r="127" ht="14.25" customHeight="1">
      <c r="A127" s="1" t="s">
        <v>11</v>
      </c>
      <c r="B127" s="1">
        <v>2006.0</v>
      </c>
      <c r="C127" s="1">
        <v>544597.0</v>
      </c>
      <c r="D127" s="1">
        <v>140613.0</v>
      </c>
      <c r="E127" s="1">
        <v>424.7</v>
      </c>
      <c r="F127" s="1">
        <v>85.0</v>
      </c>
      <c r="G127" s="1">
        <v>26.77</v>
      </c>
    </row>
    <row r="128" ht="14.25" customHeight="1">
      <c r="A128" s="1" t="s">
        <v>11</v>
      </c>
      <c r="B128" s="1">
        <v>2007.0</v>
      </c>
      <c r="C128" s="1">
        <v>58663.0</v>
      </c>
      <c r="D128" s="1">
        <v>149888.0</v>
      </c>
      <c r="E128" s="1">
        <v>2394.0</v>
      </c>
      <c r="F128" s="1">
        <v>86.0</v>
      </c>
      <c r="G128" s="1">
        <v>26.6</v>
      </c>
    </row>
    <row r="129" ht="14.25" customHeight="1">
      <c r="A129" s="1" t="s">
        <v>11</v>
      </c>
      <c r="B129" s="1">
        <v>2008.0</v>
      </c>
      <c r="C129" s="1">
        <v>581704.0</v>
      </c>
      <c r="D129" s="1">
        <v>143034.0</v>
      </c>
      <c r="E129" s="1">
        <v>2230.0</v>
      </c>
      <c r="F129" s="1">
        <v>83.7</v>
      </c>
      <c r="G129" s="1">
        <v>26.5</v>
      </c>
    </row>
    <row r="130" ht="14.25" customHeight="1">
      <c r="A130" s="1" t="s">
        <v>11</v>
      </c>
      <c r="B130" s="1">
        <v>2009.0</v>
      </c>
      <c r="C130" s="1">
        <v>644947.0</v>
      </c>
      <c r="D130" s="1">
        <v>155802.0</v>
      </c>
      <c r="E130" s="1">
        <v>2299.0</v>
      </c>
      <c r="F130" s="1">
        <v>83.8</v>
      </c>
      <c r="G130" s="1">
        <v>27.1</v>
      </c>
    </row>
    <row r="131" ht="14.25" customHeight="1">
      <c r="A131" s="1" t="s">
        <v>11</v>
      </c>
      <c r="B131" s="1">
        <v>2010.0</v>
      </c>
      <c r="C131" s="1">
        <v>628828.0</v>
      </c>
      <c r="D131" s="1">
        <v>153897.0</v>
      </c>
      <c r="E131" s="1">
        <v>3207.0</v>
      </c>
      <c r="F131" s="1">
        <v>84.6</v>
      </c>
      <c r="G131" s="1">
        <v>27.1</v>
      </c>
    </row>
    <row r="132" ht="14.25" customHeight="1">
      <c r="A132" s="1" t="s">
        <v>11</v>
      </c>
      <c r="B132" s="1">
        <v>2011.0</v>
      </c>
      <c r="C132" s="1">
        <v>646641.0</v>
      </c>
      <c r="D132" s="1">
        <v>157441.0</v>
      </c>
      <c r="E132" s="1">
        <v>2295.0</v>
      </c>
      <c r="F132" s="1">
        <v>82.5</v>
      </c>
      <c r="G132" s="1">
        <v>26.9</v>
      </c>
    </row>
    <row r="133" ht="14.25" customHeight="1">
      <c r="A133" s="1" t="s">
        <v>11</v>
      </c>
      <c r="B133" s="1">
        <v>2012.0</v>
      </c>
      <c r="C133" s="1">
        <v>625164.0</v>
      </c>
      <c r="D133" s="1">
        <v>149369.0</v>
      </c>
      <c r="E133" s="1">
        <v>1874.0</v>
      </c>
      <c r="F133" s="1">
        <v>81.4</v>
      </c>
      <c r="G133" s="1">
        <v>26.7</v>
      </c>
    </row>
    <row r="134" ht="14.25" customHeight="1">
      <c r="A134" s="1" t="s">
        <v>11</v>
      </c>
      <c r="B134" s="1">
        <v>2013.0</v>
      </c>
      <c r="C134" s="1">
        <v>664535.0</v>
      </c>
      <c r="D134" s="1">
        <v>153243.0</v>
      </c>
      <c r="E134" s="1">
        <v>2093.0</v>
      </c>
      <c r="F134" s="1">
        <v>83.42</v>
      </c>
      <c r="G134" s="1">
        <v>26.8</v>
      </c>
    </row>
    <row r="135" ht="14.25" customHeight="1">
      <c r="A135" s="1" t="s">
        <v>11</v>
      </c>
      <c r="B135" s="1">
        <v>2014.0</v>
      </c>
      <c r="C135" s="1">
        <v>664720.0</v>
      </c>
      <c r="D135" s="1">
        <v>145990.0</v>
      </c>
      <c r="E135" s="1">
        <v>1781.0</v>
      </c>
      <c r="F135" s="1">
        <v>82.8</v>
      </c>
      <c r="G135" s="1">
        <v>27.2</v>
      </c>
    </row>
    <row r="136" ht="14.25" customHeight="1">
      <c r="A136" s="1" t="s">
        <v>11</v>
      </c>
      <c r="B136" s="1">
        <v>2015.0</v>
      </c>
      <c r="C136" s="1">
        <v>541486.0</v>
      </c>
      <c r="D136" s="1">
        <v>122214.0</v>
      </c>
      <c r="E136" s="1">
        <v>1694.9</v>
      </c>
      <c r="F136" s="1">
        <v>82.1</v>
      </c>
      <c r="G136" s="1">
        <v>27.0</v>
      </c>
    </row>
    <row r="137" ht="14.25" customHeight="1">
      <c r="A137" s="1" t="s">
        <v>11</v>
      </c>
      <c r="B137" s="1">
        <v>2016.0</v>
      </c>
      <c r="C137" s="1">
        <v>642095.0</v>
      </c>
      <c r="D137" s="1">
        <v>96588.0</v>
      </c>
      <c r="E137" s="1">
        <v>1502.4</v>
      </c>
      <c r="F137" s="1">
        <v>83.84</v>
      </c>
      <c r="G137" s="1">
        <v>26.84</v>
      </c>
    </row>
    <row r="138" ht="14.25" customHeight="1">
      <c r="A138" s="1" t="s">
        <v>11</v>
      </c>
      <c r="B138" s="1">
        <v>2017.0</v>
      </c>
      <c r="C138" s="1">
        <v>678127.0</v>
      </c>
      <c r="D138" s="1">
        <v>97690.0</v>
      </c>
      <c r="E138" s="1">
        <v>2193.2</v>
      </c>
      <c r="F138" s="1">
        <v>83.69</v>
      </c>
      <c r="G138" s="1">
        <v>26.62</v>
      </c>
    </row>
    <row r="139" ht="14.25" customHeight="1">
      <c r="A139" s="1" t="s">
        <v>11</v>
      </c>
      <c r="B139" s="1">
        <v>2018.0</v>
      </c>
      <c r="C139" s="1">
        <v>383045.74</v>
      </c>
      <c r="D139" s="1">
        <v>86202.68</v>
      </c>
      <c r="E139" s="1">
        <v>2182.3</v>
      </c>
      <c r="F139" s="1">
        <v>82.23</v>
      </c>
      <c r="G139" s="1">
        <v>26.62</v>
      </c>
    </row>
    <row r="140" ht="14.25" customHeight="1">
      <c r="A140" s="1" t="s">
        <v>11</v>
      </c>
      <c r="B140" s="1">
        <v>2019.0</v>
      </c>
      <c r="C140" s="1">
        <v>309932.68</v>
      </c>
      <c r="D140" s="1">
        <v>69536.06</v>
      </c>
      <c r="E140" s="1">
        <v>1773.4</v>
      </c>
      <c r="F140" s="1">
        <v>81.44</v>
      </c>
      <c r="G140" s="1">
        <v>26.94</v>
      </c>
    </row>
    <row r="141" ht="14.25" customHeight="1">
      <c r="A141" s="1" t="s">
        <v>11</v>
      </c>
      <c r="B141" s="1">
        <v>2020.0</v>
      </c>
      <c r="C141" s="1">
        <v>374376.27</v>
      </c>
      <c r="D141" s="1">
        <v>84772.93</v>
      </c>
      <c r="E141" s="1">
        <v>2303.8</v>
      </c>
      <c r="F141" s="1">
        <v>78.24</v>
      </c>
      <c r="G141" s="1">
        <v>25.85</v>
      </c>
    </row>
    <row r="142" ht="14.25" customHeight="1">
      <c r="A142" s="1" t="s">
        <v>12</v>
      </c>
      <c r="B142" s="1">
        <v>1993.0</v>
      </c>
      <c r="C142" s="1">
        <v>1409559.0</v>
      </c>
      <c r="D142" s="1">
        <v>439895.0</v>
      </c>
      <c r="E142" s="1">
        <v>2815.0</v>
      </c>
      <c r="F142" s="1">
        <v>82.78</v>
      </c>
      <c r="G142" s="1">
        <v>26.38</v>
      </c>
    </row>
    <row r="143" ht="14.25" customHeight="1">
      <c r="A143" s="1" t="s">
        <v>12</v>
      </c>
      <c r="B143" s="1">
        <v>1994.0</v>
      </c>
      <c r="C143" s="1">
        <v>1347611.0</v>
      </c>
      <c r="D143" s="1">
        <v>422109.0</v>
      </c>
      <c r="E143" s="1">
        <v>1800.0</v>
      </c>
      <c r="F143" s="1">
        <v>79.89</v>
      </c>
      <c r="G143" s="1">
        <v>26.53</v>
      </c>
    </row>
    <row r="144" ht="14.25" customHeight="1">
      <c r="A144" s="1" t="s">
        <v>12</v>
      </c>
      <c r="B144" s="1">
        <v>1995.0</v>
      </c>
      <c r="C144" s="1">
        <v>1557944.0</v>
      </c>
      <c r="D144" s="1">
        <v>492448.0</v>
      </c>
      <c r="E144" s="1">
        <v>2800.0</v>
      </c>
      <c r="F144" s="1">
        <v>82.71</v>
      </c>
      <c r="G144" s="1">
        <v>26.54</v>
      </c>
    </row>
    <row r="145" ht="14.25" customHeight="1">
      <c r="A145" s="1" t="s">
        <v>12</v>
      </c>
      <c r="B145" s="1">
        <v>1996.0</v>
      </c>
      <c r="C145" s="1">
        <v>1666591.0</v>
      </c>
      <c r="D145" s="1">
        <v>495958.0</v>
      </c>
      <c r="E145" s="1">
        <v>2614.0</v>
      </c>
      <c r="F145" s="1">
        <v>82.45</v>
      </c>
      <c r="G145" s="1">
        <v>26.34</v>
      </c>
    </row>
    <row r="146" ht="14.25" customHeight="1">
      <c r="A146" s="1" t="s">
        <v>12</v>
      </c>
      <c r="B146" s="1">
        <v>1997.0</v>
      </c>
      <c r="C146" s="1">
        <v>1577398.0</v>
      </c>
      <c r="D146" s="1">
        <v>469670.0</v>
      </c>
      <c r="E146" s="1">
        <v>1558.3</v>
      </c>
      <c r="F146" s="1">
        <v>78.47</v>
      </c>
      <c r="G146" s="1">
        <v>26.75</v>
      </c>
    </row>
    <row r="147" ht="14.25" customHeight="1">
      <c r="A147" s="1" t="s">
        <v>12</v>
      </c>
      <c r="B147" s="1">
        <v>1998.0</v>
      </c>
      <c r="C147" s="1">
        <v>1931505.0</v>
      </c>
      <c r="D147" s="1">
        <v>621829.0</v>
      </c>
      <c r="E147" s="1">
        <v>2539.3</v>
      </c>
      <c r="F147" s="1">
        <v>82.58</v>
      </c>
      <c r="G147" s="1">
        <v>26.19</v>
      </c>
    </row>
    <row r="148" ht="14.25" customHeight="1">
      <c r="A148" s="1" t="s">
        <v>12</v>
      </c>
      <c r="B148" s="1">
        <v>1999.0</v>
      </c>
      <c r="C148" s="1">
        <v>1789961.0</v>
      </c>
      <c r="D148" s="1">
        <v>530692.0</v>
      </c>
      <c r="E148" s="1">
        <v>2704.7</v>
      </c>
      <c r="F148" s="1">
        <v>81.01</v>
      </c>
      <c r="G148" s="1">
        <v>25.67</v>
      </c>
    </row>
    <row r="149" ht="14.25" customHeight="1">
      <c r="A149" s="1" t="s">
        <v>12</v>
      </c>
      <c r="B149" s="1">
        <v>2000.0</v>
      </c>
      <c r="C149" s="1">
        <v>1863643.0</v>
      </c>
      <c r="D149" s="1">
        <v>555427.0</v>
      </c>
      <c r="E149" s="1">
        <v>2632.5</v>
      </c>
      <c r="F149" s="1">
        <v>83.26</v>
      </c>
      <c r="G149" s="1">
        <v>25.32</v>
      </c>
    </row>
    <row r="150" ht="14.25" customHeight="1">
      <c r="A150" s="1" t="s">
        <v>12</v>
      </c>
      <c r="B150" s="1">
        <v>2001.0</v>
      </c>
      <c r="C150" s="1">
        <v>1723433.0</v>
      </c>
      <c r="D150" s="1">
        <v>511928.0</v>
      </c>
      <c r="E150" s="1">
        <v>2837.5</v>
      </c>
      <c r="F150" s="1">
        <v>72.06</v>
      </c>
      <c r="G150" s="1">
        <v>28.83</v>
      </c>
    </row>
    <row r="151" ht="14.25" customHeight="1">
      <c r="A151" s="1" t="s">
        <v>12</v>
      </c>
      <c r="B151" s="1">
        <v>2002.0</v>
      </c>
      <c r="C151" s="1">
        <v>1899849.0</v>
      </c>
      <c r="D151" s="1">
        <v>561724.0</v>
      </c>
      <c r="E151" s="1">
        <v>2368.2</v>
      </c>
      <c r="F151" s="1">
        <v>70.36</v>
      </c>
      <c r="G151" s="1">
        <v>28.23</v>
      </c>
    </row>
    <row r="152" ht="14.25" customHeight="1">
      <c r="A152" s="1" t="s">
        <v>12</v>
      </c>
      <c r="B152" s="1">
        <v>2003.0</v>
      </c>
      <c r="C152" s="1">
        <v>1977345.0</v>
      </c>
      <c r="D152" s="1">
        <v>570010.0</v>
      </c>
      <c r="E152" s="1">
        <v>2674.0</v>
      </c>
      <c r="F152" s="1">
        <v>69.59</v>
      </c>
      <c r="G152" s="1">
        <v>29.64</v>
      </c>
    </row>
    <row r="153" ht="14.25" customHeight="1">
      <c r="A153" s="1" t="s">
        <v>12</v>
      </c>
      <c r="B153" s="1">
        <v>2004.0</v>
      </c>
      <c r="C153" s="1">
        <v>2260794.0</v>
      </c>
      <c r="D153" s="1">
        <v>625013.0</v>
      </c>
      <c r="E153" s="1">
        <v>2182.6</v>
      </c>
      <c r="F153" s="1">
        <v>80.96</v>
      </c>
      <c r="G153" s="1">
        <v>28.7</v>
      </c>
    </row>
    <row r="154" ht="14.25" customHeight="1">
      <c r="A154" s="1" t="s">
        <v>12</v>
      </c>
      <c r="B154" s="1">
        <v>2005.0</v>
      </c>
      <c r="C154" s="1">
        <v>2320110.0</v>
      </c>
      <c r="D154" s="1">
        <v>626849.0</v>
      </c>
      <c r="E154" s="1">
        <v>1356.9</v>
      </c>
      <c r="F154" s="1">
        <v>82.5</v>
      </c>
      <c r="G154" s="1">
        <v>27.1</v>
      </c>
    </row>
    <row r="155" ht="14.25" customHeight="1">
      <c r="A155" s="1" t="s">
        <v>12</v>
      </c>
      <c r="B155" s="1">
        <v>2006.0</v>
      </c>
      <c r="C155" s="1">
        <v>2456251.0</v>
      </c>
      <c r="D155" s="1">
        <v>646927.0</v>
      </c>
      <c r="E155" s="1">
        <v>1442.0</v>
      </c>
      <c r="F155" s="1">
        <v>80.0</v>
      </c>
      <c r="G155" s="1">
        <v>27.1</v>
      </c>
    </row>
    <row r="156" ht="14.25" customHeight="1">
      <c r="A156" s="1" t="s">
        <v>12</v>
      </c>
      <c r="B156" s="1">
        <v>2007.0</v>
      </c>
      <c r="C156" s="1">
        <v>2753044.0</v>
      </c>
      <c r="D156" s="1">
        <v>691467.0</v>
      </c>
      <c r="E156" s="1">
        <v>2364.7</v>
      </c>
      <c r="F156" s="1">
        <v>83.5</v>
      </c>
      <c r="G156" s="1">
        <v>27.0</v>
      </c>
    </row>
    <row r="157" ht="14.25" customHeight="1">
      <c r="A157" s="1" t="s">
        <v>12</v>
      </c>
      <c r="B157" s="1">
        <v>2008.0</v>
      </c>
      <c r="C157" s="1">
        <v>2971286.0</v>
      </c>
      <c r="D157" s="1">
        <v>718797.0</v>
      </c>
      <c r="E157" s="1">
        <v>2685.7</v>
      </c>
      <c r="F157" s="1">
        <v>84.8</v>
      </c>
      <c r="G157" s="1">
        <v>26.9</v>
      </c>
    </row>
    <row r="158" ht="14.25" customHeight="1">
      <c r="A158" s="1" t="s">
        <v>12</v>
      </c>
      <c r="B158" s="1">
        <v>2009.0</v>
      </c>
      <c r="C158" s="1">
        <v>3125236.0</v>
      </c>
      <c r="D158" s="1">
        <v>746465.0</v>
      </c>
      <c r="E158" s="1">
        <v>2389.0</v>
      </c>
      <c r="F158" s="1">
        <v>82.3</v>
      </c>
      <c r="G158" s="1">
        <v>27.4</v>
      </c>
    </row>
    <row r="159" ht="14.25" customHeight="1">
      <c r="A159" s="1" t="s">
        <v>12</v>
      </c>
      <c r="B159" s="1">
        <v>2010.0</v>
      </c>
      <c r="C159" s="1">
        <v>3272451.0</v>
      </c>
      <c r="D159" s="1">
        <v>769478.0</v>
      </c>
      <c r="E159" s="1">
        <v>3396.0</v>
      </c>
      <c r="F159" s="1">
        <v>85.25</v>
      </c>
      <c r="G159" s="1">
        <v>27.08</v>
      </c>
    </row>
    <row r="160" ht="14.25" customHeight="1">
      <c r="A160" s="1" t="s">
        <v>12</v>
      </c>
      <c r="B160" s="1">
        <v>2011.0</v>
      </c>
      <c r="C160" s="1">
        <v>3384670.0</v>
      </c>
      <c r="D160" s="1">
        <v>784820.0</v>
      </c>
      <c r="E160" s="1">
        <v>2593.0</v>
      </c>
      <c r="F160" s="1">
        <v>84.8</v>
      </c>
      <c r="G160" s="1">
        <v>27.3</v>
      </c>
    </row>
    <row r="161" ht="14.25" customHeight="1">
      <c r="A161" s="1" t="s">
        <v>12</v>
      </c>
      <c r="B161" s="1">
        <v>2012.0</v>
      </c>
      <c r="C161" s="1">
        <v>3295247.0</v>
      </c>
      <c r="D161" s="1">
        <v>769725.0</v>
      </c>
      <c r="E161" s="1">
        <v>3083.0</v>
      </c>
      <c r="F161" s="1">
        <v>83.0</v>
      </c>
      <c r="G161" s="1">
        <v>27.4</v>
      </c>
    </row>
    <row r="162" ht="14.25" customHeight="1">
      <c r="A162" s="1" t="s">
        <v>12</v>
      </c>
      <c r="B162" s="1">
        <v>2013.0</v>
      </c>
      <c r="C162" s="1">
        <v>3676723.0</v>
      </c>
      <c r="D162" s="1">
        <v>800036.0</v>
      </c>
      <c r="E162" s="1">
        <v>3409.0</v>
      </c>
      <c r="F162" s="1">
        <v>84.0</v>
      </c>
      <c r="G162" s="1">
        <v>27.3</v>
      </c>
    </row>
    <row r="163" ht="14.25" customHeight="1">
      <c r="A163" s="1" t="s">
        <v>12</v>
      </c>
      <c r="B163" s="1">
        <v>2014.0</v>
      </c>
      <c r="C163" s="1">
        <v>3670435.0</v>
      </c>
      <c r="D163" s="1">
        <v>810900.0</v>
      </c>
      <c r="E163" s="1">
        <v>1668.3</v>
      </c>
      <c r="F163" s="1">
        <v>81.0</v>
      </c>
      <c r="G163" s="1">
        <v>26.0</v>
      </c>
    </row>
    <row r="164" ht="14.25" customHeight="1">
      <c r="A164" s="1" t="s">
        <v>12</v>
      </c>
      <c r="B164" s="1">
        <v>2015.0</v>
      </c>
      <c r="C164" s="1">
        <v>4247922.0</v>
      </c>
      <c r="D164" s="1">
        <v>872737.0</v>
      </c>
      <c r="E164" s="1">
        <v>1947.2</v>
      </c>
      <c r="F164" s="1">
        <v>79.5</v>
      </c>
      <c r="G164" s="1">
        <v>27.7</v>
      </c>
    </row>
    <row r="165" ht="14.25" customHeight="1">
      <c r="A165" s="1" t="s">
        <v>12</v>
      </c>
      <c r="B165" s="1">
        <v>2016.0</v>
      </c>
      <c r="C165" s="1">
        <v>4881089.0</v>
      </c>
      <c r="D165" s="1">
        <v>615184.0</v>
      </c>
      <c r="E165" s="1">
        <v>3477.9</v>
      </c>
      <c r="F165" s="1">
        <v>82.22</v>
      </c>
      <c r="G165" s="1">
        <v>27.31</v>
      </c>
    </row>
    <row r="166" ht="14.25" customHeight="1">
      <c r="A166" s="1" t="s">
        <v>12</v>
      </c>
      <c r="B166" s="1">
        <v>2017.0</v>
      </c>
      <c r="C166" s="1">
        <v>4807430.0</v>
      </c>
      <c r="D166" s="1">
        <v>621903.0</v>
      </c>
      <c r="E166" s="1">
        <v>2489.5</v>
      </c>
      <c r="F166" s="1">
        <v>81.08</v>
      </c>
      <c r="G166" s="1">
        <v>26.75</v>
      </c>
    </row>
    <row r="167" ht="14.25" customHeight="1">
      <c r="A167" s="1" t="s">
        <v>12</v>
      </c>
      <c r="B167" s="1">
        <v>2018.0</v>
      </c>
      <c r="C167" s="1">
        <v>2994191.84</v>
      </c>
      <c r="D167" s="1">
        <v>581574.61</v>
      </c>
      <c r="E167" s="1">
        <v>2252.4</v>
      </c>
      <c r="F167" s="1">
        <v>77.66</v>
      </c>
      <c r="G167" s="1">
        <v>27.0</v>
      </c>
    </row>
    <row r="168" ht="14.25" customHeight="1">
      <c r="A168" s="1" t="s">
        <v>12</v>
      </c>
      <c r="B168" s="1">
        <v>2019.0</v>
      </c>
      <c r="C168" s="1">
        <v>2603396.24</v>
      </c>
      <c r="D168" s="1">
        <v>539316.52</v>
      </c>
      <c r="E168" s="1">
        <v>1655.5</v>
      </c>
      <c r="F168" s="1">
        <v>85.13</v>
      </c>
      <c r="G168" s="1">
        <v>27.6</v>
      </c>
    </row>
    <row r="169" ht="14.25" customHeight="1">
      <c r="A169" s="1" t="s">
        <v>12</v>
      </c>
      <c r="B169" s="1">
        <v>2020.0</v>
      </c>
      <c r="C169" s="1">
        <v>2696877.46</v>
      </c>
      <c r="D169" s="1">
        <v>551320.76</v>
      </c>
      <c r="E169" s="1">
        <v>2300.2</v>
      </c>
      <c r="F169" s="1">
        <v>81.1</v>
      </c>
      <c r="G169" s="1">
        <v>26.14</v>
      </c>
    </row>
    <row r="170" ht="14.25" customHeight="1">
      <c r="A170" s="1" t="s">
        <v>13</v>
      </c>
      <c r="B170" s="1">
        <v>1993.0</v>
      </c>
      <c r="C170" s="1">
        <v>356709.0</v>
      </c>
      <c r="D170" s="1">
        <v>109807.0</v>
      </c>
      <c r="E170" s="1">
        <v>4150.0</v>
      </c>
      <c r="F170" s="1">
        <v>85.5</v>
      </c>
      <c r="G170" s="1">
        <v>25.95</v>
      </c>
    </row>
    <row r="171" ht="14.25" customHeight="1">
      <c r="A171" s="1" t="s">
        <v>13</v>
      </c>
      <c r="B171" s="1">
        <v>1994.0</v>
      </c>
      <c r="C171" s="1">
        <v>334232.0</v>
      </c>
      <c r="D171" s="1">
        <v>104747.0</v>
      </c>
      <c r="E171" s="1">
        <v>2043.0</v>
      </c>
      <c r="F171" s="1">
        <v>85.32</v>
      </c>
      <c r="G171" s="1">
        <v>25.68</v>
      </c>
    </row>
    <row r="172" ht="14.25" customHeight="1">
      <c r="A172" s="1" t="s">
        <v>13</v>
      </c>
      <c r="B172" s="1">
        <v>1995.0</v>
      </c>
      <c r="C172" s="1">
        <v>377337.0</v>
      </c>
      <c r="D172" s="1">
        <v>115914.0</v>
      </c>
      <c r="E172" s="1">
        <v>4478.0</v>
      </c>
      <c r="F172" s="1">
        <v>85.49</v>
      </c>
      <c r="G172" s="1">
        <v>26.12</v>
      </c>
    </row>
    <row r="173" ht="14.25" customHeight="1">
      <c r="A173" s="1" t="s">
        <v>13</v>
      </c>
      <c r="B173" s="1">
        <v>1996.0</v>
      </c>
      <c r="C173" s="1">
        <v>396977.0</v>
      </c>
      <c r="D173" s="1">
        <v>121929.0</v>
      </c>
      <c r="E173" s="1">
        <v>3931.0</v>
      </c>
      <c r="F173" s="1">
        <v>85.96</v>
      </c>
      <c r="G173" s="1">
        <v>25.66</v>
      </c>
    </row>
    <row r="174" ht="14.25" customHeight="1">
      <c r="A174" s="1" t="s">
        <v>13</v>
      </c>
      <c r="B174" s="1">
        <v>1997.0</v>
      </c>
      <c r="C174" s="1">
        <v>382123.0</v>
      </c>
      <c r="D174" s="1">
        <v>113915.0</v>
      </c>
      <c r="E174" s="1">
        <v>1167.0</v>
      </c>
      <c r="F174" s="1">
        <v>84.0</v>
      </c>
      <c r="G174" s="1">
        <v>25.84</v>
      </c>
    </row>
    <row r="175" ht="14.25" customHeight="1">
      <c r="A175" s="1" t="s">
        <v>13</v>
      </c>
      <c r="B175" s="1">
        <v>1998.0</v>
      </c>
      <c r="C175" s="1">
        <v>375533.0</v>
      </c>
      <c r="D175" s="1">
        <v>111158.0</v>
      </c>
      <c r="E175" s="1">
        <v>4114.0</v>
      </c>
      <c r="F175" s="1">
        <v>85.34</v>
      </c>
      <c r="G175" s="1">
        <v>26.4</v>
      </c>
    </row>
    <row r="176" ht="14.25" customHeight="1">
      <c r="A176" s="1" t="s">
        <v>13</v>
      </c>
      <c r="B176" s="1">
        <v>1999.0</v>
      </c>
      <c r="C176" s="1">
        <v>381577.0</v>
      </c>
      <c r="D176" s="1">
        <v>114788.0</v>
      </c>
      <c r="E176" s="1">
        <v>3084.0</v>
      </c>
      <c r="F176" s="1">
        <v>84.72</v>
      </c>
      <c r="G176" s="1">
        <v>25.81</v>
      </c>
    </row>
    <row r="177" ht="14.25" customHeight="1">
      <c r="A177" s="1" t="s">
        <v>13</v>
      </c>
      <c r="B177" s="1">
        <v>2000.0</v>
      </c>
      <c r="C177" s="1">
        <v>362979.0</v>
      </c>
      <c r="D177" s="1">
        <v>108751.0</v>
      </c>
      <c r="E177" s="1">
        <v>3254.0</v>
      </c>
      <c r="F177" s="1">
        <v>84.73</v>
      </c>
      <c r="G177" s="1">
        <v>24.22</v>
      </c>
    </row>
    <row r="178" ht="14.25" customHeight="1">
      <c r="A178" s="1" t="s">
        <v>13</v>
      </c>
      <c r="B178" s="1">
        <v>2001.0</v>
      </c>
      <c r="C178" s="1">
        <v>376973.0</v>
      </c>
      <c r="D178" s="1">
        <v>105212.0</v>
      </c>
      <c r="E178" s="1">
        <v>3010.0</v>
      </c>
      <c r="F178" s="1">
        <v>70.15</v>
      </c>
      <c r="G178" s="1">
        <v>26.8</v>
      </c>
    </row>
    <row r="179" ht="14.25" customHeight="1">
      <c r="A179" s="1" t="s">
        <v>13</v>
      </c>
      <c r="B179" s="1">
        <v>2002.0</v>
      </c>
      <c r="C179" s="1">
        <v>379818.0</v>
      </c>
      <c r="D179" s="1">
        <v>109519.0</v>
      </c>
      <c r="E179" s="1">
        <v>3076.0</v>
      </c>
      <c r="F179" s="1">
        <v>67.98</v>
      </c>
      <c r="G179" s="1">
        <v>28.5</v>
      </c>
    </row>
    <row r="180" ht="14.25" customHeight="1">
      <c r="A180" s="1" t="s">
        <v>13</v>
      </c>
      <c r="B180" s="1">
        <v>2003.0</v>
      </c>
      <c r="C180" s="1">
        <v>413375.0</v>
      </c>
      <c r="D180" s="1">
        <v>110550.0</v>
      </c>
      <c r="E180" s="1">
        <v>3030.0</v>
      </c>
      <c r="F180" s="1">
        <v>70.3</v>
      </c>
      <c r="G180" s="1">
        <v>29.5</v>
      </c>
    </row>
    <row r="181" ht="14.25" customHeight="1">
      <c r="A181" s="1" t="s">
        <v>13</v>
      </c>
      <c r="B181" s="1">
        <v>2004.0</v>
      </c>
      <c r="C181" s="1">
        <v>414741.0</v>
      </c>
      <c r="D181" s="1">
        <v>110929.0</v>
      </c>
      <c r="E181" s="1">
        <v>3277.0</v>
      </c>
      <c r="F181" s="1">
        <v>84.28</v>
      </c>
      <c r="G181" s="1">
        <v>29.7</v>
      </c>
    </row>
    <row r="182" ht="14.25" customHeight="1">
      <c r="A182" s="1" t="s">
        <v>13</v>
      </c>
      <c r="B182" s="1">
        <v>2005.0</v>
      </c>
      <c r="C182" s="1">
        <v>441276.0</v>
      </c>
      <c r="D182" s="1">
        <v>116818.0</v>
      </c>
      <c r="E182" s="1">
        <v>3375.2</v>
      </c>
      <c r="F182" s="1">
        <v>84.7</v>
      </c>
      <c r="G182" s="1">
        <v>25.7</v>
      </c>
    </row>
    <row r="183" ht="14.25" customHeight="1">
      <c r="A183" s="1" t="s">
        <v>13</v>
      </c>
      <c r="B183" s="1">
        <v>2006.0</v>
      </c>
      <c r="C183" s="1">
        <v>378377.0</v>
      </c>
      <c r="D183" s="1">
        <v>100991.0</v>
      </c>
      <c r="E183" s="1">
        <v>2313.8</v>
      </c>
      <c r="F183" s="1">
        <v>83.3</v>
      </c>
      <c r="G183" s="1">
        <v>26.1</v>
      </c>
    </row>
    <row r="184" ht="14.25" customHeight="1">
      <c r="A184" s="1" t="s">
        <v>13</v>
      </c>
      <c r="B184" s="1">
        <v>2007.0</v>
      </c>
      <c r="C184" s="1">
        <v>470469.0</v>
      </c>
      <c r="D184" s="1">
        <v>123853.0</v>
      </c>
      <c r="E184" s="1">
        <v>3150.0</v>
      </c>
      <c r="F184" s="1">
        <v>84.2</v>
      </c>
      <c r="G184" s="1">
        <v>26.4</v>
      </c>
    </row>
    <row r="185" ht="14.25" customHeight="1">
      <c r="A185" s="1" t="s">
        <v>13</v>
      </c>
      <c r="B185" s="1">
        <v>2008.0</v>
      </c>
      <c r="C185" s="1">
        <v>484900.0</v>
      </c>
      <c r="D185" s="1">
        <v>127506.0</v>
      </c>
      <c r="E185" s="1">
        <v>3396.0</v>
      </c>
      <c r="F185" s="1">
        <v>84.2</v>
      </c>
      <c r="G185" s="1">
        <v>26.3</v>
      </c>
    </row>
    <row r="186" ht="14.25" customHeight="1">
      <c r="A186" s="1" t="s">
        <v>13</v>
      </c>
      <c r="B186" s="1">
        <v>2009.0</v>
      </c>
      <c r="C186" s="1">
        <v>510160.0</v>
      </c>
      <c r="D186" s="1">
        <v>132975.0</v>
      </c>
      <c r="E186" s="1">
        <v>3850.0</v>
      </c>
      <c r="F186" s="1">
        <v>84.1</v>
      </c>
      <c r="G186" s="1">
        <v>26.5</v>
      </c>
    </row>
    <row r="187" ht="14.25" customHeight="1">
      <c r="A187" s="1" t="s">
        <v>13</v>
      </c>
      <c r="B187" s="1">
        <v>2010.0</v>
      </c>
      <c r="C187" s="1">
        <v>516869.0</v>
      </c>
      <c r="D187" s="1">
        <v>133629.0</v>
      </c>
      <c r="E187" s="1">
        <v>3822.0</v>
      </c>
      <c r="F187" s="1">
        <v>84.0</v>
      </c>
      <c r="G187" s="1">
        <v>26.8</v>
      </c>
    </row>
    <row r="188" ht="14.25" customHeight="1">
      <c r="A188" s="1" t="s">
        <v>13</v>
      </c>
      <c r="B188" s="1">
        <v>2011.0</v>
      </c>
      <c r="C188" s="1">
        <v>502552.0</v>
      </c>
      <c r="D188" s="1">
        <v>127934.0</v>
      </c>
      <c r="E188" s="1">
        <v>2465.7</v>
      </c>
      <c r="F188" s="1">
        <v>82.52</v>
      </c>
      <c r="G188" s="1">
        <v>26.35</v>
      </c>
    </row>
    <row r="189" ht="14.25" customHeight="1">
      <c r="A189" s="1" t="s">
        <v>13</v>
      </c>
      <c r="B189" s="1">
        <v>2012.0</v>
      </c>
      <c r="C189" s="1">
        <v>581910.0</v>
      </c>
      <c r="D189" s="1">
        <v>144448.0</v>
      </c>
      <c r="E189" s="1">
        <v>2545.0</v>
      </c>
      <c r="F189" s="1">
        <v>82.0</v>
      </c>
      <c r="G189" s="1">
        <v>26.9</v>
      </c>
    </row>
    <row r="190" ht="14.25" customHeight="1">
      <c r="A190" s="1" t="s">
        <v>13</v>
      </c>
      <c r="B190" s="1">
        <v>2013.0</v>
      </c>
      <c r="C190" s="1">
        <v>622832.0</v>
      </c>
      <c r="D190" s="1">
        <v>147680.0</v>
      </c>
      <c r="E190" s="1">
        <v>3980.9</v>
      </c>
      <c r="F190" s="1">
        <v>83.93</v>
      </c>
      <c r="G190" s="1">
        <v>26.7</v>
      </c>
    </row>
    <row r="191" ht="14.25" customHeight="1">
      <c r="A191" s="1" t="s">
        <v>13</v>
      </c>
      <c r="B191" s="1">
        <v>2014.0</v>
      </c>
      <c r="C191" s="1">
        <v>593194.0</v>
      </c>
      <c r="D191" s="1">
        <v>147572.0</v>
      </c>
      <c r="E191" s="1">
        <v>3323.0</v>
      </c>
      <c r="F191" s="1">
        <v>83.7</v>
      </c>
      <c r="G191" s="1">
        <v>26.9</v>
      </c>
    </row>
    <row r="192" ht="14.25" customHeight="1">
      <c r="A192" s="1" t="s">
        <v>13</v>
      </c>
      <c r="B192" s="1">
        <v>2015.0</v>
      </c>
      <c r="C192" s="1">
        <v>578654.0</v>
      </c>
      <c r="D192" s="1">
        <v>128833.0</v>
      </c>
      <c r="E192" s="1">
        <v>2668.9</v>
      </c>
      <c r="F192" s="1">
        <v>83.2</v>
      </c>
      <c r="G192" s="1">
        <v>27.0</v>
      </c>
    </row>
    <row r="193" ht="14.25" customHeight="1">
      <c r="A193" s="1" t="s">
        <v>13</v>
      </c>
      <c r="B193" s="1">
        <v>2016.0</v>
      </c>
      <c r="C193" s="1">
        <v>629224.0</v>
      </c>
      <c r="D193" s="1">
        <v>83449.0</v>
      </c>
      <c r="E193" s="1">
        <v>3350.1</v>
      </c>
      <c r="F193" s="1">
        <v>83.38</v>
      </c>
      <c r="G193" s="1">
        <v>26.77</v>
      </c>
    </row>
    <row r="194" ht="14.25" customHeight="1">
      <c r="A194" s="1" t="s">
        <v>13</v>
      </c>
      <c r="B194" s="1">
        <v>2017.0</v>
      </c>
      <c r="C194" s="1">
        <v>714017.0</v>
      </c>
      <c r="D194" s="1">
        <v>82429.0</v>
      </c>
      <c r="E194" s="1">
        <v>3949.8</v>
      </c>
      <c r="F194" s="1">
        <v>84.2</v>
      </c>
      <c r="G194" s="1">
        <v>26.52</v>
      </c>
    </row>
    <row r="195" ht="14.25" customHeight="1">
      <c r="A195" s="1" t="s">
        <v>13</v>
      </c>
      <c r="B195" s="1">
        <v>2018.0</v>
      </c>
      <c r="C195" s="1">
        <v>288810.52</v>
      </c>
      <c r="D195" s="1">
        <v>65891.16</v>
      </c>
      <c r="E195" s="1">
        <v>3649.9</v>
      </c>
      <c r="F195" s="1">
        <v>83.79</v>
      </c>
      <c r="G195" s="1">
        <v>26.64</v>
      </c>
    </row>
    <row r="196" ht="14.25" customHeight="1">
      <c r="A196" s="1" t="s">
        <v>13</v>
      </c>
      <c r="B196" s="1">
        <v>2019.0</v>
      </c>
      <c r="C196" s="1">
        <v>296472.07</v>
      </c>
      <c r="D196" s="1">
        <v>64406.86</v>
      </c>
      <c r="E196" s="1">
        <v>1786.2</v>
      </c>
      <c r="F196" s="1">
        <v>83.26</v>
      </c>
      <c r="G196" s="1">
        <v>26.56</v>
      </c>
    </row>
    <row r="197" ht="14.25" customHeight="1">
      <c r="A197" s="1" t="s">
        <v>13</v>
      </c>
      <c r="B197" s="1">
        <v>2020.0</v>
      </c>
      <c r="C197" s="1">
        <v>296925.16</v>
      </c>
      <c r="D197" s="1">
        <v>64137.28</v>
      </c>
      <c r="E197" s="1">
        <v>4144.0</v>
      </c>
      <c r="F197" s="1">
        <v>80.18</v>
      </c>
      <c r="G197" s="1">
        <v>25.84</v>
      </c>
    </row>
    <row r="198" ht="14.25" customHeight="1">
      <c r="A198" s="1" t="s">
        <v>14</v>
      </c>
      <c r="B198" s="1">
        <v>1993.0</v>
      </c>
      <c r="C198" s="1">
        <v>1646900.0</v>
      </c>
      <c r="D198" s="1">
        <v>433078.0</v>
      </c>
      <c r="E198" s="1">
        <v>2306.7</v>
      </c>
      <c r="F198" s="1">
        <v>84.82</v>
      </c>
      <c r="G198" s="1">
        <v>26.41</v>
      </c>
    </row>
    <row r="199" ht="14.25" customHeight="1">
      <c r="A199" s="1" t="s">
        <v>14</v>
      </c>
      <c r="B199" s="1">
        <v>1994.0</v>
      </c>
      <c r="C199" s="1">
        <v>1615751.0</v>
      </c>
      <c r="D199" s="1">
        <v>425940.0</v>
      </c>
      <c r="E199" s="1">
        <v>2034.2</v>
      </c>
      <c r="F199" s="1">
        <v>77.51</v>
      </c>
      <c r="G199" s="1">
        <v>25.73</v>
      </c>
    </row>
    <row r="200" ht="14.25" customHeight="1">
      <c r="A200" s="1" t="s">
        <v>14</v>
      </c>
      <c r="B200" s="1">
        <v>1995.0</v>
      </c>
      <c r="C200" s="1">
        <v>1943709.0</v>
      </c>
      <c r="D200" s="1">
        <v>514363.0</v>
      </c>
      <c r="E200" s="1">
        <v>3039.4</v>
      </c>
      <c r="F200" s="1">
        <v>82.81</v>
      </c>
      <c r="G200" s="1">
        <v>26.43</v>
      </c>
    </row>
    <row r="201" ht="14.25" customHeight="1">
      <c r="A201" s="1" t="s">
        <v>14</v>
      </c>
      <c r="B201" s="1">
        <v>1996.0</v>
      </c>
      <c r="C201" s="1">
        <v>1971740.0</v>
      </c>
      <c r="D201" s="1">
        <v>515192.0</v>
      </c>
      <c r="E201" s="1">
        <v>1934.9</v>
      </c>
      <c r="F201" s="1">
        <v>82.61</v>
      </c>
      <c r="G201" s="1">
        <v>26.27</v>
      </c>
    </row>
    <row r="202" ht="14.25" customHeight="1">
      <c r="A202" s="1" t="s">
        <v>14</v>
      </c>
      <c r="B202" s="1">
        <v>1997.0</v>
      </c>
      <c r="C202" s="1">
        <v>1753656.0</v>
      </c>
      <c r="D202" s="1">
        <v>454087.0</v>
      </c>
      <c r="E202" s="1">
        <v>1253.3</v>
      </c>
      <c r="F202" s="1">
        <v>78.46</v>
      </c>
      <c r="G202" s="1">
        <v>26.68</v>
      </c>
    </row>
    <row r="203" ht="14.25" customHeight="1">
      <c r="A203" s="1" t="s">
        <v>14</v>
      </c>
      <c r="B203" s="1">
        <v>1998.0</v>
      </c>
      <c r="C203" s="1">
        <v>1975700.0</v>
      </c>
      <c r="D203" s="1">
        <v>521575.0</v>
      </c>
      <c r="E203" s="1">
        <v>2584.9</v>
      </c>
      <c r="F203" s="1">
        <v>84.07</v>
      </c>
      <c r="G203" s="1">
        <v>26.95</v>
      </c>
    </row>
    <row r="204" ht="14.25" customHeight="1">
      <c r="A204" s="1" t="s">
        <v>14</v>
      </c>
      <c r="B204" s="1">
        <v>1999.0</v>
      </c>
      <c r="C204" s="1">
        <v>1801422.0</v>
      </c>
      <c r="D204" s="1">
        <v>476899.0</v>
      </c>
      <c r="E204" s="1">
        <v>2364.7</v>
      </c>
      <c r="F204" s="1">
        <v>83.46</v>
      </c>
      <c r="G204" s="1">
        <v>26.24</v>
      </c>
    </row>
    <row r="205" ht="14.25" customHeight="1">
      <c r="A205" s="1" t="s">
        <v>14</v>
      </c>
      <c r="B205" s="1">
        <v>2000.0</v>
      </c>
      <c r="C205" s="1">
        <v>1946406.0</v>
      </c>
      <c r="D205" s="1">
        <v>496879.0</v>
      </c>
      <c r="E205" s="1">
        <v>1488.5</v>
      </c>
      <c r="F205" s="1">
        <v>82.86</v>
      </c>
      <c r="G205" s="1">
        <v>28.2</v>
      </c>
    </row>
    <row r="206" ht="14.25" customHeight="1">
      <c r="A206" s="1" t="s">
        <v>14</v>
      </c>
      <c r="B206" s="1">
        <v>2001.0</v>
      </c>
      <c r="C206" s="1">
        <v>1992726.0</v>
      </c>
      <c r="D206" s="1">
        <v>501119.0</v>
      </c>
      <c r="E206" s="1">
        <v>2013.1</v>
      </c>
      <c r="F206" s="1">
        <v>77.83</v>
      </c>
      <c r="G206" s="1">
        <v>26.71</v>
      </c>
    </row>
    <row r="207" ht="14.25" customHeight="1">
      <c r="A207" s="1" t="s">
        <v>14</v>
      </c>
      <c r="B207" s="1">
        <v>2002.0</v>
      </c>
      <c r="C207" s="1">
        <v>1951109.0</v>
      </c>
      <c r="D207" s="1">
        <v>475461.0</v>
      </c>
      <c r="E207" s="1">
        <v>2143.5</v>
      </c>
      <c r="F207" s="1">
        <v>75.84</v>
      </c>
      <c r="G207" s="1">
        <v>27.5</v>
      </c>
    </row>
    <row r="208" ht="14.25" customHeight="1">
      <c r="A208" s="1" t="s">
        <v>14</v>
      </c>
      <c r="B208" s="1">
        <v>2003.0</v>
      </c>
      <c r="C208" s="1">
        <v>1966293.0</v>
      </c>
      <c r="D208" s="1">
        <v>472635.0</v>
      </c>
      <c r="E208" s="1">
        <v>1682.2</v>
      </c>
      <c r="F208" s="1">
        <v>68.71</v>
      </c>
      <c r="G208" s="1">
        <v>29.67</v>
      </c>
    </row>
    <row r="209" ht="14.25" customHeight="1">
      <c r="A209" s="1" t="s">
        <v>14</v>
      </c>
      <c r="B209" s="1">
        <v>2004.0</v>
      </c>
      <c r="C209" s="1">
        <v>2091996.0</v>
      </c>
      <c r="D209" s="1">
        <v>495519.0</v>
      </c>
      <c r="E209" s="1">
        <v>2042.9</v>
      </c>
      <c r="F209" s="1">
        <v>81.47</v>
      </c>
      <c r="G209" s="1">
        <v>29.66</v>
      </c>
    </row>
    <row r="210" ht="14.25" customHeight="1">
      <c r="A210" s="1" t="s">
        <v>14</v>
      </c>
      <c r="B210" s="1">
        <v>2005.0</v>
      </c>
      <c r="C210" s="1">
        <v>2124144.0</v>
      </c>
      <c r="D210" s="1">
        <v>496538.0</v>
      </c>
      <c r="E210" s="1">
        <v>1612.8</v>
      </c>
      <c r="F210" s="1">
        <v>79.6</v>
      </c>
      <c r="G210" s="1">
        <v>26.59</v>
      </c>
    </row>
    <row r="211" ht="14.25" customHeight="1">
      <c r="A211" s="1" t="s">
        <v>14</v>
      </c>
      <c r="B211" s="1">
        <v>2006.0</v>
      </c>
      <c r="C211" s="1">
        <v>2129914.0</v>
      </c>
      <c r="D211" s="1">
        <v>494102.0</v>
      </c>
      <c r="E211" s="1">
        <v>560.3</v>
      </c>
      <c r="F211" s="1">
        <v>74.6</v>
      </c>
      <c r="G211" s="1">
        <v>26.18</v>
      </c>
    </row>
    <row r="212" ht="14.25" customHeight="1">
      <c r="A212" s="1" t="s">
        <v>14</v>
      </c>
      <c r="B212" s="1">
        <v>2007.0</v>
      </c>
      <c r="C212" s="1">
        <v>2308404.0</v>
      </c>
      <c r="D212" s="1">
        <v>524955.0</v>
      </c>
      <c r="E212" s="1">
        <v>1941.4</v>
      </c>
      <c r="F212" s="1">
        <v>75.9</v>
      </c>
      <c r="G212" s="1">
        <v>27.6</v>
      </c>
    </row>
    <row r="213" ht="14.25" customHeight="1">
      <c r="A213" s="1" t="s">
        <v>14</v>
      </c>
      <c r="B213" s="1">
        <v>2008.0</v>
      </c>
      <c r="C213" s="1">
        <v>2341075.0</v>
      </c>
      <c r="D213" s="1">
        <v>506547.0</v>
      </c>
      <c r="E213" s="1">
        <v>1940.1</v>
      </c>
      <c r="F213" s="1">
        <v>79.0</v>
      </c>
      <c r="G213" s="1">
        <v>26.4</v>
      </c>
    </row>
    <row r="214" ht="14.25" customHeight="1">
      <c r="A214" s="1" t="s">
        <v>14</v>
      </c>
      <c r="B214" s="1">
        <v>2009.0</v>
      </c>
      <c r="C214" s="1">
        <v>2673844.0</v>
      </c>
      <c r="D214" s="1">
        <v>570417.0</v>
      </c>
      <c r="E214" s="1">
        <v>1789.0</v>
      </c>
      <c r="F214" s="1">
        <v>79.1</v>
      </c>
      <c r="G214" s="1">
        <v>26.7</v>
      </c>
    </row>
    <row r="215" ht="14.25" customHeight="1">
      <c r="A215" s="1" t="s">
        <v>14</v>
      </c>
      <c r="B215" s="1">
        <v>2010.0</v>
      </c>
      <c r="C215" s="1">
        <v>2807676.0</v>
      </c>
      <c r="D215" s="1">
        <v>590608.0</v>
      </c>
      <c r="E215" s="1">
        <v>2710.0</v>
      </c>
      <c r="F215" s="1">
        <v>82.3</v>
      </c>
      <c r="G215" s="1">
        <v>26.7</v>
      </c>
    </row>
    <row r="216" ht="14.25" customHeight="1">
      <c r="A216" s="1" t="s">
        <v>14</v>
      </c>
      <c r="B216" s="1">
        <v>2011.0</v>
      </c>
      <c r="C216" s="1">
        <v>2940795.0</v>
      </c>
      <c r="D216" s="1">
        <v>606973.0</v>
      </c>
      <c r="E216" s="1">
        <v>1568.0</v>
      </c>
      <c r="F216" s="1">
        <v>77.8</v>
      </c>
      <c r="G216" s="1">
        <v>26.8</v>
      </c>
    </row>
    <row r="217" ht="14.25" customHeight="1">
      <c r="A217" s="1" t="s">
        <v>14</v>
      </c>
      <c r="B217" s="1">
        <v>2012.0</v>
      </c>
      <c r="C217" s="1">
        <v>3101455.0</v>
      </c>
      <c r="D217" s="1">
        <v>641876.0</v>
      </c>
      <c r="E217" s="1">
        <v>1685.0</v>
      </c>
      <c r="F217" s="1">
        <v>79.2</v>
      </c>
      <c r="G217" s="1">
        <v>26.8</v>
      </c>
    </row>
    <row r="218" ht="14.25" customHeight="1">
      <c r="A218" s="1" t="s">
        <v>14</v>
      </c>
      <c r="B218" s="1">
        <v>2013.0</v>
      </c>
      <c r="C218" s="1">
        <v>3207002.0</v>
      </c>
      <c r="D218" s="1">
        <v>638090.0</v>
      </c>
      <c r="E218" s="1">
        <v>2456.7</v>
      </c>
      <c r="F218" s="1">
        <v>81.0</v>
      </c>
      <c r="G218" s="1">
        <v>26.7</v>
      </c>
    </row>
    <row r="219" ht="14.25" customHeight="1">
      <c r="A219" s="1" t="s">
        <v>14</v>
      </c>
      <c r="B219" s="1">
        <v>2014.0</v>
      </c>
      <c r="C219" s="1">
        <v>3320064.0</v>
      </c>
      <c r="D219" s="1">
        <v>648731.0</v>
      </c>
      <c r="E219" s="1">
        <v>1682.5</v>
      </c>
      <c r="F219" s="1">
        <v>79.9</v>
      </c>
      <c r="G219" s="1">
        <v>25.8</v>
      </c>
    </row>
    <row r="220" ht="14.25" customHeight="1">
      <c r="A220" s="1" t="s">
        <v>14</v>
      </c>
      <c r="B220" s="1">
        <v>2015.0</v>
      </c>
      <c r="C220" s="1">
        <v>3641895.0</v>
      </c>
      <c r="D220" s="1">
        <v>707266.0</v>
      </c>
      <c r="E220" s="1">
        <v>1628.1</v>
      </c>
      <c r="F220" s="1">
        <v>78.9</v>
      </c>
      <c r="G220" s="1">
        <v>27.1</v>
      </c>
    </row>
    <row r="221" ht="14.25" customHeight="1">
      <c r="A221" s="1" t="s">
        <v>14</v>
      </c>
      <c r="B221" s="1">
        <v>2016.0</v>
      </c>
      <c r="C221" s="1">
        <v>3831923.0</v>
      </c>
      <c r="D221" s="1">
        <v>390799.0</v>
      </c>
      <c r="E221" s="1">
        <v>2317.6</v>
      </c>
      <c r="F221" s="1">
        <v>79.4</v>
      </c>
      <c r="G221" s="1">
        <v>26.45</v>
      </c>
    </row>
    <row r="222" ht="14.25" customHeight="1">
      <c r="A222" s="1" t="s">
        <v>14</v>
      </c>
      <c r="B222" s="1">
        <v>2017.0</v>
      </c>
      <c r="C222" s="1">
        <v>4090654.0</v>
      </c>
      <c r="D222" s="1">
        <v>396559.0</v>
      </c>
      <c r="E222" s="1">
        <v>1825.1</v>
      </c>
      <c r="F222" s="1">
        <v>77.04</v>
      </c>
      <c r="G222" s="1">
        <v>26.36</v>
      </c>
    </row>
    <row r="223" ht="14.25" customHeight="1">
      <c r="A223" s="1" t="s">
        <v>14</v>
      </c>
      <c r="B223" s="1">
        <v>2018.0</v>
      </c>
      <c r="C223" s="1">
        <v>2488641.91</v>
      </c>
      <c r="D223" s="1">
        <v>511940.93</v>
      </c>
      <c r="E223" s="1">
        <v>1385.8</v>
      </c>
      <c r="F223" s="1">
        <v>76.05</v>
      </c>
      <c r="G223" s="1">
        <v>25.5</v>
      </c>
    </row>
    <row r="224" ht="14.25" customHeight="1">
      <c r="A224" s="1" t="s">
        <v>14</v>
      </c>
      <c r="B224" s="1">
        <v>2019.0</v>
      </c>
      <c r="C224" s="1">
        <v>2164089.33</v>
      </c>
      <c r="D224" s="1">
        <v>464103.42</v>
      </c>
      <c r="E224" s="1">
        <v>1706.4</v>
      </c>
      <c r="F224" s="1">
        <v>78.03</v>
      </c>
      <c r="G224" s="1">
        <v>27.23</v>
      </c>
    </row>
    <row r="225" ht="14.25" customHeight="1">
      <c r="A225" s="1" t="s">
        <v>14</v>
      </c>
      <c r="B225" s="1">
        <v>2020.0</v>
      </c>
      <c r="C225" s="1">
        <v>2604913.29</v>
      </c>
      <c r="D225" s="1">
        <v>545149.05</v>
      </c>
      <c r="E225" s="1">
        <v>2211.3</v>
      </c>
      <c r="F225" s="1">
        <v>75.8</v>
      </c>
      <c r="G225" s="1">
        <v>24.58</v>
      </c>
    </row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8.57"/>
    <col customWidth="1" min="6" max="6" width="14.71"/>
    <col customWidth="1" min="7" max="7" width="28.71"/>
  </cols>
  <sheetData>
    <row r="1">
      <c r="A1" s="5" t="s">
        <v>15</v>
      </c>
      <c r="D1" s="5" t="s">
        <v>16</v>
      </c>
      <c r="G1" s="5" t="s">
        <v>17</v>
      </c>
    </row>
    <row r="2">
      <c r="A2" s="6" t="s">
        <v>0</v>
      </c>
      <c r="B2" s="6" t="s">
        <v>18</v>
      </c>
      <c r="D2" s="6" t="s">
        <v>6</v>
      </c>
      <c r="E2" s="6" t="s">
        <v>18</v>
      </c>
      <c r="G2" s="6" t="s">
        <v>19</v>
      </c>
      <c r="H2" s="6" t="s">
        <v>18</v>
      </c>
    </row>
    <row r="3">
      <c r="A3" s="6" t="s">
        <v>7</v>
      </c>
      <c r="B3" s="6" t="s">
        <v>20</v>
      </c>
      <c r="D3" s="6" t="s">
        <v>21</v>
      </c>
      <c r="E3" s="6" t="s">
        <v>22</v>
      </c>
      <c r="G3" s="6" t="s">
        <v>23</v>
      </c>
      <c r="H3" s="6" t="s">
        <v>24</v>
      </c>
    </row>
    <row r="4">
      <c r="A4" s="6" t="s">
        <v>8</v>
      </c>
      <c r="B4" s="6" t="s">
        <v>25</v>
      </c>
      <c r="D4" s="6" t="s">
        <v>26</v>
      </c>
      <c r="E4" s="6" t="s">
        <v>27</v>
      </c>
      <c r="G4" s="6" t="s">
        <v>28</v>
      </c>
      <c r="H4" s="6" t="s">
        <v>29</v>
      </c>
    </row>
    <row r="5">
      <c r="A5" s="6" t="s">
        <v>9</v>
      </c>
      <c r="B5" s="6" t="s">
        <v>30</v>
      </c>
      <c r="D5" s="6" t="s">
        <v>31</v>
      </c>
      <c r="E5" s="6" t="s">
        <v>32</v>
      </c>
    </row>
    <row r="6">
      <c r="A6" s="6" t="s">
        <v>10</v>
      </c>
      <c r="B6" s="6" t="s">
        <v>33</v>
      </c>
    </row>
    <row r="7">
      <c r="A7" s="6" t="s">
        <v>34</v>
      </c>
      <c r="B7" s="6" t="s">
        <v>35</v>
      </c>
    </row>
    <row r="8">
      <c r="A8" s="6" t="s">
        <v>12</v>
      </c>
      <c r="B8" s="6" t="s">
        <v>36</v>
      </c>
    </row>
    <row r="9">
      <c r="A9" s="6" t="s">
        <v>13</v>
      </c>
      <c r="B9" s="6" t="s">
        <v>37</v>
      </c>
      <c r="D9" s="5" t="s">
        <v>38</v>
      </c>
      <c r="G9" s="5" t="s">
        <v>39</v>
      </c>
    </row>
    <row r="10">
      <c r="A10" s="6" t="s">
        <v>14</v>
      </c>
      <c r="B10" s="6" t="s">
        <v>40</v>
      </c>
      <c r="D10" s="6" t="s">
        <v>41</v>
      </c>
      <c r="E10" s="6" t="s">
        <v>18</v>
      </c>
      <c r="G10" s="6" t="s">
        <v>2</v>
      </c>
      <c r="H10" s="6" t="s">
        <v>18</v>
      </c>
    </row>
    <row r="11">
      <c r="D11" s="6" t="s">
        <v>42</v>
      </c>
      <c r="E11" s="6" t="s">
        <v>43</v>
      </c>
      <c r="G11" s="7" t="s">
        <v>44</v>
      </c>
      <c r="H11" s="6" t="s">
        <v>45</v>
      </c>
    </row>
    <row r="12">
      <c r="D12" s="6" t="s">
        <v>46</v>
      </c>
      <c r="E12" s="6" t="s">
        <v>47</v>
      </c>
      <c r="G12" s="8" t="s">
        <v>48</v>
      </c>
      <c r="H12" s="6" t="s">
        <v>49</v>
      </c>
    </row>
    <row r="13">
      <c r="D13" s="6" t="s">
        <v>50</v>
      </c>
      <c r="E13" s="6" t="s">
        <v>51</v>
      </c>
    </row>
    <row r="14">
      <c r="D14" s="6" t="s">
        <v>52</v>
      </c>
      <c r="E14" s="6" t="s">
        <v>53</v>
      </c>
    </row>
    <row r="17">
      <c r="G17" s="5" t="s">
        <v>54</v>
      </c>
    </row>
    <row r="18">
      <c r="G18" s="6" t="s">
        <v>3</v>
      </c>
      <c r="H18" s="6" t="s">
        <v>18</v>
      </c>
    </row>
    <row r="19">
      <c r="G19" s="6" t="s">
        <v>55</v>
      </c>
      <c r="H19" s="6" t="s">
        <v>56</v>
      </c>
    </row>
    <row r="20">
      <c r="G20" s="6" t="s">
        <v>57</v>
      </c>
      <c r="H20" s="6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2.0"/>
    <col customWidth="1" min="3" max="3" width="17.71"/>
    <col customWidth="1" min="4" max="4" width="15.43"/>
    <col customWidth="1" min="5" max="6" width="15.29"/>
    <col customWidth="1" min="7" max="7" width="20.43"/>
    <col customWidth="1" min="8" max="8" width="16.29"/>
    <col customWidth="1" min="9" max="9" width="16.86"/>
    <col customWidth="1" min="10" max="10" width="8.71"/>
    <col customWidth="1" min="11" max="11" width="18.86"/>
    <col customWidth="1" min="12" max="25" width="8.71"/>
  </cols>
  <sheetData>
    <row r="1" ht="14.25" customHeight="1">
      <c r="A1" s="1" t="s">
        <v>0</v>
      </c>
      <c r="B1" s="1" t="s">
        <v>1</v>
      </c>
      <c r="C1" s="6" t="s">
        <v>2</v>
      </c>
      <c r="D1" s="6" t="s">
        <v>3</v>
      </c>
      <c r="E1" s="9" t="s">
        <v>4</v>
      </c>
      <c r="F1" s="6" t="s">
        <v>5</v>
      </c>
      <c r="G1" s="6" t="s">
        <v>6</v>
      </c>
    </row>
    <row r="2" ht="14.25" customHeight="1">
      <c r="A2" s="1" t="s">
        <v>7</v>
      </c>
      <c r="B2" s="1">
        <v>1993.0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32</v>
      </c>
      <c r="H2" s="7"/>
    </row>
    <row r="3" ht="14.25" customHeight="1">
      <c r="A3" s="1" t="s">
        <v>7</v>
      </c>
      <c r="B3" s="1">
        <v>1994.0</v>
      </c>
      <c r="C3" s="1" t="s">
        <v>59</v>
      </c>
      <c r="D3" s="1" t="s">
        <v>60</v>
      </c>
      <c r="E3" s="1" t="s">
        <v>61</v>
      </c>
      <c r="F3" s="1" t="s">
        <v>62</v>
      </c>
      <c r="G3" s="1" t="s">
        <v>32</v>
      </c>
      <c r="H3" s="8"/>
    </row>
    <row r="4" ht="14.25" customHeight="1">
      <c r="A4" s="1" t="s">
        <v>7</v>
      </c>
      <c r="B4" s="1">
        <v>1995.0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32</v>
      </c>
    </row>
    <row r="5" ht="14.25" customHeight="1">
      <c r="A5" s="1" t="s">
        <v>7</v>
      </c>
      <c r="B5" s="1">
        <v>1996.0</v>
      </c>
      <c r="C5" s="1" t="s">
        <v>59</v>
      </c>
      <c r="D5" s="1" t="s">
        <v>60</v>
      </c>
      <c r="E5" s="1" t="s">
        <v>61</v>
      </c>
      <c r="F5" s="1" t="s">
        <v>62</v>
      </c>
      <c r="G5" s="1" t="s">
        <v>32</v>
      </c>
    </row>
    <row r="6" ht="14.25" customHeight="1">
      <c r="A6" s="1" t="s">
        <v>7</v>
      </c>
      <c r="B6" s="1">
        <v>1997.0</v>
      </c>
      <c r="C6" s="1" t="s">
        <v>59</v>
      </c>
      <c r="D6" s="1" t="s">
        <v>60</v>
      </c>
      <c r="E6" s="1" t="s">
        <v>61</v>
      </c>
      <c r="F6" s="1" t="s">
        <v>62</v>
      </c>
      <c r="G6" s="1" t="s">
        <v>32</v>
      </c>
    </row>
    <row r="7" ht="14.25" customHeight="1">
      <c r="A7" s="1" t="s">
        <v>7</v>
      </c>
      <c r="B7" s="1">
        <v>1998.0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32</v>
      </c>
    </row>
    <row r="8" ht="14.25" customHeight="1">
      <c r="A8" s="1" t="s">
        <v>7</v>
      </c>
      <c r="B8" s="1">
        <v>1999.0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32</v>
      </c>
    </row>
    <row r="9" ht="14.25" customHeight="1">
      <c r="A9" s="1" t="s">
        <v>7</v>
      </c>
      <c r="B9" s="1">
        <v>2000.0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32</v>
      </c>
      <c r="N9" s="2"/>
    </row>
    <row r="10" ht="14.25" customHeight="1">
      <c r="A10" s="1" t="s">
        <v>7</v>
      </c>
      <c r="B10" s="1">
        <v>2001.0</v>
      </c>
      <c r="C10" s="1" t="s">
        <v>59</v>
      </c>
      <c r="D10" s="1" t="s">
        <v>60</v>
      </c>
      <c r="E10" s="1" t="s">
        <v>61</v>
      </c>
      <c r="F10" s="1" t="s">
        <v>62</v>
      </c>
      <c r="G10" s="1" t="s">
        <v>32</v>
      </c>
    </row>
    <row r="11" ht="14.25" customHeight="1">
      <c r="A11" s="1" t="s">
        <v>7</v>
      </c>
      <c r="B11" s="1">
        <v>2002.0</v>
      </c>
      <c r="C11" s="1" t="s">
        <v>59</v>
      </c>
      <c r="D11" s="1" t="s">
        <v>60</v>
      </c>
      <c r="E11" s="1" t="s">
        <v>61</v>
      </c>
      <c r="F11" s="1" t="s">
        <v>62</v>
      </c>
      <c r="G11" s="1" t="s">
        <v>32</v>
      </c>
    </row>
    <row r="12" ht="14.25" customHeight="1">
      <c r="A12" s="1" t="s">
        <v>7</v>
      </c>
      <c r="B12" s="1">
        <v>2003.0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32</v>
      </c>
    </row>
    <row r="13" ht="14.25" customHeight="1">
      <c r="A13" s="1" t="s">
        <v>7</v>
      </c>
      <c r="B13" s="1">
        <v>2004.0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32</v>
      </c>
    </row>
    <row r="14" ht="14.25" customHeight="1">
      <c r="A14" s="1" t="s">
        <v>7</v>
      </c>
      <c r="B14" s="1">
        <v>2005.0</v>
      </c>
      <c r="C14" s="1" t="s">
        <v>59</v>
      </c>
      <c r="D14" s="1" t="s">
        <v>60</v>
      </c>
      <c r="E14" s="1" t="s">
        <v>27</v>
      </c>
      <c r="F14" s="1" t="s">
        <v>62</v>
      </c>
      <c r="G14" s="1" t="s">
        <v>32</v>
      </c>
    </row>
    <row r="15" ht="14.25" customHeight="1">
      <c r="A15" s="1" t="s">
        <v>7</v>
      </c>
      <c r="B15" s="1">
        <v>2006.0</v>
      </c>
      <c r="C15" s="1" t="s">
        <v>59</v>
      </c>
      <c r="D15" s="1" t="s">
        <v>60</v>
      </c>
      <c r="E15" s="1" t="s">
        <v>27</v>
      </c>
      <c r="F15" s="1" t="s">
        <v>62</v>
      </c>
      <c r="G15" s="1" t="s">
        <v>32</v>
      </c>
      <c r="J15" s="3"/>
    </row>
    <row r="16" ht="14.25" customHeight="1">
      <c r="A16" s="1" t="s">
        <v>7</v>
      </c>
      <c r="B16" s="1">
        <v>2007.0</v>
      </c>
      <c r="C16" s="1" t="s">
        <v>59</v>
      </c>
      <c r="D16" s="1" t="s">
        <v>60</v>
      </c>
      <c r="E16" s="1" t="s">
        <v>61</v>
      </c>
      <c r="F16" s="1" t="s">
        <v>62</v>
      </c>
      <c r="G16" s="1" t="s">
        <v>32</v>
      </c>
    </row>
    <row r="17" ht="14.25" customHeight="1">
      <c r="A17" s="1" t="s">
        <v>7</v>
      </c>
      <c r="B17" s="1">
        <v>2008.0</v>
      </c>
      <c r="C17" s="1" t="s">
        <v>59</v>
      </c>
      <c r="D17" s="1" t="s">
        <v>60</v>
      </c>
      <c r="E17" s="1" t="s">
        <v>61</v>
      </c>
      <c r="F17" s="1" t="s">
        <v>62</v>
      </c>
      <c r="G17" s="1" t="s">
        <v>32</v>
      </c>
    </row>
    <row r="18" ht="14.25" customHeight="1">
      <c r="A18" s="1" t="s">
        <v>7</v>
      </c>
      <c r="B18" s="1">
        <v>2009.0</v>
      </c>
      <c r="C18" s="1" t="s">
        <v>59</v>
      </c>
      <c r="D18" s="1" t="s">
        <v>60</v>
      </c>
      <c r="E18" s="1" t="s">
        <v>61</v>
      </c>
      <c r="F18" s="1" t="s">
        <v>62</v>
      </c>
      <c r="G18" s="1" t="s">
        <v>32</v>
      </c>
    </row>
    <row r="19" ht="14.25" customHeight="1">
      <c r="A19" s="1" t="s">
        <v>7</v>
      </c>
      <c r="B19" s="1">
        <v>2010.0</v>
      </c>
      <c r="C19" s="1" t="s">
        <v>63</v>
      </c>
      <c r="D19" s="1" t="s">
        <v>60</v>
      </c>
      <c r="E19" s="1" t="s">
        <v>61</v>
      </c>
      <c r="F19" s="1" t="s">
        <v>62</v>
      </c>
      <c r="G19" s="1" t="s">
        <v>32</v>
      </c>
    </row>
    <row r="20" ht="14.25" customHeight="1">
      <c r="A20" s="1" t="s">
        <v>7</v>
      </c>
      <c r="B20" s="1">
        <v>2011.0</v>
      </c>
      <c r="C20" s="1" t="s">
        <v>63</v>
      </c>
      <c r="D20" s="1" t="s">
        <v>64</v>
      </c>
      <c r="E20" s="1" t="s">
        <v>61</v>
      </c>
      <c r="F20" s="1" t="s">
        <v>62</v>
      </c>
      <c r="G20" s="1" t="s">
        <v>32</v>
      </c>
    </row>
    <row r="21" ht="14.25" customHeight="1">
      <c r="A21" s="1" t="s">
        <v>7</v>
      </c>
      <c r="B21" s="1">
        <v>2012.0</v>
      </c>
      <c r="C21" s="1" t="s">
        <v>59</v>
      </c>
      <c r="D21" s="1" t="s">
        <v>64</v>
      </c>
      <c r="E21" s="1" t="s">
        <v>61</v>
      </c>
      <c r="F21" s="1" t="s">
        <v>62</v>
      </c>
      <c r="G21" s="1" t="s">
        <v>32</v>
      </c>
    </row>
    <row r="22" ht="14.25" customHeight="1">
      <c r="A22" s="1" t="s">
        <v>7</v>
      </c>
      <c r="B22" s="1">
        <v>2013.0</v>
      </c>
      <c r="C22" s="1" t="s">
        <v>63</v>
      </c>
      <c r="D22" s="1" t="s">
        <v>64</v>
      </c>
      <c r="E22" s="1" t="s">
        <v>61</v>
      </c>
      <c r="F22" s="1" t="s">
        <v>62</v>
      </c>
      <c r="G22" s="1" t="s">
        <v>32</v>
      </c>
    </row>
    <row r="23" ht="14.25" customHeight="1">
      <c r="A23" s="1" t="s">
        <v>7</v>
      </c>
      <c r="B23" s="1">
        <v>2014.0</v>
      </c>
      <c r="C23" s="1" t="s">
        <v>63</v>
      </c>
      <c r="D23" s="1" t="s">
        <v>64</v>
      </c>
      <c r="E23" s="1" t="s">
        <v>65</v>
      </c>
      <c r="F23" s="1" t="s">
        <v>62</v>
      </c>
      <c r="G23" s="1" t="s">
        <v>32</v>
      </c>
    </row>
    <row r="24" ht="14.25" customHeight="1">
      <c r="A24" s="1" t="s">
        <v>7</v>
      </c>
      <c r="B24" s="1">
        <v>2015.0</v>
      </c>
      <c r="C24" s="1" t="s">
        <v>63</v>
      </c>
      <c r="D24" s="1" t="s">
        <v>64</v>
      </c>
      <c r="E24" s="1" t="s">
        <v>61</v>
      </c>
      <c r="F24" s="1" t="s">
        <v>62</v>
      </c>
      <c r="G24" s="1" t="s">
        <v>32</v>
      </c>
    </row>
    <row r="25" ht="14.25" customHeight="1">
      <c r="A25" s="1" t="s">
        <v>7</v>
      </c>
      <c r="B25" s="1">
        <v>2016.0</v>
      </c>
      <c r="C25" s="1" t="s">
        <v>63</v>
      </c>
      <c r="D25" s="1" t="s">
        <v>60</v>
      </c>
      <c r="E25" s="1" t="s">
        <v>61</v>
      </c>
      <c r="F25" s="1" t="s">
        <v>62</v>
      </c>
      <c r="G25" s="1" t="s">
        <v>32</v>
      </c>
    </row>
    <row r="26" ht="14.25" customHeight="1">
      <c r="A26" s="1" t="s">
        <v>7</v>
      </c>
      <c r="B26" s="1">
        <v>2017.0</v>
      </c>
      <c r="C26" s="1" t="s">
        <v>63</v>
      </c>
      <c r="D26" s="1" t="s">
        <v>60</v>
      </c>
      <c r="E26" s="1" t="s">
        <v>61</v>
      </c>
      <c r="F26" s="1" t="s">
        <v>62</v>
      </c>
      <c r="G26" s="1" t="s">
        <v>32</v>
      </c>
    </row>
    <row r="27" ht="14.25" customHeight="1">
      <c r="A27" s="1" t="s">
        <v>7</v>
      </c>
      <c r="B27" s="1">
        <v>2018.0</v>
      </c>
      <c r="C27" s="1" t="s">
        <v>63</v>
      </c>
      <c r="D27" s="1" t="s">
        <v>60</v>
      </c>
      <c r="E27" s="1" t="s">
        <v>61</v>
      </c>
      <c r="F27" s="1" t="s">
        <v>62</v>
      </c>
      <c r="G27" s="1" t="s">
        <v>32</v>
      </c>
    </row>
    <row r="28" ht="14.25" customHeight="1">
      <c r="A28" s="1" t="s">
        <v>7</v>
      </c>
      <c r="B28" s="1">
        <v>2019.0</v>
      </c>
      <c r="C28" s="1" t="s">
        <v>63</v>
      </c>
      <c r="D28" s="1" t="s">
        <v>60</v>
      </c>
      <c r="E28" s="1" t="s">
        <v>61</v>
      </c>
      <c r="F28" s="1" t="s">
        <v>62</v>
      </c>
      <c r="G28" s="1" t="s">
        <v>32</v>
      </c>
    </row>
    <row r="29" ht="14.25" customHeight="1">
      <c r="A29" s="1" t="s">
        <v>7</v>
      </c>
      <c r="B29" s="1">
        <v>2020.0</v>
      </c>
      <c r="C29" s="1" t="s">
        <v>63</v>
      </c>
      <c r="D29" s="1" t="s">
        <v>60</v>
      </c>
      <c r="E29" s="1" t="s">
        <v>61</v>
      </c>
      <c r="F29" s="1" t="s">
        <v>62</v>
      </c>
      <c r="G29" s="1" t="s">
        <v>27</v>
      </c>
      <c r="K29" s="4"/>
    </row>
    <row r="30" ht="14.25" customHeight="1">
      <c r="A30" s="1" t="s">
        <v>8</v>
      </c>
      <c r="B30" s="1">
        <v>1993.0</v>
      </c>
      <c r="C30" s="1" t="s">
        <v>63</v>
      </c>
      <c r="D30" s="1" t="s">
        <v>64</v>
      </c>
      <c r="E30" s="1" t="s">
        <v>65</v>
      </c>
      <c r="F30" s="1" t="s">
        <v>62</v>
      </c>
      <c r="G30" s="1" t="s">
        <v>32</v>
      </c>
    </row>
    <row r="31" ht="14.25" customHeight="1">
      <c r="A31" s="1" t="s">
        <v>8</v>
      </c>
      <c r="B31" s="1">
        <v>1994.0</v>
      </c>
      <c r="C31" s="1" t="s">
        <v>63</v>
      </c>
      <c r="D31" s="1" t="s">
        <v>64</v>
      </c>
      <c r="E31" s="1" t="s">
        <v>65</v>
      </c>
      <c r="F31" s="1" t="s">
        <v>62</v>
      </c>
      <c r="G31" s="1" t="s">
        <v>32</v>
      </c>
    </row>
    <row r="32" ht="14.25" customHeight="1">
      <c r="A32" s="1" t="s">
        <v>8</v>
      </c>
      <c r="B32" s="1">
        <v>1995.0</v>
      </c>
      <c r="C32" s="1" t="s">
        <v>63</v>
      </c>
      <c r="D32" s="1" t="s">
        <v>64</v>
      </c>
      <c r="E32" s="1" t="s">
        <v>65</v>
      </c>
      <c r="F32" s="1" t="s">
        <v>62</v>
      </c>
      <c r="G32" s="1" t="s">
        <v>32</v>
      </c>
    </row>
    <row r="33" ht="14.25" customHeight="1">
      <c r="A33" s="1" t="s">
        <v>8</v>
      </c>
      <c r="B33" s="1">
        <v>1996.0</v>
      </c>
      <c r="C33" s="1" t="s">
        <v>63</v>
      </c>
      <c r="D33" s="1" t="s">
        <v>64</v>
      </c>
      <c r="E33" s="1" t="s">
        <v>65</v>
      </c>
      <c r="F33" s="1" t="s">
        <v>62</v>
      </c>
      <c r="G33" s="1" t="s">
        <v>32</v>
      </c>
    </row>
    <row r="34" ht="14.25" customHeight="1">
      <c r="A34" s="1" t="s">
        <v>8</v>
      </c>
      <c r="B34" s="1">
        <v>1997.0</v>
      </c>
      <c r="C34" s="1" t="s">
        <v>63</v>
      </c>
      <c r="D34" s="1" t="s">
        <v>64</v>
      </c>
      <c r="E34" s="1" t="s">
        <v>61</v>
      </c>
      <c r="F34" s="1" t="s">
        <v>62</v>
      </c>
      <c r="G34" s="1" t="s">
        <v>32</v>
      </c>
    </row>
    <row r="35" ht="14.25" customHeight="1">
      <c r="A35" s="1" t="s">
        <v>8</v>
      </c>
      <c r="B35" s="1">
        <v>1998.0</v>
      </c>
      <c r="C35" s="1" t="s">
        <v>63</v>
      </c>
      <c r="D35" s="1" t="s">
        <v>64</v>
      </c>
      <c r="E35" s="1" t="s">
        <v>65</v>
      </c>
      <c r="F35" s="1" t="s">
        <v>62</v>
      </c>
      <c r="G35" s="1" t="s">
        <v>32</v>
      </c>
    </row>
    <row r="36" ht="14.25" customHeight="1">
      <c r="A36" s="1" t="s">
        <v>8</v>
      </c>
      <c r="B36" s="1">
        <v>1999.0</v>
      </c>
      <c r="C36" s="1" t="s">
        <v>63</v>
      </c>
      <c r="D36" s="1" t="s">
        <v>64</v>
      </c>
      <c r="E36" s="1" t="s">
        <v>65</v>
      </c>
      <c r="F36" s="1" t="s">
        <v>62</v>
      </c>
      <c r="G36" s="1" t="s">
        <v>32</v>
      </c>
    </row>
    <row r="37" ht="14.25" customHeight="1">
      <c r="A37" s="1" t="s">
        <v>8</v>
      </c>
      <c r="B37" s="1">
        <v>2000.0</v>
      </c>
      <c r="C37" s="1" t="s">
        <v>63</v>
      </c>
      <c r="D37" s="1" t="s">
        <v>64</v>
      </c>
      <c r="E37" s="1" t="s">
        <v>61</v>
      </c>
      <c r="F37" s="1" t="s">
        <v>62</v>
      </c>
      <c r="G37" s="1" t="s">
        <v>32</v>
      </c>
    </row>
    <row r="38" ht="14.25" customHeight="1">
      <c r="A38" s="1" t="s">
        <v>8</v>
      </c>
      <c r="B38" s="1">
        <v>2001.0</v>
      </c>
      <c r="C38" s="1" t="s">
        <v>63</v>
      </c>
      <c r="D38" s="1" t="s">
        <v>64</v>
      </c>
      <c r="E38" s="1" t="s">
        <v>65</v>
      </c>
      <c r="F38" s="1" t="s">
        <v>62</v>
      </c>
      <c r="G38" s="1" t="s">
        <v>32</v>
      </c>
    </row>
    <row r="39" ht="14.25" customHeight="1">
      <c r="A39" s="1" t="s">
        <v>8</v>
      </c>
      <c r="B39" s="1">
        <v>2002.0</v>
      </c>
      <c r="C39" s="1" t="s">
        <v>63</v>
      </c>
      <c r="D39" s="1" t="s">
        <v>64</v>
      </c>
      <c r="E39" s="1" t="s">
        <v>61</v>
      </c>
      <c r="F39" s="1" t="s">
        <v>62</v>
      </c>
      <c r="G39" s="1" t="s">
        <v>32</v>
      </c>
    </row>
    <row r="40" ht="14.25" customHeight="1">
      <c r="A40" s="1" t="s">
        <v>8</v>
      </c>
      <c r="B40" s="1">
        <v>2003.0</v>
      </c>
      <c r="C40" s="1" t="s">
        <v>63</v>
      </c>
      <c r="D40" s="1" t="s">
        <v>64</v>
      </c>
      <c r="E40" s="1" t="s">
        <v>65</v>
      </c>
      <c r="F40" s="1" t="s">
        <v>62</v>
      </c>
      <c r="G40" s="1" t="s">
        <v>32</v>
      </c>
    </row>
    <row r="41" ht="14.25" customHeight="1">
      <c r="A41" s="1" t="s">
        <v>8</v>
      </c>
      <c r="B41" s="1">
        <v>2004.0</v>
      </c>
      <c r="C41" s="1" t="s">
        <v>63</v>
      </c>
      <c r="D41" s="1" t="s">
        <v>64</v>
      </c>
      <c r="E41" s="1" t="s">
        <v>65</v>
      </c>
      <c r="F41" s="1" t="s">
        <v>62</v>
      </c>
      <c r="G41" s="1" t="s">
        <v>32</v>
      </c>
    </row>
    <row r="42" ht="14.25" customHeight="1">
      <c r="A42" s="1" t="s">
        <v>8</v>
      </c>
      <c r="B42" s="1">
        <v>2005.0</v>
      </c>
      <c r="C42" s="1" t="s">
        <v>63</v>
      </c>
      <c r="D42" s="1" t="s">
        <v>64</v>
      </c>
      <c r="E42" s="1" t="s">
        <v>27</v>
      </c>
      <c r="F42" s="1" t="s">
        <v>62</v>
      </c>
      <c r="G42" s="1" t="s">
        <v>32</v>
      </c>
    </row>
    <row r="43" ht="14.25" customHeight="1">
      <c r="A43" s="1" t="s">
        <v>8</v>
      </c>
      <c r="B43" s="1">
        <v>2006.0</v>
      </c>
      <c r="C43" s="1" t="s">
        <v>63</v>
      </c>
      <c r="D43" s="1" t="s">
        <v>64</v>
      </c>
      <c r="E43" s="1" t="s">
        <v>66</v>
      </c>
      <c r="F43" s="1" t="s">
        <v>62</v>
      </c>
      <c r="G43" s="1" t="s">
        <v>32</v>
      </c>
    </row>
    <row r="44" ht="14.25" customHeight="1">
      <c r="A44" s="1" t="s">
        <v>8</v>
      </c>
      <c r="B44" s="1">
        <v>2007.0</v>
      </c>
      <c r="C44" s="1" t="s">
        <v>63</v>
      </c>
      <c r="D44" s="1" t="s">
        <v>64</v>
      </c>
      <c r="E44" s="1" t="s">
        <v>65</v>
      </c>
      <c r="F44" s="1" t="s">
        <v>62</v>
      </c>
      <c r="G44" s="1" t="s">
        <v>32</v>
      </c>
    </row>
    <row r="45" ht="14.25" customHeight="1">
      <c r="A45" s="1" t="s">
        <v>8</v>
      </c>
      <c r="B45" s="1">
        <v>2008.0</v>
      </c>
      <c r="C45" s="1" t="s">
        <v>63</v>
      </c>
      <c r="D45" s="1" t="s">
        <v>64</v>
      </c>
      <c r="E45" s="1" t="s">
        <v>65</v>
      </c>
      <c r="F45" s="1" t="s">
        <v>62</v>
      </c>
      <c r="G45" s="1" t="s">
        <v>32</v>
      </c>
    </row>
    <row r="46" ht="14.25" customHeight="1">
      <c r="A46" s="1" t="s">
        <v>8</v>
      </c>
      <c r="B46" s="1">
        <v>2009.0</v>
      </c>
      <c r="C46" s="1" t="s">
        <v>63</v>
      </c>
      <c r="D46" s="1" t="s">
        <v>64</v>
      </c>
      <c r="E46" s="1" t="s">
        <v>65</v>
      </c>
      <c r="F46" s="1" t="s">
        <v>62</v>
      </c>
      <c r="G46" s="1" t="s">
        <v>32</v>
      </c>
    </row>
    <row r="47" ht="14.25" customHeight="1">
      <c r="A47" s="1" t="s">
        <v>8</v>
      </c>
      <c r="B47" s="1">
        <v>2010.0</v>
      </c>
      <c r="C47" s="1" t="s">
        <v>63</v>
      </c>
      <c r="D47" s="1" t="s">
        <v>64</v>
      </c>
      <c r="E47" s="1" t="s">
        <v>61</v>
      </c>
      <c r="F47" s="1" t="s">
        <v>62</v>
      </c>
      <c r="G47" s="1" t="s">
        <v>32</v>
      </c>
    </row>
    <row r="48" ht="14.25" customHeight="1">
      <c r="A48" s="1" t="s">
        <v>8</v>
      </c>
      <c r="B48" s="1">
        <v>2011.0</v>
      </c>
      <c r="C48" s="1" t="s">
        <v>63</v>
      </c>
      <c r="D48" s="1" t="s">
        <v>64</v>
      </c>
      <c r="E48" s="1" t="s">
        <v>65</v>
      </c>
      <c r="F48" s="1" t="s">
        <v>62</v>
      </c>
      <c r="G48" s="1" t="s">
        <v>32</v>
      </c>
    </row>
    <row r="49" ht="14.25" customHeight="1">
      <c r="A49" s="1" t="s">
        <v>8</v>
      </c>
      <c r="B49" s="1">
        <v>2012.0</v>
      </c>
      <c r="C49" s="1" t="s">
        <v>63</v>
      </c>
      <c r="D49" s="1" t="s">
        <v>64</v>
      </c>
      <c r="E49" s="1" t="s">
        <v>65</v>
      </c>
      <c r="F49" s="1" t="s">
        <v>62</v>
      </c>
      <c r="G49" s="1" t="s">
        <v>32</v>
      </c>
    </row>
    <row r="50" ht="14.25" customHeight="1">
      <c r="A50" s="1" t="s">
        <v>8</v>
      </c>
      <c r="B50" s="1">
        <v>2013.0</v>
      </c>
      <c r="C50" s="1" t="s">
        <v>63</v>
      </c>
      <c r="D50" s="1" t="s">
        <v>64</v>
      </c>
      <c r="E50" s="1" t="s">
        <v>65</v>
      </c>
      <c r="F50" s="1" t="s">
        <v>62</v>
      </c>
      <c r="G50" s="1" t="s">
        <v>32</v>
      </c>
    </row>
    <row r="51" ht="14.25" customHeight="1">
      <c r="A51" s="1" t="s">
        <v>8</v>
      </c>
      <c r="B51" s="1">
        <v>2014.0</v>
      </c>
      <c r="C51" s="1" t="s">
        <v>63</v>
      </c>
      <c r="D51" s="1" t="s">
        <v>64</v>
      </c>
      <c r="E51" s="1" t="s">
        <v>65</v>
      </c>
      <c r="F51" s="1" t="s">
        <v>62</v>
      </c>
      <c r="G51" s="1" t="s">
        <v>32</v>
      </c>
    </row>
    <row r="52" ht="14.25" customHeight="1">
      <c r="A52" s="1" t="s">
        <v>8</v>
      </c>
      <c r="B52" s="1">
        <v>2015.0</v>
      </c>
      <c r="C52" s="1" t="s">
        <v>63</v>
      </c>
      <c r="D52" s="1" t="s">
        <v>64</v>
      </c>
      <c r="E52" s="1" t="s">
        <v>27</v>
      </c>
      <c r="F52" s="1" t="s">
        <v>62</v>
      </c>
      <c r="G52" s="1" t="s">
        <v>32</v>
      </c>
    </row>
    <row r="53" ht="14.25" customHeight="1">
      <c r="A53" s="1" t="s">
        <v>8</v>
      </c>
      <c r="B53" s="1">
        <v>2016.0</v>
      </c>
      <c r="C53" s="1" t="s">
        <v>63</v>
      </c>
      <c r="D53" s="1" t="s">
        <v>64</v>
      </c>
      <c r="E53" s="1" t="s">
        <v>65</v>
      </c>
      <c r="F53" s="1" t="s">
        <v>62</v>
      </c>
      <c r="G53" s="1" t="s">
        <v>32</v>
      </c>
    </row>
    <row r="54" ht="14.25" customHeight="1">
      <c r="A54" s="1" t="s">
        <v>8</v>
      </c>
      <c r="B54" s="1">
        <v>2017.0</v>
      </c>
      <c r="C54" s="1" t="s">
        <v>63</v>
      </c>
      <c r="D54" s="1" t="s">
        <v>64</v>
      </c>
      <c r="E54" s="1" t="s">
        <v>65</v>
      </c>
      <c r="F54" s="1" t="s">
        <v>62</v>
      </c>
      <c r="G54" s="1" t="s">
        <v>32</v>
      </c>
    </row>
    <row r="55" ht="14.25" customHeight="1">
      <c r="A55" s="1" t="s">
        <v>8</v>
      </c>
      <c r="B55" s="1">
        <v>2018.0</v>
      </c>
      <c r="C55" s="1" t="s">
        <v>63</v>
      </c>
      <c r="D55" s="1" t="s">
        <v>64</v>
      </c>
      <c r="E55" s="1" t="s">
        <v>65</v>
      </c>
      <c r="F55" s="1" t="s">
        <v>62</v>
      </c>
      <c r="G55" s="1" t="s">
        <v>32</v>
      </c>
    </row>
    <row r="56" ht="14.25" customHeight="1">
      <c r="A56" s="1" t="s">
        <v>8</v>
      </c>
      <c r="B56" s="1">
        <v>2019.0</v>
      </c>
      <c r="C56" s="1" t="s">
        <v>63</v>
      </c>
      <c r="D56" s="1" t="s">
        <v>64</v>
      </c>
      <c r="E56" s="1" t="s">
        <v>61</v>
      </c>
      <c r="F56" s="1" t="s">
        <v>62</v>
      </c>
      <c r="G56" s="1" t="s">
        <v>32</v>
      </c>
    </row>
    <row r="57" ht="14.25" customHeight="1">
      <c r="A57" s="1" t="s">
        <v>8</v>
      </c>
      <c r="B57" s="1">
        <v>2020.0</v>
      </c>
      <c r="C57" s="1" t="s">
        <v>63</v>
      </c>
      <c r="D57" s="1" t="s">
        <v>64</v>
      </c>
      <c r="E57" s="1" t="s">
        <v>61</v>
      </c>
      <c r="F57" s="1" t="s">
        <v>62</v>
      </c>
      <c r="G57" s="1" t="s">
        <v>27</v>
      </c>
    </row>
    <row r="58" ht="14.25" customHeight="1">
      <c r="A58" s="1" t="s">
        <v>9</v>
      </c>
      <c r="B58" s="1">
        <v>1993.0</v>
      </c>
      <c r="C58" s="1" t="s">
        <v>63</v>
      </c>
      <c r="D58" s="1" t="s">
        <v>64</v>
      </c>
      <c r="E58" s="1" t="s">
        <v>65</v>
      </c>
      <c r="F58" s="1" t="s">
        <v>62</v>
      </c>
      <c r="G58" s="1" t="s">
        <v>27</v>
      </c>
    </row>
    <row r="59" ht="14.25" customHeight="1">
      <c r="A59" s="1" t="s">
        <v>9</v>
      </c>
      <c r="B59" s="1">
        <v>1994.0</v>
      </c>
      <c r="C59" s="1" t="s">
        <v>63</v>
      </c>
      <c r="D59" s="1" t="s">
        <v>64</v>
      </c>
      <c r="E59" s="1" t="s">
        <v>65</v>
      </c>
      <c r="F59" s="1" t="s">
        <v>62</v>
      </c>
      <c r="G59" s="1" t="s">
        <v>27</v>
      </c>
    </row>
    <row r="60" ht="14.25" customHeight="1">
      <c r="A60" s="1" t="s">
        <v>9</v>
      </c>
      <c r="B60" s="1">
        <v>1995.0</v>
      </c>
      <c r="C60" s="1" t="s">
        <v>63</v>
      </c>
      <c r="D60" s="1" t="s">
        <v>64</v>
      </c>
      <c r="E60" s="1" t="s">
        <v>65</v>
      </c>
      <c r="F60" s="1" t="s">
        <v>62</v>
      </c>
      <c r="G60" s="1" t="s">
        <v>27</v>
      </c>
    </row>
    <row r="61" ht="14.25" customHeight="1">
      <c r="A61" s="1" t="s">
        <v>9</v>
      </c>
      <c r="B61" s="1">
        <v>1996.0</v>
      </c>
      <c r="C61" s="1" t="s">
        <v>63</v>
      </c>
      <c r="D61" s="1" t="s">
        <v>64</v>
      </c>
      <c r="E61" s="1" t="s">
        <v>65</v>
      </c>
      <c r="F61" s="1" t="s">
        <v>62</v>
      </c>
      <c r="G61" s="1" t="s">
        <v>27</v>
      </c>
    </row>
    <row r="62" ht="14.25" customHeight="1">
      <c r="A62" s="1" t="s">
        <v>9</v>
      </c>
      <c r="B62" s="1">
        <v>1997.0</v>
      </c>
      <c r="C62" s="1" t="s">
        <v>63</v>
      </c>
      <c r="D62" s="1" t="s">
        <v>64</v>
      </c>
      <c r="E62" s="1" t="s">
        <v>65</v>
      </c>
      <c r="F62" s="1" t="s">
        <v>62</v>
      </c>
      <c r="G62" s="1" t="s">
        <v>27</v>
      </c>
    </row>
    <row r="63" ht="14.25" customHeight="1">
      <c r="A63" s="1" t="s">
        <v>9</v>
      </c>
      <c r="B63" s="1">
        <v>1998.0</v>
      </c>
      <c r="C63" s="1" t="s">
        <v>63</v>
      </c>
      <c r="D63" s="1" t="s">
        <v>64</v>
      </c>
      <c r="E63" s="1" t="s">
        <v>65</v>
      </c>
      <c r="F63" s="1" t="s">
        <v>62</v>
      </c>
      <c r="G63" s="1" t="s">
        <v>27</v>
      </c>
    </row>
    <row r="64" ht="14.25" customHeight="1">
      <c r="A64" s="1" t="s">
        <v>9</v>
      </c>
      <c r="B64" s="1">
        <v>1999.0</v>
      </c>
      <c r="C64" s="1" t="s">
        <v>63</v>
      </c>
      <c r="D64" s="1" t="s">
        <v>64</v>
      </c>
      <c r="E64" s="1" t="s">
        <v>65</v>
      </c>
      <c r="F64" s="1" t="s">
        <v>62</v>
      </c>
      <c r="G64" s="1" t="s">
        <v>22</v>
      </c>
    </row>
    <row r="65" ht="14.25" customHeight="1">
      <c r="A65" s="1" t="s">
        <v>9</v>
      </c>
      <c r="B65" s="1">
        <v>2000.0</v>
      </c>
      <c r="C65" s="1" t="s">
        <v>63</v>
      </c>
      <c r="D65" s="1" t="s">
        <v>64</v>
      </c>
      <c r="E65" s="1" t="s">
        <v>65</v>
      </c>
      <c r="F65" s="1" t="s">
        <v>62</v>
      </c>
      <c r="G65" s="1" t="s">
        <v>27</v>
      </c>
    </row>
    <row r="66" ht="14.25" customHeight="1">
      <c r="A66" s="1" t="s">
        <v>9</v>
      </c>
      <c r="B66" s="1">
        <v>2001.0</v>
      </c>
      <c r="C66" s="1" t="s">
        <v>59</v>
      </c>
      <c r="D66" s="1" t="s">
        <v>64</v>
      </c>
      <c r="E66" s="1" t="s">
        <v>65</v>
      </c>
      <c r="F66" s="1" t="s">
        <v>62</v>
      </c>
      <c r="G66" s="1" t="s">
        <v>32</v>
      </c>
    </row>
    <row r="67" ht="14.25" customHeight="1">
      <c r="A67" s="1" t="s">
        <v>9</v>
      </c>
      <c r="B67" s="1">
        <v>2002.0</v>
      </c>
      <c r="C67" s="1" t="s">
        <v>63</v>
      </c>
      <c r="D67" s="1" t="s">
        <v>64</v>
      </c>
      <c r="E67" s="1" t="s">
        <v>65</v>
      </c>
      <c r="F67" s="1" t="s">
        <v>62</v>
      </c>
      <c r="G67" s="1" t="s">
        <v>32</v>
      </c>
    </row>
    <row r="68" ht="14.25" customHeight="1">
      <c r="A68" s="1" t="s">
        <v>9</v>
      </c>
      <c r="B68" s="1">
        <v>2003.0</v>
      </c>
      <c r="C68" s="1" t="s">
        <v>63</v>
      </c>
      <c r="D68" s="1" t="s">
        <v>64</v>
      </c>
      <c r="E68" s="1" t="s">
        <v>65</v>
      </c>
      <c r="F68" s="1" t="s">
        <v>62</v>
      </c>
      <c r="G68" s="1" t="s">
        <v>32</v>
      </c>
    </row>
    <row r="69" ht="14.25" customHeight="1">
      <c r="A69" s="1" t="s">
        <v>9</v>
      </c>
      <c r="B69" s="1">
        <v>2004.0</v>
      </c>
      <c r="C69" s="1" t="s">
        <v>63</v>
      </c>
      <c r="D69" s="1" t="s">
        <v>64</v>
      </c>
      <c r="E69" s="1" t="s">
        <v>65</v>
      </c>
      <c r="F69" s="1" t="s">
        <v>62</v>
      </c>
      <c r="G69" s="1" t="s">
        <v>32</v>
      </c>
    </row>
    <row r="70" ht="14.25" customHeight="1">
      <c r="A70" s="1" t="s">
        <v>9</v>
      </c>
      <c r="B70" s="1">
        <v>2005.0</v>
      </c>
      <c r="C70" s="1" t="s">
        <v>63</v>
      </c>
      <c r="D70" s="1" t="s">
        <v>64</v>
      </c>
      <c r="E70" s="1" t="s">
        <v>61</v>
      </c>
      <c r="F70" s="1" t="s">
        <v>62</v>
      </c>
      <c r="G70" s="1" t="s">
        <v>27</v>
      </c>
    </row>
    <row r="71" ht="14.25" customHeight="1">
      <c r="A71" s="1" t="s">
        <v>9</v>
      </c>
      <c r="B71" s="1">
        <v>2006.0</v>
      </c>
      <c r="C71" s="1" t="s">
        <v>63</v>
      </c>
      <c r="D71" s="1" t="s">
        <v>64</v>
      </c>
      <c r="E71" s="1" t="s">
        <v>27</v>
      </c>
      <c r="F71" s="1" t="s">
        <v>62</v>
      </c>
      <c r="G71" s="1" t="s">
        <v>32</v>
      </c>
    </row>
    <row r="72" ht="14.25" customHeight="1">
      <c r="A72" s="1" t="s">
        <v>9</v>
      </c>
      <c r="B72" s="1">
        <v>2007.0</v>
      </c>
      <c r="C72" s="1" t="s">
        <v>63</v>
      </c>
      <c r="D72" s="1" t="s">
        <v>64</v>
      </c>
      <c r="E72" s="1" t="s">
        <v>65</v>
      </c>
      <c r="F72" s="1" t="s">
        <v>62</v>
      </c>
      <c r="G72" s="1" t="s">
        <v>27</v>
      </c>
    </row>
    <row r="73" ht="14.25" customHeight="1">
      <c r="A73" s="1" t="s">
        <v>9</v>
      </c>
      <c r="B73" s="1">
        <v>2008.0</v>
      </c>
      <c r="C73" s="1" t="s">
        <v>63</v>
      </c>
      <c r="D73" s="1" t="s">
        <v>64</v>
      </c>
      <c r="E73" s="1" t="s">
        <v>65</v>
      </c>
      <c r="F73" s="1" t="s">
        <v>62</v>
      </c>
      <c r="G73" s="1" t="s">
        <v>27</v>
      </c>
    </row>
    <row r="74" ht="14.25" customHeight="1">
      <c r="A74" s="1" t="s">
        <v>9</v>
      </c>
      <c r="B74" s="1">
        <v>2009.0</v>
      </c>
      <c r="C74" s="1" t="s">
        <v>63</v>
      </c>
      <c r="D74" s="1" t="s">
        <v>64</v>
      </c>
      <c r="E74" s="1" t="s">
        <v>65</v>
      </c>
      <c r="F74" s="1" t="s">
        <v>62</v>
      </c>
      <c r="G74" s="1" t="s">
        <v>27</v>
      </c>
    </row>
    <row r="75" ht="14.25" customHeight="1">
      <c r="A75" s="1" t="s">
        <v>9</v>
      </c>
      <c r="B75" s="1">
        <v>2010.0</v>
      </c>
      <c r="C75" s="1" t="s">
        <v>63</v>
      </c>
      <c r="D75" s="1" t="s">
        <v>64</v>
      </c>
      <c r="E75" s="1" t="s">
        <v>65</v>
      </c>
      <c r="F75" s="1" t="s">
        <v>62</v>
      </c>
      <c r="G75" s="1" t="s">
        <v>27</v>
      </c>
    </row>
    <row r="76" ht="14.25" customHeight="1">
      <c r="A76" s="1" t="s">
        <v>9</v>
      </c>
      <c r="B76" s="1">
        <v>2011.0</v>
      </c>
      <c r="C76" s="1" t="s">
        <v>63</v>
      </c>
      <c r="D76" s="1" t="s">
        <v>64</v>
      </c>
      <c r="E76" s="1" t="s">
        <v>65</v>
      </c>
      <c r="F76" s="1" t="s">
        <v>67</v>
      </c>
      <c r="G76" s="1" t="s">
        <v>27</v>
      </c>
    </row>
    <row r="77" ht="14.25" customHeight="1">
      <c r="A77" s="1" t="s">
        <v>9</v>
      </c>
      <c r="B77" s="1">
        <v>2012.0</v>
      </c>
      <c r="C77" s="1" t="s">
        <v>63</v>
      </c>
      <c r="D77" s="1" t="s">
        <v>64</v>
      </c>
      <c r="E77" s="1" t="s">
        <v>65</v>
      </c>
      <c r="F77" s="1" t="s">
        <v>62</v>
      </c>
      <c r="G77" s="1" t="s">
        <v>27</v>
      </c>
    </row>
    <row r="78" ht="14.25" customHeight="1">
      <c r="A78" s="1" t="s">
        <v>9</v>
      </c>
      <c r="B78" s="1">
        <v>2013.0</v>
      </c>
      <c r="C78" s="1" t="s">
        <v>63</v>
      </c>
      <c r="D78" s="1" t="s">
        <v>64</v>
      </c>
      <c r="E78" s="1" t="s">
        <v>65</v>
      </c>
      <c r="F78" s="1" t="s">
        <v>62</v>
      </c>
      <c r="G78" s="1" t="s">
        <v>27</v>
      </c>
    </row>
    <row r="79" ht="14.25" customHeight="1">
      <c r="A79" s="1" t="s">
        <v>9</v>
      </c>
      <c r="B79" s="1">
        <v>2014.0</v>
      </c>
      <c r="C79" s="1" t="s">
        <v>63</v>
      </c>
      <c r="D79" s="1" t="s">
        <v>64</v>
      </c>
      <c r="E79" s="1" t="s">
        <v>65</v>
      </c>
      <c r="F79" s="1" t="s">
        <v>62</v>
      </c>
      <c r="G79" s="1" t="s">
        <v>27</v>
      </c>
    </row>
    <row r="80" ht="14.25" customHeight="1">
      <c r="A80" s="1" t="s">
        <v>9</v>
      </c>
      <c r="B80" s="1">
        <v>2015.0</v>
      </c>
      <c r="C80" s="1" t="s">
        <v>63</v>
      </c>
      <c r="D80" s="1" t="s">
        <v>64</v>
      </c>
      <c r="E80" s="1" t="s">
        <v>65</v>
      </c>
      <c r="F80" s="1" t="s">
        <v>62</v>
      </c>
      <c r="G80" s="1" t="s">
        <v>32</v>
      </c>
    </row>
    <row r="81" ht="14.25" customHeight="1">
      <c r="A81" s="1" t="s">
        <v>9</v>
      </c>
      <c r="B81" s="1">
        <v>2016.0</v>
      </c>
      <c r="C81" s="1" t="s">
        <v>63</v>
      </c>
      <c r="D81" s="1" t="s">
        <v>60</v>
      </c>
      <c r="E81" s="1" t="s">
        <v>65</v>
      </c>
      <c r="F81" s="1" t="s">
        <v>62</v>
      </c>
      <c r="G81" s="1" t="s">
        <v>22</v>
      </c>
    </row>
    <row r="82" ht="14.25" customHeight="1">
      <c r="A82" s="1" t="s">
        <v>9</v>
      </c>
      <c r="B82" s="1">
        <v>2017.0</v>
      </c>
      <c r="C82" s="1" t="s">
        <v>63</v>
      </c>
      <c r="D82" s="1" t="s">
        <v>60</v>
      </c>
      <c r="E82" s="1" t="s">
        <v>65</v>
      </c>
      <c r="F82" s="1" t="s">
        <v>62</v>
      </c>
      <c r="G82" s="1" t="s">
        <v>22</v>
      </c>
    </row>
    <row r="83" ht="14.25" customHeight="1">
      <c r="A83" s="1" t="s">
        <v>9</v>
      </c>
      <c r="B83" s="1">
        <v>2018.0</v>
      </c>
      <c r="C83" s="1" t="s">
        <v>59</v>
      </c>
      <c r="D83" s="1" t="s">
        <v>60</v>
      </c>
      <c r="E83" s="1" t="s">
        <v>66</v>
      </c>
      <c r="F83" s="1" t="s">
        <v>62</v>
      </c>
      <c r="G83" s="1" t="s">
        <v>32</v>
      </c>
    </row>
    <row r="84" ht="14.25" customHeight="1">
      <c r="A84" s="1" t="s">
        <v>9</v>
      </c>
      <c r="B84" s="1">
        <v>2019.0</v>
      </c>
      <c r="C84" s="1" t="s">
        <v>59</v>
      </c>
      <c r="D84" s="1" t="s">
        <v>60</v>
      </c>
      <c r="E84" s="1" t="s">
        <v>65</v>
      </c>
      <c r="F84" s="1" t="s">
        <v>62</v>
      </c>
      <c r="G84" s="1" t="s">
        <v>27</v>
      </c>
    </row>
    <row r="85" ht="14.25" customHeight="1">
      <c r="A85" s="1" t="s">
        <v>9</v>
      </c>
      <c r="B85" s="1">
        <v>2020.0</v>
      </c>
      <c r="C85" s="1" t="s">
        <v>59</v>
      </c>
      <c r="D85" s="1" t="s">
        <v>60</v>
      </c>
      <c r="E85" s="1" t="s">
        <v>65</v>
      </c>
      <c r="F85" s="1" t="s">
        <v>62</v>
      </c>
      <c r="G85" s="1" t="s">
        <v>32</v>
      </c>
    </row>
    <row r="86" ht="14.25" customHeight="1">
      <c r="A86" s="1" t="s">
        <v>10</v>
      </c>
      <c r="B86" s="1">
        <v>1993.0</v>
      </c>
      <c r="C86" s="1" t="s">
        <v>59</v>
      </c>
      <c r="D86" s="1" t="s">
        <v>60</v>
      </c>
      <c r="E86" s="1" t="s">
        <v>65</v>
      </c>
      <c r="F86" s="1" t="s">
        <v>62</v>
      </c>
      <c r="G86" s="1" t="s">
        <v>27</v>
      </c>
    </row>
    <row r="87" ht="14.25" customHeight="1">
      <c r="A87" s="1" t="s">
        <v>10</v>
      </c>
      <c r="B87" s="1">
        <v>1994.0</v>
      </c>
      <c r="C87" s="1" t="s">
        <v>59</v>
      </c>
      <c r="D87" s="1" t="s">
        <v>60</v>
      </c>
      <c r="E87" s="1" t="s">
        <v>61</v>
      </c>
      <c r="F87" s="1" t="s">
        <v>62</v>
      </c>
      <c r="G87" s="1" t="s">
        <v>32</v>
      </c>
    </row>
    <row r="88" ht="14.25" customHeight="1">
      <c r="A88" s="1" t="s">
        <v>10</v>
      </c>
      <c r="B88" s="1">
        <v>1995.0</v>
      </c>
      <c r="C88" s="1" t="s">
        <v>59</v>
      </c>
      <c r="D88" s="1" t="s">
        <v>60</v>
      </c>
      <c r="E88" s="1" t="s">
        <v>65</v>
      </c>
      <c r="F88" s="1" t="s">
        <v>62</v>
      </c>
      <c r="G88" s="1" t="s">
        <v>32</v>
      </c>
    </row>
    <row r="89" ht="14.25" customHeight="1">
      <c r="A89" s="1" t="s">
        <v>10</v>
      </c>
      <c r="B89" s="1">
        <v>1996.0</v>
      </c>
      <c r="C89" s="1" t="s">
        <v>59</v>
      </c>
      <c r="D89" s="1" t="s">
        <v>60</v>
      </c>
      <c r="E89" s="1" t="s">
        <v>65</v>
      </c>
      <c r="F89" s="1" t="s">
        <v>62</v>
      </c>
      <c r="G89" s="1" t="s">
        <v>27</v>
      </c>
    </row>
    <row r="90" ht="14.25" customHeight="1">
      <c r="A90" s="1" t="s">
        <v>10</v>
      </c>
      <c r="B90" s="1">
        <v>1997.0</v>
      </c>
      <c r="C90" s="1" t="s">
        <v>59</v>
      </c>
      <c r="D90" s="1" t="s">
        <v>60</v>
      </c>
      <c r="E90" s="1" t="s">
        <v>61</v>
      </c>
      <c r="F90" s="1" t="s">
        <v>62</v>
      </c>
      <c r="G90" s="1" t="s">
        <v>32</v>
      </c>
    </row>
    <row r="91" ht="14.25" customHeight="1">
      <c r="A91" s="1" t="s">
        <v>10</v>
      </c>
      <c r="B91" s="1">
        <v>1998.0</v>
      </c>
      <c r="C91" s="1" t="s">
        <v>59</v>
      </c>
      <c r="D91" s="1" t="s">
        <v>60</v>
      </c>
      <c r="E91" s="1" t="s">
        <v>65</v>
      </c>
      <c r="F91" s="1" t="s">
        <v>62</v>
      </c>
      <c r="G91" s="1" t="s">
        <v>32</v>
      </c>
    </row>
    <row r="92" ht="14.25" customHeight="1">
      <c r="A92" s="1" t="s">
        <v>10</v>
      </c>
      <c r="B92" s="1">
        <v>1999.0</v>
      </c>
      <c r="C92" s="1" t="s">
        <v>59</v>
      </c>
      <c r="D92" s="1" t="s">
        <v>60</v>
      </c>
      <c r="E92" s="1" t="s">
        <v>65</v>
      </c>
      <c r="F92" s="1" t="s">
        <v>62</v>
      </c>
      <c r="G92" s="1" t="s">
        <v>32</v>
      </c>
    </row>
    <row r="93" ht="14.25" customHeight="1">
      <c r="A93" s="1" t="s">
        <v>10</v>
      </c>
      <c r="B93" s="1">
        <v>2000.0</v>
      </c>
      <c r="C93" s="1" t="s">
        <v>59</v>
      </c>
      <c r="D93" s="1" t="s">
        <v>60</v>
      </c>
      <c r="E93" s="1" t="s">
        <v>65</v>
      </c>
      <c r="F93" s="1" t="s">
        <v>62</v>
      </c>
      <c r="G93" s="1" t="s">
        <v>27</v>
      </c>
    </row>
    <row r="94" ht="14.25" customHeight="1">
      <c r="A94" s="1" t="s">
        <v>10</v>
      </c>
      <c r="B94" s="1">
        <v>2001.0</v>
      </c>
      <c r="C94" s="1" t="s">
        <v>59</v>
      </c>
      <c r="D94" s="1" t="s">
        <v>60</v>
      </c>
      <c r="E94" s="1" t="s">
        <v>65</v>
      </c>
      <c r="F94" s="1" t="s">
        <v>62</v>
      </c>
      <c r="G94" s="1" t="s">
        <v>32</v>
      </c>
    </row>
    <row r="95" ht="14.25" customHeight="1">
      <c r="A95" s="1" t="s">
        <v>10</v>
      </c>
      <c r="B95" s="1">
        <v>2002.0</v>
      </c>
      <c r="C95" s="1" t="s">
        <v>59</v>
      </c>
      <c r="D95" s="1" t="s">
        <v>60</v>
      </c>
      <c r="E95" s="1" t="s">
        <v>65</v>
      </c>
      <c r="F95" s="1" t="s">
        <v>62</v>
      </c>
      <c r="G95" s="1" t="s">
        <v>32</v>
      </c>
    </row>
    <row r="96" ht="14.25" customHeight="1">
      <c r="A96" s="1" t="s">
        <v>10</v>
      </c>
      <c r="B96" s="1">
        <v>2003.0</v>
      </c>
      <c r="C96" s="1" t="s">
        <v>59</v>
      </c>
      <c r="D96" s="1" t="s">
        <v>60</v>
      </c>
      <c r="E96" s="1" t="s">
        <v>65</v>
      </c>
      <c r="F96" s="1" t="s">
        <v>62</v>
      </c>
      <c r="G96" s="1" t="s">
        <v>32</v>
      </c>
    </row>
    <row r="97" ht="14.25" customHeight="1">
      <c r="A97" s="1" t="s">
        <v>10</v>
      </c>
      <c r="B97" s="1">
        <v>2004.0</v>
      </c>
      <c r="C97" s="1" t="s">
        <v>59</v>
      </c>
      <c r="D97" s="1" t="s">
        <v>60</v>
      </c>
      <c r="E97" s="1" t="s">
        <v>65</v>
      </c>
      <c r="F97" s="1" t="s">
        <v>62</v>
      </c>
      <c r="G97" s="1" t="s">
        <v>32</v>
      </c>
    </row>
    <row r="98" ht="14.25" customHeight="1">
      <c r="A98" s="1" t="s">
        <v>10</v>
      </c>
      <c r="B98" s="1">
        <v>2005.0</v>
      </c>
      <c r="C98" s="1" t="s">
        <v>59</v>
      </c>
      <c r="D98" s="1" t="s">
        <v>60</v>
      </c>
      <c r="E98" s="1" t="s">
        <v>61</v>
      </c>
      <c r="F98" s="1" t="s">
        <v>62</v>
      </c>
      <c r="G98" s="1" t="s">
        <v>32</v>
      </c>
    </row>
    <row r="99" ht="14.25" customHeight="1">
      <c r="A99" s="1" t="s">
        <v>10</v>
      </c>
      <c r="B99" s="1">
        <v>2006.0</v>
      </c>
      <c r="C99" s="1" t="s">
        <v>59</v>
      </c>
      <c r="D99" s="1" t="s">
        <v>60</v>
      </c>
      <c r="E99" s="1" t="s">
        <v>27</v>
      </c>
      <c r="F99" s="1" t="s">
        <v>62</v>
      </c>
      <c r="G99" s="1" t="s">
        <v>32</v>
      </c>
    </row>
    <row r="100" ht="14.25" customHeight="1">
      <c r="A100" s="1" t="s">
        <v>10</v>
      </c>
      <c r="B100" s="1">
        <v>2007.0</v>
      </c>
      <c r="C100" s="1" t="s">
        <v>59</v>
      </c>
      <c r="D100" s="1" t="s">
        <v>60</v>
      </c>
      <c r="E100" s="1" t="s">
        <v>65</v>
      </c>
      <c r="F100" s="1" t="s">
        <v>62</v>
      </c>
      <c r="G100" s="1" t="s">
        <v>32</v>
      </c>
    </row>
    <row r="101" ht="14.25" customHeight="1">
      <c r="A101" s="1" t="s">
        <v>10</v>
      </c>
      <c r="B101" s="1">
        <v>2008.0</v>
      </c>
      <c r="C101" s="1" t="s">
        <v>59</v>
      </c>
      <c r="D101" s="1" t="s">
        <v>60</v>
      </c>
      <c r="E101" s="1" t="s">
        <v>65</v>
      </c>
      <c r="F101" s="1" t="s">
        <v>62</v>
      </c>
      <c r="G101" s="1" t="s">
        <v>32</v>
      </c>
    </row>
    <row r="102" ht="14.25" customHeight="1">
      <c r="A102" s="1" t="s">
        <v>10</v>
      </c>
      <c r="B102" s="1">
        <v>2009.0</v>
      </c>
      <c r="C102" s="1" t="s">
        <v>59</v>
      </c>
      <c r="D102" s="1" t="s">
        <v>60</v>
      </c>
      <c r="E102" s="1" t="s">
        <v>65</v>
      </c>
      <c r="F102" s="1" t="s">
        <v>62</v>
      </c>
      <c r="G102" s="1" t="s">
        <v>32</v>
      </c>
    </row>
    <row r="103" ht="14.25" customHeight="1">
      <c r="A103" s="1" t="s">
        <v>10</v>
      </c>
      <c r="B103" s="1">
        <v>2010.0</v>
      </c>
      <c r="C103" s="1" t="s">
        <v>59</v>
      </c>
      <c r="D103" s="1" t="s">
        <v>60</v>
      </c>
      <c r="E103" s="1" t="s">
        <v>65</v>
      </c>
      <c r="F103" s="1" t="s">
        <v>62</v>
      </c>
      <c r="G103" s="1" t="s">
        <v>32</v>
      </c>
    </row>
    <row r="104" ht="14.25" customHeight="1">
      <c r="A104" s="1" t="s">
        <v>10</v>
      </c>
      <c r="B104" s="1">
        <v>2011.0</v>
      </c>
      <c r="C104" s="1" t="s">
        <v>59</v>
      </c>
      <c r="D104" s="1" t="s">
        <v>60</v>
      </c>
      <c r="E104" s="1" t="s">
        <v>65</v>
      </c>
      <c r="F104" s="1" t="s">
        <v>62</v>
      </c>
      <c r="G104" s="1" t="s">
        <v>32</v>
      </c>
    </row>
    <row r="105" ht="14.25" customHeight="1">
      <c r="A105" s="1" t="s">
        <v>10</v>
      </c>
      <c r="B105" s="1">
        <v>2012.0</v>
      </c>
      <c r="C105" s="1" t="s">
        <v>59</v>
      </c>
      <c r="D105" s="1" t="s">
        <v>60</v>
      </c>
      <c r="E105" s="1" t="s">
        <v>65</v>
      </c>
      <c r="F105" s="1" t="s">
        <v>62</v>
      </c>
      <c r="G105" s="1" t="s">
        <v>32</v>
      </c>
    </row>
    <row r="106" ht="14.25" customHeight="1">
      <c r="A106" s="1" t="s">
        <v>10</v>
      </c>
      <c r="B106" s="1">
        <v>2013.0</v>
      </c>
      <c r="C106" s="1" t="s">
        <v>59</v>
      </c>
      <c r="D106" s="1" t="s">
        <v>60</v>
      </c>
      <c r="E106" s="1" t="s">
        <v>65</v>
      </c>
      <c r="F106" s="1" t="s">
        <v>62</v>
      </c>
      <c r="G106" s="1" t="s">
        <v>27</v>
      </c>
    </row>
    <row r="107" ht="14.25" customHeight="1">
      <c r="A107" s="1" t="s">
        <v>10</v>
      </c>
      <c r="B107" s="1">
        <v>2014.0</v>
      </c>
      <c r="C107" s="1" t="s">
        <v>59</v>
      </c>
      <c r="D107" s="1" t="s">
        <v>60</v>
      </c>
      <c r="E107" s="1" t="s">
        <v>65</v>
      </c>
      <c r="F107" s="1" t="s">
        <v>62</v>
      </c>
      <c r="G107" s="1" t="s">
        <v>32</v>
      </c>
    </row>
    <row r="108" ht="14.25" customHeight="1">
      <c r="A108" s="1" t="s">
        <v>10</v>
      </c>
      <c r="B108" s="1">
        <v>2015.0</v>
      </c>
      <c r="C108" s="1" t="s">
        <v>59</v>
      </c>
      <c r="D108" s="1" t="s">
        <v>60</v>
      </c>
      <c r="E108" s="1" t="s">
        <v>65</v>
      </c>
      <c r="F108" s="1" t="s">
        <v>62</v>
      </c>
      <c r="G108" s="1" t="s">
        <v>32</v>
      </c>
    </row>
    <row r="109" ht="14.25" customHeight="1">
      <c r="A109" s="1" t="s">
        <v>10</v>
      </c>
      <c r="B109" s="1">
        <v>2016.0</v>
      </c>
      <c r="C109" s="1" t="s">
        <v>59</v>
      </c>
      <c r="D109" s="1" t="s">
        <v>60</v>
      </c>
      <c r="E109" s="1" t="s">
        <v>65</v>
      </c>
      <c r="F109" s="1" t="s">
        <v>62</v>
      </c>
      <c r="G109" s="1" t="s">
        <v>32</v>
      </c>
    </row>
    <row r="110" ht="14.25" customHeight="1">
      <c r="A110" s="1" t="s">
        <v>10</v>
      </c>
      <c r="B110" s="1">
        <v>2017.0</v>
      </c>
      <c r="C110" s="1" t="s">
        <v>59</v>
      </c>
      <c r="D110" s="1" t="s">
        <v>60</v>
      </c>
      <c r="E110" s="1" t="s">
        <v>65</v>
      </c>
      <c r="F110" s="1" t="s">
        <v>62</v>
      </c>
      <c r="G110" s="1" t="s">
        <v>32</v>
      </c>
    </row>
    <row r="111" ht="14.25" customHeight="1">
      <c r="A111" s="1" t="s">
        <v>10</v>
      </c>
      <c r="B111" s="1">
        <v>2018.0</v>
      </c>
      <c r="C111" s="1" t="s">
        <v>59</v>
      </c>
      <c r="D111" s="1" t="s">
        <v>60</v>
      </c>
      <c r="E111" s="1" t="s">
        <v>61</v>
      </c>
      <c r="F111" s="1" t="s">
        <v>62</v>
      </c>
      <c r="G111" s="1" t="s">
        <v>27</v>
      </c>
    </row>
    <row r="112" ht="14.25" customHeight="1">
      <c r="A112" s="1" t="s">
        <v>10</v>
      </c>
      <c r="B112" s="1">
        <v>2019.0</v>
      </c>
      <c r="C112" s="1" t="s">
        <v>59</v>
      </c>
      <c r="D112" s="1" t="s">
        <v>60</v>
      </c>
      <c r="E112" s="1" t="s">
        <v>61</v>
      </c>
      <c r="F112" s="1" t="s">
        <v>62</v>
      </c>
      <c r="G112" s="1" t="s">
        <v>32</v>
      </c>
    </row>
    <row r="113" ht="14.25" customHeight="1">
      <c r="A113" s="1" t="s">
        <v>10</v>
      </c>
      <c r="B113" s="1">
        <v>2020.0</v>
      </c>
      <c r="C113" s="1" t="s">
        <v>59</v>
      </c>
      <c r="D113" s="1" t="s">
        <v>60</v>
      </c>
      <c r="E113" s="1" t="s">
        <v>65</v>
      </c>
      <c r="F113" s="1" t="s">
        <v>62</v>
      </c>
      <c r="G113" s="1" t="s">
        <v>27</v>
      </c>
    </row>
    <row r="114" ht="14.25" customHeight="1">
      <c r="A114" s="1" t="s">
        <v>11</v>
      </c>
      <c r="B114" s="1">
        <v>1993.0</v>
      </c>
      <c r="C114" s="1" t="s">
        <v>59</v>
      </c>
      <c r="D114" s="1" t="s">
        <v>60</v>
      </c>
      <c r="E114" s="1" t="s">
        <v>61</v>
      </c>
      <c r="F114" s="1" t="s">
        <v>62</v>
      </c>
      <c r="G114" s="1" t="s">
        <v>32</v>
      </c>
    </row>
    <row r="115" ht="14.25" customHeight="1">
      <c r="A115" s="1" t="s">
        <v>11</v>
      </c>
      <c r="B115" s="1">
        <v>1994.0</v>
      </c>
      <c r="C115" s="1" t="s">
        <v>59</v>
      </c>
      <c r="D115" s="1" t="s">
        <v>60</v>
      </c>
      <c r="E115" s="1" t="s">
        <v>61</v>
      </c>
      <c r="F115" s="1" t="s">
        <v>62</v>
      </c>
      <c r="G115" s="1" t="s">
        <v>27</v>
      </c>
    </row>
    <row r="116" ht="14.25" customHeight="1">
      <c r="A116" s="1" t="s">
        <v>11</v>
      </c>
      <c r="B116" s="1">
        <v>1995.0</v>
      </c>
      <c r="C116" s="1" t="s">
        <v>59</v>
      </c>
      <c r="D116" s="1" t="s">
        <v>60</v>
      </c>
      <c r="E116" s="1" t="s">
        <v>65</v>
      </c>
      <c r="F116" s="1" t="s">
        <v>62</v>
      </c>
      <c r="G116" s="1" t="s">
        <v>32</v>
      </c>
    </row>
    <row r="117" ht="14.25" customHeight="1">
      <c r="A117" s="1" t="s">
        <v>11</v>
      </c>
      <c r="B117" s="1">
        <v>1996.0</v>
      </c>
      <c r="C117" s="1" t="s">
        <v>59</v>
      </c>
      <c r="D117" s="1" t="s">
        <v>60</v>
      </c>
      <c r="E117" s="1" t="s">
        <v>65</v>
      </c>
      <c r="F117" s="1" t="s">
        <v>62</v>
      </c>
      <c r="G117" s="1" t="s">
        <v>27</v>
      </c>
    </row>
    <row r="118" ht="14.25" customHeight="1">
      <c r="A118" s="1" t="s">
        <v>11</v>
      </c>
      <c r="B118" s="1">
        <v>1997.0</v>
      </c>
      <c r="C118" s="1" t="s">
        <v>59</v>
      </c>
      <c r="D118" s="1" t="s">
        <v>60</v>
      </c>
      <c r="E118" s="1" t="s">
        <v>61</v>
      </c>
      <c r="F118" s="1" t="s">
        <v>62</v>
      </c>
      <c r="G118" s="1" t="s">
        <v>32</v>
      </c>
    </row>
    <row r="119" ht="14.25" customHeight="1">
      <c r="A119" s="1" t="s">
        <v>11</v>
      </c>
      <c r="B119" s="1">
        <v>1998.0</v>
      </c>
      <c r="C119" s="1" t="s">
        <v>59</v>
      </c>
      <c r="D119" s="1" t="s">
        <v>60</v>
      </c>
      <c r="E119" s="1" t="s">
        <v>65</v>
      </c>
      <c r="F119" s="1" t="s">
        <v>62</v>
      </c>
      <c r="G119" s="1" t="s">
        <v>32</v>
      </c>
    </row>
    <row r="120" ht="14.25" customHeight="1">
      <c r="A120" s="1" t="s">
        <v>11</v>
      </c>
      <c r="B120" s="1">
        <v>1999.0</v>
      </c>
      <c r="C120" s="1" t="s">
        <v>59</v>
      </c>
      <c r="D120" s="1" t="s">
        <v>60</v>
      </c>
      <c r="E120" s="1" t="s">
        <v>65</v>
      </c>
      <c r="F120" s="1" t="s">
        <v>62</v>
      </c>
      <c r="G120" s="1" t="s">
        <v>32</v>
      </c>
    </row>
    <row r="121" ht="14.25" customHeight="1">
      <c r="A121" s="1" t="s">
        <v>11</v>
      </c>
      <c r="B121" s="1">
        <v>2000.0</v>
      </c>
      <c r="C121" s="1" t="s">
        <v>59</v>
      </c>
      <c r="D121" s="1" t="s">
        <v>60</v>
      </c>
      <c r="E121" s="1" t="s">
        <v>27</v>
      </c>
      <c r="F121" s="1" t="s">
        <v>62</v>
      </c>
      <c r="G121" s="1" t="s">
        <v>32</v>
      </c>
    </row>
    <row r="122" ht="14.25" customHeight="1">
      <c r="A122" s="1" t="s">
        <v>11</v>
      </c>
      <c r="B122" s="1">
        <v>2001.0</v>
      </c>
      <c r="C122" s="1" t="s">
        <v>59</v>
      </c>
      <c r="D122" s="1" t="s">
        <v>60</v>
      </c>
      <c r="E122" s="1" t="s">
        <v>65</v>
      </c>
      <c r="F122" s="1" t="s">
        <v>62</v>
      </c>
      <c r="G122" s="1" t="s">
        <v>32</v>
      </c>
    </row>
    <row r="123" ht="14.25" customHeight="1">
      <c r="A123" s="1" t="s">
        <v>11</v>
      </c>
      <c r="B123" s="1">
        <v>2002.0</v>
      </c>
      <c r="C123" s="1" t="s">
        <v>59</v>
      </c>
      <c r="D123" s="1" t="s">
        <v>60</v>
      </c>
      <c r="E123" s="1" t="s">
        <v>65</v>
      </c>
      <c r="F123" s="1" t="s">
        <v>62</v>
      </c>
      <c r="G123" s="1" t="s">
        <v>32</v>
      </c>
    </row>
    <row r="124" ht="14.25" customHeight="1">
      <c r="A124" s="1" t="s">
        <v>11</v>
      </c>
      <c r="B124" s="1">
        <v>2003.0</v>
      </c>
      <c r="C124" s="1" t="s">
        <v>59</v>
      </c>
      <c r="D124" s="1" t="s">
        <v>60</v>
      </c>
      <c r="E124" s="1" t="s">
        <v>65</v>
      </c>
      <c r="F124" s="1" t="s">
        <v>62</v>
      </c>
      <c r="G124" s="1" t="s">
        <v>32</v>
      </c>
    </row>
    <row r="125" ht="14.25" customHeight="1">
      <c r="A125" s="1" t="s">
        <v>11</v>
      </c>
      <c r="B125" s="1">
        <v>2004.0</v>
      </c>
      <c r="C125" s="1" t="s">
        <v>59</v>
      </c>
      <c r="D125" s="1" t="s">
        <v>60</v>
      </c>
      <c r="E125" s="1" t="s">
        <v>65</v>
      </c>
      <c r="F125" s="1" t="s">
        <v>62</v>
      </c>
      <c r="G125" s="1" t="s">
        <v>32</v>
      </c>
    </row>
    <row r="126" ht="14.25" customHeight="1">
      <c r="A126" s="1" t="s">
        <v>11</v>
      </c>
      <c r="B126" s="1">
        <v>2005.0</v>
      </c>
      <c r="C126" s="1" t="s">
        <v>59</v>
      </c>
      <c r="D126" s="1" t="s">
        <v>60</v>
      </c>
      <c r="E126" s="1" t="s">
        <v>61</v>
      </c>
      <c r="F126" s="1" t="s">
        <v>62</v>
      </c>
      <c r="G126" s="1" t="s">
        <v>32</v>
      </c>
    </row>
    <row r="127" ht="14.25" customHeight="1">
      <c r="A127" s="1" t="s">
        <v>11</v>
      </c>
      <c r="B127" s="1">
        <v>2006.0</v>
      </c>
      <c r="C127" s="1" t="s">
        <v>59</v>
      </c>
      <c r="D127" s="1" t="s">
        <v>60</v>
      </c>
      <c r="E127" s="1" t="s">
        <v>66</v>
      </c>
      <c r="F127" s="1" t="s">
        <v>62</v>
      </c>
      <c r="G127" s="1" t="s">
        <v>32</v>
      </c>
    </row>
    <row r="128" ht="14.25" customHeight="1">
      <c r="A128" s="1" t="s">
        <v>11</v>
      </c>
      <c r="B128" s="1">
        <v>2007.0</v>
      </c>
      <c r="C128" s="1" t="s">
        <v>59</v>
      </c>
      <c r="D128" s="1" t="s">
        <v>60</v>
      </c>
      <c r="E128" s="1" t="s">
        <v>65</v>
      </c>
      <c r="F128" s="1" t="s">
        <v>62</v>
      </c>
      <c r="G128" s="1" t="s">
        <v>32</v>
      </c>
    </row>
    <row r="129" ht="14.25" customHeight="1">
      <c r="A129" s="1" t="s">
        <v>11</v>
      </c>
      <c r="B129" s="1">
        <v>2008.0</v>
      </c>
      <c r="C129" s="1" t="s">
        <v>59</v>
      </c>
      <c r="D129" s="1" t="s">
        <v>60</v>
      </c>
      <c r="E129" s="1" t="s">
        <v>65</v>
      </c>
      <c r="F129" s="1" t="s">
        <v>62</v>
      </c>
      <c r="G129" s="1" t="s">
        <v>32</v>
      </c>
    </row>
    <row r="130" ht="14.25" customHeight="1">
      <c r="A130" s="1" t="s">
        <v>11</v>
      </c>
      <c r="B130" s="1">
        <v>2009.0</v>
      </c>
      <c r="C130" s="1" t="s">
        <v>59</v>
      </c>
      <c r="D130" s="1" t="s">
        <v>60</v>
      </c>
      <c r="E130" s="1" t="s">
        <v>65</v>
      </c>
      <c r="F130" s="1" t="s">
        <v>62</v>
      </c>
      <c r="G130" s="1" t="s">
        <v>32</v>
      </c>
    </row>
    <row r="131" ht="14.25" customHeight="1">
      <c r="A131" s="1" t="s">
        <v>11</v>
      </c>
      <c r="B131" s="1">
        <v>2010.0</v>
      </c>
      <c r="C131" s="1" t="s">
        <v>59</v>
      </c>
      <c r="D131" s="1" t="s">
        <v>60</v>
      </c>
      <c r="E131" s="1" t="s">
        <v>65</v>
      </c>
      <c r="F131" s="1" t="s">
        <v>62</v>
      </c>
      <c r="G131" s="1" t="s">
        <v>32</v>
      </c>
    </row>
    <row r="132" ht="14.25" customHeight="1">
      <c r="A132" s="1" t="s">
        <v>11</v>
      </c>
      <c r="B132" s="1">
        <v>2011.0</v>
      </c>
      <c r="C132" s="1" t="s">
        <v>59</v>
      </c>
      <c r="D132" s="1" t="s">
        <v>60</v>
      </c>
      <c r="E132" s="1" t="s">
        <v>65</v>
      </c>
      <c r="F132" s="1" t="s">
        <v>62</v>
      </c>
      <c r="G132" s="1" t="s">
        <v>32</v>
      </c>
    </row>
    <row r="133" ht="14.25" customHeight="1">
      <c r="A133" s="1" t="s">
        <v>11</v>
      </c>
      <c r="B133" s="1">
        <v>2012.0</v>
      </c>
      <c r="C133" s="1" t="s">
        <v>59</v>
      </c>
      <c r="D133" s="1" t="s">
        <v>60</v>
      </c>
      <c r="E133" s="1" t="s">
        <v>61</v>
      </c>
      <c r="F133" s="1" t="s">
        <v>62</v>
      </c>
      <c r="G133" s="1" t="s">
        <v>32</v>
      </c>
    </row>
    <row r="134" ht="14.25" customHeight="1">
      <c r="A134" s="1" t="s">
        <v>11</v>
      </c>
      <c r="B134" s="1">
        <v>2013.0</v>
      </c>
      <c r="C134" s="1" t="s">
        <v>59</v>
      </c>
      <c r="D134" s="1" t="s">
        <v>60</v>
      </c>
      <c r="E134" s="1" t="s">
        <v>65</v>
      </c>
      <c r="F134" s="1" t="s">
        <v>62</v>
      </c>
      <c r="G134" s="1" t="s">
        <v>32</v>
      </c>
    </row>
    <row r="135" ht="14.25" customHeight="1">
      <c r="A135" s="1" t="s">
        <v>11</v>
      </c>
      <c r="B135" s="1">
        <v>2014.0</v>
      </c>
      <c r="C135" s="1" t="s">
        <v>59</v>
      </c>
      <c r="D135" s="1" t="s">
        <v>60</v>
      </c>
      <c r="E135" s="1" t="s">
        <v>61</v>
      </c>
      <c r="F135" s="1" t="s">
        <v>62</v>
      </c>
      <c r="G135" s="1" t="s">
        <v>32</v>
      </c>
    </row>
    <row r="136" ht="14.25" customHeight="1">
      <c r="A136" s="1" t="s">
        <v>11</v>
      </c>
      <c r="B136" s="1">
        <v>2015.0</v>
      </c>
      <c r="C136" s="1" t="s">
        <v>59</v>
      </c>
      <c r="D136" s="1" t="s">
        <v>60</v>
      </c>
      <c r="E136" s="1" t="s">
        <v>61</v>
      </c>
      <c r="F136" s="1" t="s">
        <v>62</v>
      </c>
      <c r="G136" s="1" t="s">
        <v>32</v>
      </c>
    </row>
    <row r="137" ht="14.25" customHeight="1">
      <c r="A137" s="1" t="s">
        <v>11</v>
      </c>
      <c r="B137" s="1">
        <v>2016.0</v>
      </c>
      <c r="C137" s="1" t="s">
        <v>59</v>
      </c>
      <c r="D137" s="1" t="s">
        <v>60</v>
      </c>
      <c r="E137" s="1" t="s">
        <v>61</v>
      </c>
      <c r="F137" s="1" t="s">
        <v>62</v>
      </c>
      <c r="G137" s="1" t="s">
        <v>32</v>
      </c>
    </row>
    <row r="138" ht="14.25" customHeight="1">
      <c r="A138" s="1" t="s">
        <v>11</v>
      </c>
      <c r="B138" s="1">
        <v>2017.0</v>
      </c>
      <c r="C138" s="1" t="s">
        <v>59</v>
      </c>
      <c r="D138" s="1" t="s">
        <v>60</v>
      </c>
      <c r="E138" s="1" t="s">
        <v>65</v>
      </c>
      <c r="F138" s="1" t="s">
        <v>62</v>
      </c>
      <c r="G138" s="1" t="s">
        <v>32</v>
      </c>
    </row>
    <row r="139" ht="14.25" customHeight="1">
      <c r="A139" s="1" t="s">
        <v>11</v>
      </c>
      <c r="B139" s="1">
        <v>2018.0</v>
      </c>
      <c r="C139" s="1" t="s">
        <v>59</v>
      </c>
      <c r="D139" s="1" t="s">
        <v>60</v>
      </c>
      <c r="E139" s="1" t="s">
        <v>65</v>
      </c>
      <c r="F139" s="1" t="s">
        <v>62</v>
      </c>
      <c r="G139" s="1" t="s">
        <v>32</v>
      </c>
    </row>
    <row r="140" ht="14.25" customHeight="1">
      <c r="A140" s="1" t="s">
        <v>11</v>
      </c>
      <c r="B140" s="1">
        <v>2019.0</v>
      </c>
      <c r="C140" s="1" t="s">
        <v>59</v>
      </c>
      <c r="D140" s="1" t="s">
        <v>60</v>
      </c>
      <c r="E140" s="1" t="s">
        <v>61</v>
      </c>
      <c r="F140" s="1" t="s">
        <v>62</v>
      </c>
      <c r="G140" s="1" t="s">
        <v>32</v>
      </c>
    </row>
    <row r="141" ht="14.25" customHeight="1">
      <c r="A141" s="1" t="s">
        <v>11</v>
      </c>
      <c r="B141" s="1">
        <v>2020.0</v>
      </c>
      <c r="C141" s="1" t="s">
        <v>59</v>
      </c>
      <c r="D141" s="1" t="s">
        <v>60</v>
      </c>
      <c r="E141" s="1" t="s">
        <v>65</v>
      </c>
      <c r="F141" s="1" t="s">
        <v>62</v>
      </c>
      <c r="G141" s="1" t="s">
        <v>27</v>
      </c>
    </row>
    <row r="142" ht="14.25" customHeight="1">
      <c r="A142" s="1" t="s">
        <v>12</v>
      </c>
      <c r="B142" s="1">
        <v>1993.0</v>
      </c>
      <c r="C142" s="1" t="s">
        <v>59</v>
      </c>
      <c r="D142" s="1" t="s">
        <v>64</v>
      </c>
      <c r="E142" s="1" t="s">
        <v>65</v>
      </c>
      <c r="F142" s="1" t="s">
        <v>62</v>
      </c>
      <c r="G142" s="1" t="s">
        <v>32</v>
      </c>
    </row>
    <row r="143" ht="14.25" customHeight="1">
      <c r="A143" s="1" t="s">
        <v>12</v>
      </c>
      <c r="B143" s="1">
        <v>1994.0</v>
      </c>
      <c r="C143" s="1" t="s">
        <v>59</v>
      </c>
      <c r="D143" s="1" t="s">
        <v>64</v>
      </c>
      <c r="E143" s="1" t="s">
        <v>61</v>
      </c>
      <c r="F143" s="1" t="s">
        <v>62</v>
      </c>
      <c r="G143" s="1" t="s">
        <v>32</v>
      </c>
    </row>
    <row r="144" ht="14.25" customHeight="1">
      <c r="A144" s="1" t="s">
        <v>12</v>
      </c>
      <c r="B144" s="1">
        <v>1995.0</v>
      </c>
      <c r="C144" s="1" t="s">
        <v>59</v>
      </c>
      <c r="D144" s="1" t="s">
        <v>64</v>
      </c>
      <c r="E144" s="1" t="s">
        <v>65</v>
      </c>
      <c r="F144" s="1" t="s">
        <v>62</v>
      </c>
      <c r="G144" s="1" t="s">
        <v>32</v>
      </c>
    </row>
    <row r="145" ht="14.25" customHeight="1">
      <c r="A145" s="1" t="s">
        <v>12</v>
      </c>
      <c r="B145" s="1">
        <v>1996.0</v>
      </c>
      <c r="C145" s="1" t="s">
        <v>59</v>
      </c>
      <c r="D145" s="1" t="s">
        <v>64</v>
      </c>
      <c r="E145" s="1" t="s">
        <v>65</v>
      </c>
      <c r="F145" s="1" t="s">
        <v>62</v>
      </c>
      <c r="G145" s="1" t="s">
        <v>32</v>
      </c>
    </row>
    <row r="146" ht="14.25" customHeight="1">
      <c r="A146" s="1" t="s">
        <v>12</v>
      </c>
      <c r="B146" s="1">
        <v>1997.0</v>
      </c>
      <c r="C146" s="1" t="s">
        <v>59</v>
      </c>
      <c r="D146" s="1" t="s">
        <v>64</v>
      </c>
      <c r="E146" s="1" t="s">
        <v>61</v>
      </c>
      <c r="F146" s="1" t="s">
        <v>62</v>
      </c>
      <c r="G146" s="1" t="s">
        <v>32</v>
      </c>
    </row>
    <row r="147" ht="14.25" customHeight="1">
      <c r="A147" s="1" t="s">
        <v>12</v>
      </c>
      <c r="B147" s="1">
        <v>1998.0</v>
      </c>
      <c r="C147" s="1" t="s">
        <v>63</v>
      </c>
      <c r="D147" s="1" t="s">
        <v>64</v>
      </c>
      <c r="E147" s="1" t="s">
        <v>65</v>
      </c>
      <c r="F147" s="1" t="s">
        <v>62</v>
      </c>
      <c r="G147" s="1" t="s">
        <v>32</v>
      </c>
    </row>
    <row r="148" ht="14.25" customHeight="1">
      <c r="A148" s="1" t="s">
        <v>12</v>
      </c>
      <c r="B148" s="1">
        <v>1999.0</v>
      </c>
      <c r="C148" s="1" t="s">
        <v>63</v>
      </c>
      <c r="D148" s="1" t="s">
        <v>64</v>
      </c>
      <c r="E148" s="1" t="s">
        <v>65</v>
      </c>
      <c r="F148" s="1" t="s">
        <v>62</v>
      </c>
      <c r="G148" s="1" t="s">
        <v>27</v>
      </c>
    </row>
    <row r="149" ht="14.25" customHeight="1">
      <c r="A149" s="1" t="s">
        <v>12</v>
      </c>
      <c r="B149" s="1">
        <v>2000.0</v>
      </c>
      <c r="C149" s="1" t="s">
        <v>63</v>
      </c>
      <c r="D149" s="1" t="s">
        <v>64</v>
      </c>
      <c r="E149" s="1" t="s">
        <v>65</v>
      </c>
      <c r="F149" s="1" t="s">
        <v>62</v>
      </c>
      <c r="G149" s="1" t="s">
        <v>27</v>
      </c>
    </row>
    <row r="150" ht="14.25" customHeight="1">
      <c r="A150" s="1" t="s">
        <v>12</v>
      </c>
      <c r="B150" s="1">
        <v>2001.0</v>
      </c>
      <c r="C150" s="1" t="s">
        <v>63</v>
      </c>
      <c r="D150" s="1" t="s">
        <v>64</v>
      </c>
      <c r="E150" s="1" t="s">
        <v>65</v>
      </c>
      <c r="F150" s="1" t="s">
        <v>62</v>
      </c>
      <c r="G150" s="1" t="s">
        <v>32</v>
      </c>
    </row>
    <row r="151" ht="14.25" customHeight="1">
      <c r="A151" s="1" t="s">
        <v>12</v>
      </c>
      <c r="B151" s="1">
        <v>2002.0</v>
      </c>
      <c r="C151" s="1" t="s">
        <v>63</v>
      </c>
      <c r="D151" s="1" t="s">
        <v>64</v>
      </c>
      <c r="E151" s="1" t="s">
        <v>65</v>
      </c>
      <c r="F151" s="1" t="s">
        <v>62</v>
      </c>
      <c r="G151" s="1" t="s">
        <v>32</v>
      </c>
    </row>
    <row r="152" ht="14.25" customHeight="1">
      <c r="A152" s="1" t="s">
        <v>12</v>
      </c>
      <c r="B152" s="1">
        <v>2003.0</v>
      </c>
      <c r="C152" s="1" t="s">
        <v>63</v>
      </c>
      <c r="D152" s="1" t="s">
        <v>64</v>
      </c>
      <c r="E152" s="1" t="s">
        <v>65</v>
      </c>
      <c r="F152" s="1" t="s">
        <v>62</v>
      </c>
      <c r="G152" s="1" t="s">
        <v>32</v>
      </c>
    </row>
    <row r="153" ht="14.25" customHeight="1">
      <c r="A153" s="1" t="s">
        <v>12</v>
      </c>
      <c r="B153" s="1">
        <v>2004.0</v>
      </c>
      <c r="C153" s="1" t="s">
        <v>63</v>
      </c>
      <c r="D153" s="1" t="s">
        <v>64</v>
      </c>
      <c r="E153" s="1" t="s">
        <v>65</v>
      </c>
      <c r="F153" s="1" t="s">
        <v>62</v>
      </c>
      <c r="G153" s="1" t="s">
        <v>32</v>
      </c>
    </row>
    <row r="154" ht="14.25" customHeight="1">
      <c r="A154" s="1" t="s">
        <v>12</v>
      </c>
      <c r="B154" s="1">
        <v>2005.0</v>
      </c>
      <c r="C154" s="1" t="s">
        <v>63</v>
      </c>
      <c r="D154" s="1" t="s">
        <v>64</v>
      </c>
      <c r="E154" s="1" t="s">
        <v>61</v>
      </c>
      <c r="F154" s="1" t="s">
        <v>62</v>
      </c>
      <c r="G154" s="1" t="s">
        <v>32</v>
      </c>
    </row>
    <row r="155" ht="14.25" customHeight="1">
      <c r="A155" s="1" t="s">
        <v>12</v>
      </c>
      <c r="B155" s="1">
        <v>2006.0</v>
      </c>
      <c r="C155" s="1" t="s">
        <v>63</v>
      </c>
      <c r="D155" s="1" t="s">
        <v>64</v>
      </c>
      <c r="E155" s="1" t="s">
        <v>61</v>
      </c>
      <c r="F155" s="1" t="s">
        <v>62</v>
      </c>
      <c r="G155" s="1" t="s">
        <v>32</v>
      </c>
    </row>
    <row r="156" ht="14.25" customHeight="1">
      <c r="A156" s="1" t="s">
        <v>12</v>
      </c>
      <c r="B156" s="1">
        <v>2007.0</v>
      </c>
      <c r="C156" s="1" t="s">
        <v>63</v>
      </c>
      <c r="D156" s="1" t="s">
        <v>64</v>
      </c>
      <c r="E156" s="1" t="s">
        <v>65</v>
      </c>
      <c r="F156" s="1" t="s">
        <v>62</v>
      </c>
      <c r="G156" s="1" t="s">
        <v>32</v>
      </c>
    </row>
    <row r="157" ht="14.25" customHeight="1">
      <c r="A157" s="1" t="s">
        <v>12</v>
      </c>
      <c r="B157" s="1">
        <v>2008.0</v>
      </c>
      <c r="C157" s="1" t="s">
        <v>63</v>
      </c>
      <c r="D157" s="1" t="s">
        <v>64</v>
      </c>
      <c r="E157" s="1" t="s">
        <v>65</v>
      </c>
      <c r="F157" s="1" t="s">
        <v>62</v>
      </c>
      <c r="G157" s="1" t="s">
        <v>32</v>
      </c>
    </row>
    <row r="158" ht="14.25" customHeight="1">
      <c r="A158" s="1" t="s">
        <v>12</v>
      </c>
      <c r="B158" s="1">
        <v>2009.0</v>
      </c>
      <c r="C158" s="1" t="s">
        <v>63</v>
      </c>
      <c r="D158" s="1" t="s">
        <v>64</v>
      </c>
      <c r="E158" s="1" t="s">
        <v>65</v>
      </c>
      <c r="F158" s="1" t="s">
        <v>62</v>
      </c>
      <c r="G158" s="1" t="s">
        <v>32</v>
      </c>
    </row>
    <row r="159" ht="14.25" customHeight="1">
      <c r="A159" s="1" t="s">
        <v>12</v>
      </c>
      <c r="B159" s="1">
        <v>2010.0</v>
      </c>
      <c r="C159" s="1" t="s">
        <v>63</v>
      </c>
      <c r="D159" s="1" t="s">
        <v>64</v>
      </c>
      <c r="E159" s="1" t="s">
        <v>65</v>
      </c>
      <c r="F159" s="1" t="s">
        <v>62</v>
      </c>
      <c r="G159" s="1" t="s">
        <v>32</v>
      </c>
    </row>
    <row r="160" ht="14.25" customHeight="1">
      <c r="A160" s="1" t="s">
        <v>12</v>
      </c>
      <c r="B160" s="1">
        <v>2011.0</v>
      </c>
      <c r="C160" s="1" t="s">
        <v>63</v>
      </c>
      <c r="D160" s="1" t="s">
        <v>64</v>
      </c>
      <c r="E160" s="1" t="s">
        <v>65</v>
      </c>
      <c r="F160" s="1" t="s">
        <v>62</v>
      </c>
      <c r="G160" s="1" t="s">
        <v>32</v>
      </c>
    </row>
    <row r="161" ht="14.25" customHeight="1">
      <c r="A161" s="1" t="s">
        <v>12</v>
      </c>
      <c r="B161" s="1">
        <v>2012.0</v>
      </c>
      <c r="C161" s="1" t="s">
        <v>63</v>
      </c>
      <c r="D161" s="1" t="s">
        <v>64</v>
      </c>
      <c r="E161" s="1" t="s">
        <v>65</v>
      </c>
      <c r="F161" s="1" t="s">
        <v>62</v>
      </c>
      <c r="G161" s="1" t="s">
        <v>32</v>
      </c>
    </row>
    <row r="162" ht="14.25" customHeight="1">
      <c r="A162" s="1" t="s">
        <v>12</v>
      </c>
      <c r="B162" s="1">
        <v>2013.0</v>
      </c>
      <c r="C162" s="1" t="s">
        <v>63</v>
      </c>
      <c r="D162" s="1" t="s">
        <v>64</v>
      </c>
      <c r="E162" s="1" t="s">
        <v>65</v>
      </c>
      <c r="F162" s="1" t="s">
        <v>62</v>
      </c>
      <c r="G162" s="1" t="s">
        <v>32</v>
      </c>
    </row>
    <row r="163" ht="14.25" customHeight="1">
      <c r="A163" s="1" t="s">
        <v>12</v>
      </c>
      <c r="B163" s="1">
        <v>2014.0</v>
      </c>
      <c r="C163" s="1" t="s">
        <v>63</v>
      </c>
      <c r="D163" s="1" t="s">
        <v>64</v>
      </c>
      <c r="E163" s="1" t="s">
        <v>61</v>
      </c>
      <c r="F163" s="1" t="s">
        <v>62</v>
      </c>
      <c r="G163" s="1" t="s">
        <v>27</v>
      </c>
    </row>
    <row r="164" ht="14.25" customHeight="1">
      <c r="A164" s="1" t="s">
        <v>12</v>
      </c>
      <c r="B164" s="1">
        <v>2015.0</v>
      </c>
      <c r="C164" s="1" t="s">
        <v>63</v>
      </c>
      <c r="D164" s="1" t="s">
        <v>64</v>
      </c>
      <c r="E164" s="1" t="s">
        <v>61</v>
      </c>
      <c r="F164" s="1" t="s">
        <v>62</v>
      </c>
      <c r="G164" s="1" t="s">
        <v>32</v>
      </c>
    </row>
    <row r="165" ht="14.25" customHeight="1">
      <c r="A165" s="1" t="s">
        <v>12</v>
      </c>
      <c r="B165" s="1">
        <v>2016.0</v>
      </c>
      <c r="C165" s="1" t="s">
        <v>63</v>
      </c>
      <c r="D165" s="1" t="s">
        <v>64</v>
      </c>
      <c r="E165" s="1" t="s">
        <v>65</v>
      </c>
      <c r="F165" s="1" t="s">
        <v>62</v>
      </c>
      <c r="G165" s="1" t="s">
        <v>32</v>
      </c>
    </row>
    <row r="166" ht="14.25" customHeight="1">
      <c r="A166" s="1" t="s">
        <v>12</v>
      </c>
      <c r="B166" s="1">
        <v>2017.0</v>
      </c>
      <c r="C166" s="1" t="s">
        <v>63</v>
      </c>
      <c r="D166" s="1" t="s">
        <v>64</v>
      </c>
      <c r="E166" s="1" t="s">
        <v>65</v>
      </c>
      <c r="F166" s="1" t="s">
        <v>62</v>
      </c>
      <c r="G166" s="1" t="s">
        <v>32</v>
      </c>
    </row>
    <row r="167" ht="14.25" customHeight="1">
      <c r="A167" s="1" t="s">
        <v>12</v>
      </c>
      <c r="B167" s="1">
        <v>2018.0</v>
      </c>
      <c r="C167" s="1" t="s">
        <v>63</v>
      </c>
      <c r="D167" s="1" t="s">
        <v>64</v>
      </c>
      <c r="E167" s="1" t="s">
        <v>65</v>
      </c>
      <c r="F167" s="1" t="s">
        <v>62</v>
      </c>
      <c r="G167" s="1" t="s">
        <v>32</v>
      </c>
    </row>
    <row r="168" ht="14.25" customHeight="1">
      <c r="A168" s="1" t="s">
        <v>12</v>
      </c>
      <c r="B168" s="1">
        <v>2019.0</v>
      </c>
      <c r="C168" s="1" t="s">
        <v>63</v>
      </c>
      <c r="D168" s="1" t="s">
        <v>64</v>
      </c>
      <c r="E168" s="1" t="s">
        <v>61</v>
      </c>
      <c r="F168" s="1" t="s">
        <v>62</v>
      </c>
      <c r="G168" s="1" t="s">
        <v>32</v>
      </c>
    </row>
    <row r="169" ht="14.25" customHeight="1">
      <c r="A169" s="1" t="s">
        <v>12</v>
      </c>
      <c r="B169" s="1">
        <v>2020.0</v>
      </c>
      <c r="C169" s="1" t="s">
        <v>63</v>
      </c>
      <c r="D169" s="1" t="s">
        <v>64</v>
      </c>
      <c r="E169" s="1" t="s">
        <v>65</v>
      </c>
      <c r="F169" s="1" t="s">
        <v>62</v>
      </c>
      <c r="G169" s="1" t="s">
        <v>32</v>
      </c>
    </row>
    <row r="170" ht="14.25" customHeight="1">
      <c r="A170" s="1" t="s">
        <v>13</v>
      </c>
      <c r="B170" s="1">
        <v>1993.0</v>
      </c>
      <c r="C170" s="1" t="s">
        <v>59</v>
      </c>
      <c r="D170" s="1" t="s">
        <v>60</v>
      </c>
      <c r="E170" s="1" t="s">
        <v>65</v>
      </c>
      <c r="F170" s="1" t="s">
        <v>62</v>
      </c>
      <c r="G170" s="1" t="s">
        <v>27</v>
      </c>
    </row>
    <row r="171" ht="14.25" customHeight="1">
      <c r="A171" s="1" t="s">
        <v>13</v>
      </c>
      <c r="B171" s="1">
        <v>1994.0</v>
      </c>
      <c r="C171" s="1" t="s">
        <v>59</v>
      </c>
      <c r="D171" s="1" t="s">
        <v>60</v>
      </c>
      <c r="E171" s="1" t="s">
        <v>65</v>
      </c>
      <c r="F171" s="1" t="s">
        <v>62</v>
      </c>
      <c r="G171" s="1" t="s">
        <v>27</v>
      </c>
    </row>
    <row r="172" ht="14.25" customHeight="1">
      <c r="A172" s="1" t="s">
        <v>13</v>
      </c>
      <c r="B172" s="1">
        <v>1995.0</v>
      </c>
      <c r="C172" s="1" t="s">
        <v>59</v>
      </c>
      <c r="D172" s="1" t="s">
        <v>60</v>
      </c>
      <c r="E172" s="1" t="s">
        <v>65</v>
      </c>
      <c r="F172" s="1" t="s">
        <v>62</v>
      </c>
      <c r="G172" s="1" t="s">
        <v>32</v>
      </c>
    </row>
    <row r="173" ht="14.25" customHeight="1">
      <c r="A173" s="1" t="s">
        <v>13</v>
      </c>
      <c r="B173" s="1">
        <v>1996.0</v>
      </c>
      <c r="C173" s="1" t="s">
        <v>59</v>
      </c>
      <c r="D173" s="1" t="s">
        <v>60</v>
      </c>
      <c r="E173" s="1" t="s">
        <v>65</v>
      </c>
      <c r="F173" s="1" t="s">
        <v>62</v>
      </c>
      <c r="G173" s="1" t="s">
        <v>27</v>
      </c>
    </row>
    <row r="174" ht="14.25" customHeight="1">
      <c r="A174" s="1" t="s">
        <v>13</v>
      </c>
      <c r="B174" s="1">
        <v>1997.0</v>
      </c>
      <c r="C174" s="1" t="s">
        <v>59</v>
      </c>
      <c r="D174" s="1" t="s">
        <v>60</v>
      </c>
      <c r="E174" s="1" t="s">
        <v>61</v>
      </c>
      <c r="F174" s="1" t="s">
        <v>62</v>
      </c>
      <c r="G174" s="1" t="s">
        <v>27</v>
      </c>
    </row>
    <row r="175" ht="14.25" customHeight="1">
      <c r="A175" s="1" t="s">
        <v>13</v>
      </c>
      <c r="B175" s="1">
        <v>1998.0</v>
      </c>
      <c r="C175" s="1" t="s">
        <v>59</v>
      </c>
      <c r="D175" s="1" t="s">
        <v>60</v>
      </c>
      <c r="E175" s="1" t="s">
        <v>65</v>
      </c>
      <c r="F175" s="1" t="s">
        <v>62</v>
      </c>
      <c r="G175" s="1" t="s">
        <v>32</v>
      </c>
    </row>
    <row r="176" ht="14.25" customHeight="1">
      <c r="A176" s="1" t="s">
        <v>13</v>
      </c>
      <c r="B176" s="1">
        <v>1999.0</v>
      </c>
      <c r="C176" s="1" t="s">
        <v>59</v>
      </c>
      <c r="D176" s="1" t="s">
        <v>60</v>
      </c>
      <c r="E176" s="1" t="s">
        <v>65</v>
      </c>
      <c r="F176" s="1" t="s">
        <v>62</v>
      </c>
      <c r="G176" s="1" t="s">
        <v>27</v>
      </c>
    </row>
    <row r="177" ht="14.25" customHeight="1">
      <c r="A177" s="1" t="s">
        <v>13</v>
      </c>
      <c r="B177" s="1">
        <v>2000.0</v>
      </c>
      <c r="C177" s="1" t="s">
        <v>59</v>
      </c>
      <c r="D177" s="1" t="s">
        <v>60</v>
      </c>
      <c r="E177" s="1" t="s">
        <v>65</v>
      </c>
      <c r="F177" s="1" t="s">
        <v>62</v>
      </c>
      <c r="G177" s="1" t="s">
        <v>27</v>
      </c>
    </row>
    <row r="178" ht="14.25" customHeight="1">
      <c r="A178" s="1" t="s">
        <v>13</v>
      </c>
      <c r="B178" s="1">
        <v>2001.0</v>
      </c>
      <c r="C178" s="1" t="s">
        <v>59</v>
      </c>
      <c r="D178" s="1" t="s">
        <v>60</v>
      </c>
      <c r="E178" s="1" t="s">
        <v>65</v>
      </c>
      <c r="F178" s="1" t="s">
        <v>62</v>
      </c>
      <c r="G178" s="1" t="s">
        <v>32</v>
      </c>
    </row>
    <row r="179" ht="14.25" customHeight="1">
      <c r="A179" s="1" t="s">
        <v>13</v>
      </c>
      <c r="B179" s="1">
        <v>2002.0</v>
      </c>
      <c r="C179" s="1" t="s">
        <v>59</v>
      </c>
      <c r="D179" s="1" t="s">
        <v>60</v>
      </c>
      <c r="E179" s="1" t="s">
        <v>65</v>
      </c>
      <c r="F179" s="1" t="s">
        <v>62</v>
      </c>
      <c r="G179" s="1" t="s">
        <v>32</v>
      </c>
    </row>
    <row r="180" ht="14.25" customHeight="1">
      <c r="A180" s="1" t="s">
        <v>13</v>
      </c>
      <c r="B180" s="1">
        <v>2003.0</v>
      </c>
      <c r="C180" s="1" t="s">
        <v>59</v>
      </c>
      <c r="D180" s="1" t="s">
        <v>60</v>
      </c>
      <c r="E180" s="1" t="s">
        <v>65</v>
      </c>
      <c r="F180" s="1" t="s">
        <v>62</v>
      </c>
      <c r="G180" s="1" t="s">
        <v>32</v>
      </c>
    </row>
    <row r="181" ht="14.25" customHeight="1">
      <c r="A181" s="1" t="s">
        <v>13</v>
      </c>
      <c r="B181" s="1">
        <v>2004.0</v>
      </c>
      <c r="C181" s="1" t="s">
        <v>59</v>
      </c>
      <c r="D181" s="1" t="s">
        <v>60</v>
      </c>
      <c r="E181" s="1" t="s">
        <v>65</v>
      </c>
      <c r="F181" s="1" t="s">
        <v>62</v>
      </c>
      <c r="G181" s="1" t="s">
        <v>32</v>
      </c>
    </row>
    <row r="182" ht="14.25" customHeight="1">
      <c r="A182" s="1" t="s">
        <v>13</v>
      </c>
      <c r="B182" s="1">
        <v>2005.0</v>
      </c>
      <c r="C182" s="1" t="s">
        <v>59</v>
      </c>
      <c r="D182" s="1" t="s">
        <v>60</v>
      </c>
      <c r="E182" s="1" t="s">
        <v>65</v>
      </c>
      <c r="F182" s="1" t="s">
        <v>62</v>
      </c>
      <c r="G182" s="1" t="s">
        <v>27</v>
      </c>
    </row>
    <row r="183" ht="14.25" customHeight="1">
      <c r="A183" s="1" t="s">
        <v>13</v>
      </c>
      <c r="B183" s="1">
        <v>2006.0</v>
      </c>
      <c r="C183" s="1" t="s">
        <v>59</v>
      </c>
      <c r="D183" s="1" t="s">
        <v>60</v>
      </c>
      <c r="E183" s="1" t="s">
        <v>65</v>
      </c>
      <c r="F183" s="1" t="s">
        <v>62</v>
      </c>
      <c r="G183" s="1" t="s">
        <v>32</v>
      </c>
    </row>
    <row r="184" ht="14.25" customHeight="1">
      <c r="A184" s="1" t="s">
        <v>13</v>
      </c>
      <c r="B184" s="1">
        <v>2007.0</v>
      </c>
      <c r="C184" s="1" t="s">
        <v>59</v>
      </c>
      <c r="D184" s="1" t="s">
        <v>60</v>
      </c>
      <c r="E184" s="1" t="s">
        <v>65</v>
      </c>
      <c r="F184" s="1" t="s">
        <v>62</v>
      </c>
      <c r="G184" s="1" t="s">
        <v>32</v>
      </c>
    </row>
    <row r="185" ht="14.25" customHeight="1">
      <c r="A185" s="1" t="s">
        <v>13</v>
      </c>
      <c r="B185" s="1">
        <v>2008.0</v>
      </c>
      <c r="C185" s="1" t="s">
        <v>59</v>
      </c>
      <c r="D185" s="1" t="s">
        <v>60</v>
      </c>
      <c r="E185" s="1" t="s">
        <v>65</v>
      </c>
      <c r="F185" s="1" t="s">
        <v>62</v>
      </c>
      <c r="G185" s="1" t="s">
        <v>32</v>
      </c>
    </row>
    <row r="186" ht="14.25" customHeight="1">
      <c r="A186" s="1" t="s">
        <v>13</v>
      </c>
      <c r="B186" s="1">
        <v>2009.0</v>
      </c>
      <c r="C186" s="1" t="s">
        <v>59</v>
      </c>
      <c r="D186" s="1" t="s">
        <v>60</v>
      </c>
      <c r="E186" s="1" t="s">
        <v>65</v>
      </c>
      <c r="F186" s="1" t="s">
        <v>62</v>
      </c>
      <c r="G186" s="1" t="s">
        <v>32</v>
      </c>
    </row>
    <row r="187" ht="14.25" customHeight="1">
      <c r="A187" s="1" t="s">
        <v>13</v>
      </c>
      <c r="B187" s="1">
        <v>2010.0</v>
      </c>
      <c r="C187" s="1" t="s">
        <v>59</v>
      </c>
      <c r="D187" s="1" t="s">
        <v>60</v>
      </c>
      <c r="E187" s="1" t="s">
        <v>65</v>
      </c>
      <c r="F187" s="1" t="s">
        <v>62</v>
      </c>
      <c r="G187" s="1" t="s">
        <v>32</v>
      </c>
    </row>
    <row r="188" ht="14.25" customHeight="1">
      <c r="A188" s="1" t="s">
        <v>13</v>
      </c>
      <c r="B188" s="1">
        <v>2011.0</v>
      </c>
      <c r="C188" s="1" t="s">
        <v>59</v>
      </c>
      <c r="D188" s="1" t="s">
        <v>60</v>
      </c>
      <c r="E188" s="1" t="s">
        <v>65</v>
      </c>
      <c r="F188" s="1" t="s">
        <v>62</v>
      </c>
      <c r="G188" s="1" t="s">
        <v>32</v>
      </c>
    </row>
    <row r="189" ht="14.25" customHeight="1">
      <c r="A189" s="1" t="s">
        <v>13</v>
      </c>
      <c r="B189" s="1">
        <v>2012.0</v>
      </c>
      <c r="C189" s="1" t="s">
        <v>59</v>
      </c>
      <c r="D189" s="1" t="s">
        <v>60</v>
      </c>
      <c r="E189" s="1" t="s">
        <v>65</v>
      </c>
      <c r="F189" s="1" t="s">
        <v>62</v>
      </c>
      <c r="G189" s="1" t="s">
        <v>32</v>
      </c>
    </row>
    <row r="190" ht="14.25" customHeight="1">
      <c r="A190" s="1" t="s">
        <v>13</v>
      </c>
      <c r="B190" s="1">
        <v>2013.0</v>
      </c>
      <c r="C190" s="1" t="s">
        <v>59</v>
      </c>
      <c r="D190" s="1" t="s">
        <v>60</v>
      </c>
      <c r="E190" s="1" t="s">
        <v>65</v>
      </c>
      <c r="F190" s="1" t="s">
        <v>62</v>
      </c>
      <c r="G190" s="1" t="s">
        <v>32</v>
      </c>
    </row>
    <row r="191" ht="14.25" customHeight="1">
      <c r="A191" s="1" t="s">
        <v>13</v>
      </c>
      <c r="B191" s="1">
        <v>2014.0</v>
      </c>
      <c r="C191" s="1" t="s">
        <v>59</v>
      </c>
      <c r="D191" s="1" t="s">
        <v>60</v>
      </c>
      <c r="E191" s="1" t="s">
        <v>65</v>
      </c>
      <c r="F191" s="1" t="s">
        <v>62</v>
      </c>
      <c r="G191" s="1" t="s">
        <v>32</v>
      </c>
    </row>
    <row r="192" ht="14.25" customHeight="1">
      <c r="A192" s="1" t="s">
        <v>13</v>
      </c>
      <c r="B192" s="1">
        <v>2015.0</v>
      </c>
      <c r="C192" s="1" t="s">
        <v>59</v>
      </c>
      <c r="D192" s="1" t="s">
        <v>60</v>
      </c>
      <c r="E192" s="1" t="s">
        <v>65</v>
      </c>
      <c r="F192" s="1" t="s">
        <v>62</v>
      </c>
      <c r="G192" s="1" t="s">
        <v>32</v>
      </c>
    </row>
    <row r="193" ht="14.25" customHeight="1">
      <c r="A193" s="1" t="s">
        <v>13</v>
      </c>
      <c r="B193" s="1">
        <v>2016.0</v>
      </c>
      <c r="C193" s="1" t="s">
        <v>59</v>
      </c>
      <c r="D193" s="1" t="s">
        <v>60</v>
      </c>
      <c r="E193" s="1" t="s">
        <v>65</v>
      </c>
      <c r="F193" s="1" t="s">
        <v>62</v>
      </c>
      <c r="G193" s="1" t="s">
        <v>32</v>
      </c>
    </row>
    <row r="194" ht="14.25" customHeight="1">
      <c r="A194" s="1" t="s">
        <v>13</v>
      </c>
      <c r="B194" s="1">
        <v>2017.0</v>
      </c>
      <c r="C194" s="1" t="s">
        <v>59</v>
      </c>
      <c r="D194" s="1" t="s">
        <v>60</v>
      </c>
      <c r="E194" s="1" t="s">
        <v>65</v>
      </c>
      <c r="F194" s="1" t="s">
        <v>62</v>
      </c>
      <c r="G194" s="1" t="s">
        <v>32</v>
      </c>
    </row>
    <row r="195" ht="14.25" customHeight="1">
      <c r="A195" s="1" t="s">
        <v>13</v>
      </c>
      <c r="B195" s="1">
        <v>2018.0</v>
      </c>
      <c r="C195" s="1" t="s">
        <v>59</v>
      </c>
      <c r="D195" s="1" t="s">
        <v>60</v>
      </c>
      <c r="E195" s="1" t="s">
        <v>65</v>
      </c>
      <c r="F195" s="1" t="s">
        <v>62</v>
      </c>
      <c r="G195" s="1" t="s">
        <v>32</v>
      </c>
    </row>
    <row r="196" ht="14.25" customHeight="1">
      <c r="A196" s="1" t="s">
        <v>13</v>
      </c>
      <c r="B196" s="1">
        <v>2019.0</v>
      </c>
      <c r="C196" s="1" t="s">
        <v>59</v>
      </c>
      <c r="D196" s="1" t="s">
        <v>60</v>
      </c>
      <c r="E196" s="1" t="s">
        <v>61</v>
      </c>
      <c r="F196" s="1" t="s">
        <v>62</v>
      </c>
      <c r="G196" s="1" t="s">
        <v>32</v>
      </c>
    </row>
    <row r="197" ht="14.25" customHeight="1">
      <c r="A197" s="1" t="s">
        <v>13</v>
      </c>
      <c r="B197" s="1">
        <v>2020.0</v>
      </c>
      <c r="C197" s="1" t="s">
        <v>59</v>
      </c>
      <c r="D197" s="1" t="s">
        <v>60</v>
      </c>
      <c r="E197" s="1" t="s">
        <v>65</v>
      </c>
      <c r="F197" s="1" t="s">
        <v>62</v>
      </c>
      <c r="G197" s="1" t="s">
        <v>27</v>
      </c>
    </row>
    <row r="198" ht="14.25" customHeight="1">
      <c r="A198" s="1" t="s">
        <v>14</v>
      </c>
      <c r="B198" s="1">
        <v>1993.0</v>
      </c>
      <c r="C198" s="1" t="s">
        <v>59</v>
      </c>
      <c r="D198" s="1" t="s">
        <v>64</v>
      </c>
      <c r="E198" s="1" t="s">
        <v>65</v>
      </c>
      <c r="F198" s="1" t="s">
        <v>62</v>
      </c>
      <c r="G198" s="1" t="s">
        <v>32</v>
      </c>
    </row>
    <row r="199" ht="14.25" customHeight="1">
      <c r="A199" s="1" t="s">
        <v>14</v>
      </c>
      <c r="B199" s="1">
        <v>1994.0</v>
      </c>
      <c r="C199" s="1" t="s">
        <v>59</v>
      </c>
      <c r="D199" s="1" t="s">
        <v>64</v>
      </c>
      <c r="E199" s="1" t="s">
        <v>65</v>
      </c>
      <c r="F199" s="1" t="s">
        <v>62</v>
      </c>
      <c r="G199" s="1" t="s">
        <v>27</v>
      </c>
    </row>
    <row r="200" ht="14.25" customHeight="1">
      <c r="A200" s="1" t="s">
        <v>14</v>
      </c>
      <c r="B200" s="1">
        <v>1995.0</v>
      </c>
      <c r="C200" s="1" t="s">
        <v>63</v>
      </c>
      <c r="D200" s="1" t="s">
        <v>64</v>
      </c>
      <c r="E200" s="1" t="s">
        <v>65</v>
      </c>
      <c r="F200" s="1" t="s">
        <v>62</v>
      </c>
      <c r="G200" s="1" t="s">
        <v>32</v>
      </c>
    </row>
    <row r="201" ht="14.25" customHeight="1">
      <c r="A201" s="1" t="s">
        <v>14</v>
      </c>
      <c r="B201" s="1">
        <v>1996.0</v>
      </c>
      <c r="C201" s="1" t="s">
        <v>63</v>
      </c>
      <c r="D201" s="1" t="s">
        <v>64</v>
      </c>
      <c r="E201" s="1" t="s">
        <v>61</v>
      </c>
      <c r="F201" s="1" t="s">
        <v>62</v>
      </c>
      <c r="G201" s="1" t="s">
        <v>32</v>
      </c>
    </row>
    <row r="202" ht="14.25" customHeight="1">
      <c r="A202" s="1" t="s">
        <v>14</v>
      </c>
      <c r="B202" s="1">
        <v>1997.0</v>
      </c>
      <c r="C202" s="1" t="s">
        <v>63</v>
      </c>
      <c r="D202" s="1" t="s">
        <v>64</v>
      </c>
      <c r="E202" s="1" t="s">
        <v>61</v>
      </c>
      <c r="F202" s="1" t="s">
        <v>62</v>
      </c>
      <c r="G202" s="1" t="s">
        <v>32</v>
      </c>
    </row>
    <row r="203" ht="14.25" customHeight="1">
      <c r="A203" s="1" t="s">
        <v>14</v>
      </c>
      <c r="B203" s="1">
        <v>1998.0</v>
      </c>
      <c r="C203" s="1" t="s">
        <v>63</v>
      </c>
      <c r="D203" s="1" t="s">
        <v>64</v>
      </c>
      <c r="E203" s="1" t="s">
        <v>65</v>
      </c>
      <c r="F203" s="1" t="s">
        <v>62</v>
      </c>
      <c r="G203" s="1" t="s">
        <v>32</v>
      </c>
    </row>
    <row r="204" ht="14.25" customHeight="1">
      <c r="A204" s="1" t="s">
        <v>14</v>
      </c>
      <c r="B204" s="1">
        <v>1999.0</v>
      </c>
      <c r="C204" s="1" t="s">
        <v>63</v>
      </c>
      <c r="D204" s="1" t="s">
        <v>64</v>
      </c>
      <c r="E204" s="1" t="s">
        <v>65</v>
      </c>
      <c r="F204" s="1" t="s">
        <v>62</v>
      </c>
      <c r="G204" s="1" t="s">
        <v>32</v>
      </c>
    </row>
    <row r="205" ht="14.25" customHeight="1">
      <c r="A205" s="1" t="s">
        <v>14</v>
      </c>
      <c r="B205" s="1">
        <v>2000.0</v>
      </c>
      <c r="C205" s="1" t="s">
        <v>63</v>
      </c>
      <c r="D205" s="1" t="s">
        <v>64</v>
      </c>
      <c r="E205" s="1" t="s">
        <v>61</v>
      </c>
      <c r="F205" s="1" t="s">
        <v>62</v>
      </c>
      <c r="G205" s="1" t="s">
        <v>32</v>
      </c>
    </row>
    <row r="206" ht="14.25" customHeight="1">
      <c r="A206" s="1" t="s">
        <v>14</v>
      </c>
      <c r="B206" s="1">
        <v>2001.0</v>
      </c>
      <c r="C206" s="1" t="s">
        <v>63</v>
      </c>
      <c r="D206" s="1" t="s">
        <v>64</v>
      </c>
      <c r="E206" s="1" t="s">
        <v>65</v>
      </c>
      <c r="F206" s="1" t="s">
        <v>62</v>
      </c>
      <c r="G206" s="1" t="s">
        <v>32</v>
      </c>
    </row>
    <row r="207" ht="14.25" customHeight="1">
      <c r="A207" s="1" t="s">
        <v>14</v>
      </c>
      <c r="B207" s="1">
        <v>2002.0</v>
      </c>
      <c r="C207" s="1" t="s">
        <v>63</v>
      </c>
      <c r="D207" s="1" t="s">
        <v>64</v>
      </c>
      <c r="E207" s="1" t="s">
        <v>65</v>
      </c>
      <c r="F207" s="1" t="s">
        <v>62</v>
      </c>
      <c r="G207" s="1" t="s">
        <v>32</v>
      </c>
    </row>
    <row r="208" ht="14.25" customHeight="1">
      <c r="A208" s="1" t="s">
        <v>14</v>
      </c>
      <c r="B208" s="1">
        <v>2003.0</v>
      </c>
      <c r="C208" s="1" t="s">
        <v>63</v>
      </c>
      <c r="D208" s="1" t="s">
        <v>64</v>
      </c>
      <c r="E208" s="1" t="s">
        <v>61</v>
      </c>
      <c r="F208" s="1" t="s">
        <v>62</v>
      </c>
      <c r="G208" s="1" t="s">
        <v>32</v>
      </c>
    </row>
    <row r="209" ht="14.25" customHeight="1">
      <c r="A209" s="1" t="s">
        <v>14</v>
      </c>
      <c r="B209" s="1">
        <v>2004.0</v>
      </c>
      <c r="C209" s="1" t="s">
        <v>63</v>
      </c>
      <c r="D209" s="1" t="s">
        <v>64</v>
      </c>
      <c r="E209" s="1" t="s">
        <v>65</v>
      </c>
      <c r="F209" s="1" t="s">
        <v>62</v>
      </c>
      <c r="G209" s="1" t="s">
        <v>32</v>
      </c>
    </row>
    <row r="210" ht="14.25" customHeight="1">
      <c r="A210" s="1" t="s">
        <v>14</v>
      </c>
      <c r="B210" s="1">
        <v>2005.0</v>
      </c>
      <c r="C210" s="1" t="s">
        <v>63</v>
      </c>
      <c r="D210" s="1" t="s">
        <v>64</v>
      </c>
      <c r="E210" s="1" t="s">
        <v>61</v>
      </c>
      <c r="F210" s="1" t="s">
        <v>62</v>
      </c>
      <c r="G210" s="1" t="s">
        <v>32</v>
      </c>
    </row>
    <row r="211" ht="14.25" customHeight="1">
      <c r="A211" s="1" t="s">
        <v>14</v>
      </c>
      <c r="B211" s="1">
        <v>2006.0</v>
      </c>
      <c r="C211" s="1" t="s">
        <v>63</v>
      </c>
      <c r="D211" s="1" t="s">
        <v>64</v>
      </c>
      <c r="E211" s="1" t="s">
        <v>27</v>
      </c>
      <c r="F211" s="1" t="s">
        <v>62</v>
      </c>
      <c r="G211" s="1" t="s">
        <v>32</v>
      </c>
    </row>
    <row r="212" ht="14.25" customHeight="1">
      <c r="A212" s="1" t="s">
        <v>14</v>
      </c>
      <c r="B212" s="1">
        <v>2007.0</v>
      </c>
      <c r="C212" s="1" t="s">
        <v>63</v>
      </c>
      <c r="D212" s="1" t="s">
        <v>64</v>
      </c>
      <c r="E212" s="1" t="s">
        <v>61</v>
      </c>
      <c r="F212" s="1" t="s">
        <v>62</v>
      </c>
      <c r="G212" s="1" t="s">
        <v>32</v>
      </c>
    </row>
    <row r="213" ht="14.25" customHeight="1">
      <c r="A213" s="1" t="s">
        <v>14</v>
      </c>
      <c r="B213" s="1">
        <v>2008.0</v>
      </c>
      <c r="C213" s="1" t="s">
        <v>63</v>
      </c>
      <c r="D213" s="1" t="s">
        <v>64</v>
      </c>
      <c r="E213" s="1" t="s">
        <v>61</v>
      </c>
      <c r="F213" s="1" t="s">
        <v>62</v>
      </c>
      <c r="G213" s="1" t="s">
        <v>32</v>
      </c>
    </row>
    <row r="214" ht="14.25" customHeight="1">
      <c r="A214" s="1" t="s">
        <v>14</v>
      </c>
      <c r="B214" s="1">
        <v>2009.0</v>
      </c>
      <c r="C214" s="1" t="s">
        <v>63</v>
      </c>
      <c r="D214" s="1" t="s">
        <v>64</v>
      </c>
      <c r="E214" s="1" t="s">
        <v>61</v>
      </c>
      <c r="F214" s="1" t="s">
        <v>62</v>
      </c>
      <c r="G214" s="1" t="s">
        <v>32</v>
      </c>
    </row>
    <row r="215" ht="14.25" customHeight="1">
      <c r="A215" s="1" t="s">
        <v>14</v>
      </c>
      <c r="B215" s="1">
        <v>2010.0</v>
      </c>
      <c r="C215" s="1" t="s">
        <v>63</v>
      </c>
      <c r="D215" s="1" t="s">
        <v>64</v>
      </c>
      <c r="E215" s="1" t="s">
        <v>65</v>
      </c>
      <c r="F215" s="1" t="s">
        <v>62</v>
      </c>
      <c r="G215" s="1" t="s">
        <v>32</v>
      </c>
    </row>
    <row r="216" ht="14.25" customHeight="1">
      <c r="A216" s="1" t="s">
        <v>14</v>
      </c>
      <c r="B216" s="1">
        <v>2011.0</v>
      </c>
      <c r="C216" s="1" t="s">
        <v>63</v>
      </c>
      <c r="D216" s="1" t="s">
        <v>64</v>
      </c>
      <c r="E216" s="1" t="s">
        <v>61</v>
      </c>
      <c r="F216" s="1" t="s">
        <v>62</v>
      </c>
      <c r="G216" s="1" t="s">
        <v>32</v>
      </c>
    </row>
    <row r="217" ht="14.25" customHeight="1">
      <c r="A217" s="1" t="s">
        <v>14</v>
      </c>
      <c r="B217" s="1">
        <v>2012.0</v>
      </c>
      <c r="C217" s="1" t="s">
        <v>63</v>
      </c>
      <c r="D217" s="1" t="s">
        <v>64</v>
      </c>
      <c r="E217" s="1" t="s">
        <v>61</v>
      </c>
      <c r="F217" s="1" t="s">
        <v>62</v>
      </c>
      <c r="G217" s="1" t="s">
        <v>32</v>
      </c>
    </row>
    <row r="218" ht="14.25" customHeight="1">
      <c r="A218" s="1" t="s">
        <v>14</v>
      </c>
      <c r="B218" s="1">
        <v>2013.0</v>
      </c>
      <c r="C218" s="1" t="s">
        <v>63</v>
      </c>
      <c r="D218" s="1" t="s">
        <v>64</v>
      </c>
      <c r="E218" s="1" t="s">
        <v>65</v>
      </c>
      <c r="F218" s="1" t="s">
        <v>62</v>
      </c>
      <c r="G218" s="1" t="s">
        <v>32</v>
      </c>
    </row>
    <row r="219" ht="14.25" customHeight="1">
      <c r="A219" s="1" t="s">
        <v>14</v>
      </c>
      <c r="B219" s="1">
        <v>2014.0</v>
      </c>
      <c r="C219" s="1" t="s">
        <v>63</v>
      </c>
      <c r="D219" s="1" t="s">
        <v>64</v>
      </c>
      <c r="E219" s="1" t="s">
        <v>61</v>
      </c>
      <c r="F219" s="1" t="s">
        <v>62</v>
      </c>
      <c r="G219" s="1" t="s">
        <v>27</v>
      </c>
    </row>
    <row r="220" ht="14.25" customHeight="1">
      <c r="A220" s="1" t="s">
        <v>14</v>
      </c>
      <c r="B220" s="1">
        <v>2015.0</v>
      </c>
      <c r="C220" s="1" t="s">
        <v>63</v>
      </c>
      <c r="D220" s="1" t="s">
        <v>64</v>
      </c>
      <c r="E220" s="1" t="s">
        <v>61</v>
      </c>
      <c r="F220" s="1" t="s">
        <v>62</v>
      </c>
      <c r="G220" s="1" t="s">
        <v>32</v>
      </c>
    </row>
    <row r="221" ht="14.25" customHeight="1">
      <c r="A221" s="1" t="s">
        <v>14</v>
      </c>
      <c r="B221" s="1">
        <v>2016.0</v>
      </c>
      <c r="C221" s="1" t="s">
        <v>63</v>
      </c>
      <c r="D221" s="1" t="s">
        <v>64</v>
      </c>
      <c r="E221" s="1" t="s">
        <v>65</v>
      </c>
      <c r="F221" s="1" t="s">
        <v>62</v>
      </c>
      <c r="G221" s="1" t="s">
        <v>32</v>
      </c>
    </row>
    <row r="222" ht="14.25" customHeight="1">
      <c r="A222" s="1" t="s">
        <v>14</v>
      </c>
      <c r="B222" s="1">
        <v>2017.0</v>
      </c>
      <c r="C222" s="1" t="s">
        <v>63</v>
      </c>
      <c r="D222" s="1" t="s">
        <v>64</v>
      </c>
      <c r="E222" s="1" t="s">
        <v>61</v>
      </c>
      <c r="F222" s="1" t="s">
        <v>62</v>
      </c>
      <c r="G222" s="1" t="s">
        <v>32</v>
      </c>
    </row>
    <row r="223" ht="14.25" customHeight="1">
      <c r="A223" s="1" t="s">
        <v>14</v>
      </c>
      <c r="B223" s="1">
        <v>2018.0</v>
      </c>
      <c r="C223" s="1" t="s">
        <v>63</v>
      </c>
      <c r="D223" s="1" t="s">
        <v>64</v>
      </c>
      <c r="E223" s="1" t="s">
        <v>61</v>
      </c>
      <c r="F223" s="1" t="s">
        <v>62</v>
      </c>
      <c r="G223" s="1" t="s">
        <v>27</v>
      </c>
    </row>
    <row r="224" ht="14.25" customHeight="1">
      <c r="A224" s="1" t="s">
        <v>14</v>
      </c>
      <c r="B224" s="1">
        <v>2019.0</v>
      </c>
      <c r="C224" s="1" t="s">
        <v>63</v>
      </c>
      <c r="D224" s="1" t="s">
        <v>64</v>
      </c>
      <c r="E224" s="1" t="s">
        <v>61</v>
      </c>
      <c r="F224" s="1" t="s">
        <v>62</v>
      </c>
      <c r="G224" s="1" t="s">
        <v>32</v>
      </c>
    </row>
    <row r="225" ht="14.25" customHeight="1">
      <c r="A225" s="1" t="s">
        <v>14</v>
      </c>
      <c r="B225" s="1">
        <v>2020.0</v>
      </c>
      <c r="C225" s="1" t="s">
        <v>63</v>
      </c>
      <c r="D225" s="1" t="s">
        <v>64</v>
      </c>
      <c r="E225" s="1" t="s">
        <v>65</v>
      </c>
      <c r="F225" s="1" t="s">
        <v>62</v>
      </c>
      <c r="G225" s="1" t="s">
        <v>27</v>
      </c>
    </row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2.0"/>
    <col customWidth="1" min="3" max="3" width="17.71"/>
    <col customWidth="1" min="4" max="4" width="15.43"/>
    <col customWidth="1" min="5" max="6" width="15.29"/>
    <col customWidth="1" min="7" max="7" width="20.43"/>
    <col customWidth="1" min="8" max="8" width="16.29"/>
    <col customWidth="1" min="9" max="9" width="7.43"/>
    <col customWidth="1" min="10" max="10" width="15.29"/>
    <col customWidth="1" min="11" max="11" width="18.86"/>
    <col customWidth="1" min="12" max="14" width="8.71"/>
    <col customWidth="1" min="15" max="15" width="16.71"/>
    <col customWidth="1" min="16" max="16" width="16.43"/>
    <col customWidth="1" min="17" max="17" width="16.0"/>
    <col customWidth="1" min="18" max="18" width="19.0"/>
    <col customWidth="1" min="19" max="25" width="8.71"/>
  </cols>
  <sheetData>
    <row r="1" ht="14.25" customHeight="1">
      <c r="A1" s="1" t="s">
        <v>0</v>
      </c>
      <c r="B1" s="1" t="s">
        <v>1</v>
      </c>
      <c r="C1" s="6" t="s">
        <v>2</v>
      </c>
      <c r="D1" s="6" t="s">
        <v>3</v>
      </c>
      <c r="E1" s="9" t="s">
        <v>4</v>
      </c>
      <c r="F1" s="6" t="s">
        <v>5</v>
      </c>
      <c r="G1" s="6" t="s">
        <v>6</v>
      </c>
      <c r="J1" s="10" t="s">
        <v>68</v>
      </c>
    </row>
    <row r="2" ht="14.25" customHeight="1">
      <c r="A2" s="1" t="s">
        <v>7</v>
      </c>
      <c r="B2" s="1">
        <v>1993.0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32</v>
      </c>
      <c r="H2" s="7"/>
      <c r="J2" s="11"/>
      <c r="K2" s="12"/>
      <c r="M2" s="12"/>
      <c r="N2" s="12"/>
      <c r="O2" s="12"/>
      <c r="P2" s="12"/>
      <c r="Q2" s="13"/>
    </row>
    <row r="3" ht="14.25" customHeight="1">
      <c r="A3" s="1" t="s">
        <v>7</v>
      </c>
      <c r="B3" s="1">
        <v>1994.0</v>
      </c>
      <c r="C3" s="1" t="s">
        <v>59</v>
      </c>
      <c r="D3" s="1" t="s">
        <v>60</v>
      </c>
      <c r="E3" s="1" t="s">
        <v>61</v>
      </c>
      <c r="F3" s="1" t="s">
        <v>62</v>
      </c>
      <c r="G3" s="1" t="s">
        <v>32</v>
      </c>
      <c r="H3" s="8"/>
      <c r="J3" s="14" t="s">
        <v>69</v>
      </c>
      <c r="L3" s="14" t="s">
        <v>70</v>
      </c>
      <c r="M3" s="14" t="s">
        <v>49</v>
      </c>
      <c r="N3" s="14" t="s">
        <v>45</v>
      </c>
      <c r="O3" s="14" t="s">
        <v>71</v>
      </c>
      <c r="P3" s="12"/>
    </row>
    <row r="4" ht="14.25" customHeight="1">
      <c r="A4" s="1" t="s">
        <v>7</v>
      </c>
      <c r="B4" s="1">
        <v>1995.0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32</v>
      </c>
      <c r="J4" s="11" t="s">
        <v>72</v>
      </c>
      <c r="L4" s="6">
        <f>COUNTA(C2:C225)</f>
        <v>224</v>
      </c>
      <c r="M4" s="12">
        <f>COUNTIF(C2:C225,"BANYAK")</f>
        <v>111</v>
      </c>
      <c r="N4" s="12">
        <f>COUNTIF(C2:C225,"SEDIKIT")</f>
        <v>113</v>
      </c>
      <c r="O4" s="12">
        <f>((-M4/L4)*IMLOG2(M4/L4)+(-N4/L4)*IMLOG2(N4/L4))</f>
        <v>0.9999424939</v>
      </c>
      <c r="P4" s="12"/>
    </row>
    <row r="5" ht="14.25" customHeight="1">
      <c r="A5" s="1" t="s">
        <v>7</v>
      </c>
      <c r="B5" s="1">
        <v>1996.0</v>
      </c>
      <c r="C5" s="1" t="s">
        <v>59</v>
      </c>
      <c r="D5" s="1" t="s">
        <v>60</v>
      </c>
      <c r="E5" s="1" t="s">
        <v>61</v>
      </c>
      <c r="F5" s="1" t="s">
        <v>62</v>
      </c>
      <c r="G5" s="1" t="s">
        <v>32</v>
      </c>
      <c r="J5" s="12"/>
      <c r="K5" s="11"/>
      <c r="L5" s="12"/>
      <c r="M5" s="12"/>
      <c r="N5" s="12"/>
      <c r="O5" s="12"/>
      <c r="P5" s="12"/>
    </row>
    <row r="6" ht="14.25" customHeight="1">
      <c r="A6" s="1" t="s">
        <v>7</v>
      </c>
      <c r="B6" s="1">
        <v>1997.0</v>
      </c>
      <c r="C6" s="1" t="s">
        <v>59</v>
      </c>
      <c r="D6" s="1" t="s">
        <v>60</v>
      </c>
      <c r="E6" s="1" t="s">
        <v>61</v>
      </c>
      <c r="F6" s="1" t="s">
        <v>62</v>
      </c>
      <c r="G6" s="1" t="s">
        <v>32</v>
      </c>
      <c r="J6" s="12"/>
      <c r="K6" s="11"/>
      <c r="L6" s="12"/>
      <c r="M6" s="12"/>
      <c r="N6" s="12"/>
      <c r="O6" s="12"/>
      <c r="P6" s="12"/>
    </row>
    <row r="7" ht="14.25" customHeight="1">
      <c r="A7" s="1" t="s">
        <v>7</v>
      </c>
      <c r="B7" s="1">
        <v>1998.0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32</v>
      </c>
      <c r="J7" s="15" t="s">
        <v>73</v>
      </c>
      <c r="K7" s="15"/>
      <c r="L7" s="15"/>
      <c r="M7" s="15"/>
      <c r="N7" s="15"/>
      <c r="O7" s="15"/>
      <c r="P7" s="15"/>
      <c r="Q7" s="15"/>
    </row>
    <row r="8" ht="14.25" customHeight="1">
      <c r="A8" s="1" t="s">
        <v>7</v>
      </c>
      <c r="B8" s="1">
        <v>1999.0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32</v>
      </c>
      <c r="J8" s="15" t="s">
        <v>74</v>
      </c>
      <c r="M8" s="15"/>
      <c r="N8" s="15"/>
      <c r="O8" s="15"/>
      <c r="P8" s="15"/>
      <c r="Q8" s="15"/>
    </row>
    <row r="9" ht="14.25" customHeight="1">
      <c r="A9" s="1" t="s">
        <v>7</v>
      </c>
      <c r="B9" s="1">
        <v>2000.0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32</v>
      </c>
      <c r="J9" s="12"/>
      <c r="K9" s="11"/>
      <c r="L9" s="12"/>
      <c r="M9" s="12"/>
      <c r="N9" s="16"/>
      <c r="O9" s="12"/>
      <c r="P9" s="12"/>
    </row>
    <row r="10" ht="14.25" customHeight="1">
      <c r="A10" s="1" t="s">
        <v>7</v>
      </c>
      <c r="B10" s="1">
        <v>2001.0</v>
      </c>
      <c r="C10" s="1" t="s">
        <v>59</v>
      </c>
      <c r="D10" s="1" t="s">
        <v>60</v>
      </c>
      <c r="E10" s="1" t="s">
        <v>61</v>
      </c>
      <c r="F10" s="1" t="s">
        <v>62</v>
      </c>
      <c r="G10" s="1" t="s">
        <v>32</v>
      </c>
      <c r="J10" s="14" t="s">
        <v>69</v>
      </c>
      <c r="L10" s="14" t="s">
        <v>70</v>
      </c>
      <c r="M10" s="14" t="s">
        <v>49</v>
      </c>
      <c r="N10" s="14" t="s">
        <v>45</v>
      </c>
      <c r="O10" s="14" t="s">
        <v>71</v>
      </c>
      <c r="P10" s="14" t="s">
        <v>75</v>
      </c>
      <c r="Q10" s="17" t="s">
        <v>76</v>
      </c>
      <c r="R10" s="17" t="s">
        <v>77</v>
      </c>
    </row>
    <row r="11" ht="14.25" customHeight="1">
      <c r="A11" s="1" t="s">
        <v>7</v>
      </c>
      <c r="B11" s="1">
        <v>2002.0</v>
      </c>
      <c r="C11" s="1" t="s">
        <v>59</v>
      </c>
      <c r="D11" s="1" t="s">
        <v>60</v>
      </c>
      <c r="E11" s="1" t="s">
        <v>61</v>
      </c>
      <c r="F11" s="1" t="s">
        <v>62</v>
      </c>
      <c r="G11" s="1" t="s">
        <v>32</v>
      </c>
      <c r="J11" s="18" t="s">
        <v>0</v>
      </c>
      <c r="K11" s="19"/>
      <c r="L11" s="19"/>
      <c r="M11" s="19"/>
      <c r="N11" s="19"/>
      <c r="O11" s="19"/>
      <c r="P11" s="20">
        <f>(O4)-(((L12/L4)*(O12)+(L13/L4)*(O13)+(L14/L4)*(O14)+(L15/L4)*(O15)+(L16/L4)*(O16)+(L17/L4)*(O17)+(L18/L4)*(O18)+(L19/L4)*(O19)))</f>
        <v>0.6774258771</v>
      </c>
      <c r="Q11" s="21">
        <f>-(L12/L4)*IMLOG2(L12/L4)-(L13/L4)*IMLOG2(L13/L4)-(L14/L4)*IMLOG2(L14/L4)-(L15/L4)*IMLOG2(L15/L4)-(L16/L4)*IMLOG2(L16/L4)-(L17/L4)*IMLOG2(L17/L4)-(L18/L4)*IMLOG2(L18/L4)-(L19/L4)*IMLOG2(L19/L4)</f>
        <v>3</v>
      </c>
      <c r="R11" s="22">
        <f>P11/Q11</f>
        <v>0.2258086257</v>
      </c>
    </row>
    <row r="12" ht="14.25" customHeight="1">
      <c r="A12" s="1" t="s">
        <v>7</v>
      </c>
      <c r="B12" s="1">
        <v>2003.0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32</v>
      </c>
      <c r="K12" s="11" t="s">
        <v>7</v>
      </c>
      <c r="L12" s="12">
        <f>COUNTIF(A2:A225,"Aceh")</f>
        <v>28</v>
      </c>
      <c r="M12" s="12">
        <f>COUNTIFS(A2:A225,K12,C2:C225,M10)</f>
        <v>10</v>
      </c>
      <c r="N12" s="12">
        <f>COUNTIFS(A2:A225,K12,C2:C225,N10)</f>
        <v>18</v>
      </c>
      <c r="O12" s="12">
        <f>((-M12/L12)*IMLOG2(M12/L12)+(-N12/L12)*IMLOG2(N12/L12))</f>
        <v>0.9402859587</v>
      </c>
      <c r="P12" s="12"/>
      <c r="Q12" s="23"/>
      <c r="R12" s="23"/>
    </row>
    <row r="13" ht="14.25" customHeight="1">
      <c r="A13" s="1" t="s">
        <v>7</v>
      </c>
      <c r="B13" s="1">
        <v>2004.0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32</v>
      </c>
      <c r="K13" s="11" t="s">
        <v>8</v>
      </c>
      <c r="L13" s="12">
        <f>COUNTIF(A2:A225,"Sumatera Utara")</f>
        <v>28</v>
      </c>
      <c r="M13" s="12">
        <f>COUNTIFS(A2:A225,K13,C2:C225,M10)</f>
        <v>28</v>
      </c>
      <c r="N13" s="12">
        <f>COUNTIFS(A2:A225,K13,C2:C225,N10)</f>
        <v>0</v>
      </c>
      <c r="O13" s="11">
        <v>0.0</v>
      </c>
      <c r="P13" s="12"/>
      <c r="Q13" s="23"/>
      <c r="R13" s="23"/>
    </row>
    <row r="14" ht="14.25" customHeight="1">
      <c r="A14" s="1" t="s">
        <v>7</v>
      </c>
      <c r="B14" s="1">
        <v>2005.0</v>
      </c>
      <c r="C14" s="1" t="s">
        <v>59</v>
      </c>
      <c r="D14" s="1" t="s">
        <v>60</v>
      </c>
      <c r="E14" s="1" t="s">
        <v>27</v>
      </c>
      <c r="F14" s="1" t="s">
        <v>62</v>
      </c>
      <c r="G14" s="1" t="s">
        <v>32</v>
      </c>
      <c r="K14" s="11" t="s">
        <v>9</v>
      </c>
      <c r="L14" s="12">
        <f>COUNTIF(A2:A225,"Sumatera Barat")</f>
        <v>28</v>
      </c>
      <c r="M14" s="12">
        <f>COUNTIFS(A2:A225,K14,C2:C225,M10)</f>
        <v>24</v>
      </c>
      <c r="N14" s="12">
        <f>COUNTIFS(A2:A225,K14,C2:C225,N10)</f>
        <v>4</v>
      </c>
      <c r="O14" s="12">
        <f>((-M14/L14)*IMLOG2(M14/L14)+(-N14/L14)*IMLOG2(N14/L14))</f>
        <v>0.5916727786</v>
      </c>
      <c r="P14" s="12"/>
      <c r="Q14" s="23"/>
      <c r="R14" s="23"/>
    </row>
    <row r="15" ht="14.25" customHeight="1">
      <c r="A15" s="1" t="s">
        <v>7</v>
      </c>
      <c r="B15" s="1">
        <v>2006.0</v>
      </c>
      <c r="C15" s="1" t="s">
        <v>59</v>
      </c>
      <c r="D15" s="1" t="s">
        <v>60</v>
      </c>
      <c r="E15" s="1" t="s">
        <v>27</v>
      </c>
      <c r="F15" s="1" t="s">
        <v>62</v>
      </c>
      <c r="G15" s="1" t="s">
        <v>32</v>
      </c>
      <c r="K15" s="11" t="s">
        <v>10</v>
      </c>
      <c r="L15" s="12">
        <f>COUNTIF(A2:A225,"Riau")</f>
        <v>28</v>
      </c>
      <c r="M15" s="12">
        <f>COUNTIFS(A2:A225,K15,C2:C225,M10)</f>
        <v>0</v>
      </c>
      <c r="N15" s="12">
        <f>COUNTIFS(A2:A225,K15,C2:C225,N10)</f>
        <v>28</v>
      </c>
      <c r="O15" s="11">
        <v>0.0</v>
      </c>
      <c r="P15" s="12"/>
      <c r="Q15" s="23"/>
      <c r="R15" s="23"/>
    </row>
    <row r="16" ht="14.25" customHeight="1">
      <c r="A16" s="1" t="s">
        <v>7</v>
      </c>
      <c r="B16" s="1">
        <v>2007.0</v>
      </c>
      <c r="C16" s="1" t="s">
        <v>59</v>
      </c>
      <c r="D16" s="1" t="s">
        <v>60</v>
      </c>
      <c r="E16" s="1" t="s">
        <v>61</v>
      </c>
      <c r="F16" s="1" t="s">
        <v>62</v>
      </c>
      <c r="G16" s="1" t="s">
        <v>32</v>
      </c>
      <c r="K16" s="11" t="s">
        <v>11</v>
      </c>
      <c r="L16" s="12">
        <f>COUNTIF(A2:A225,"Jambi")</f>
        <v>28</v>
      </c>
      <c r="M16" s="12">
        <f>COUNTIFS(A2:A225,K16,C2:C225,M10)</f>
        <v>0</v>
      </c>
      <c r="N16" s="12">
        <f>COUNTIFS(A2:A225,K16,C2:C225,N10)</f>
        <v>28</v>
      </c>
      <c r="O16" s="11">
        <v>0.0</v>
      </c>
      <c r="P16" s="12"/>
      <c r="Q16" s="23"/>
      <c r="R16" s="23"/>
    </row>
    <row r="17" ht="14.25" customHeight="1">
      <c r="A17" s="1" t="s">
        <v>7</v>
      </c>
      <c r="B17" s="1">
        <v>2008.0</v>
      </c>
      <c r="C17" s="1" t="s">
        <v>59</v>
      </c>
      <c r="D17" s="1" t="s">
        <v>60</v>
      </c>
      <c r="E17" s="1" t="s">
        <v>61</v>
      </c>
      <c r="F17" s="1" t="s">
        <v>62</v>
      </c>
      <c r="G17" s="1" t="s">
        <v>32</v>
      </c>
      <c r="K17" s="11" t="s">
        <v>12</v>
      </c>
      <c r="L17" s="12">
        <f>COUNTIF(A2:A225,"Sumatera Selatan")</f>
        <v>28</v>
      </c>
      <c r="M17" s="12">
        <f>COUNTIFS(A2:A225,K17,C2:C225,M10)</f>
        <v>23</v>
      </c>
      <c r="N17" s="12">
        <f>COUNTIFS(A2:A225,K17,C2:C225,N10)</f>
        <v>5</v>
      </c>
      <c r="O17" s="12">
        <f>((-M17/L17)*IMLOG2(M17/L17)+(-N17/L17)*IMLOG2(N17/L17))</f>
        <v>0.6769418698</v>
      </c>
      <c r="P17" s="12"/>
      <c r="Q17" s="23"/>
      <c r="R17" s="23"/>
    </row>
    <row r="18" ht="14.25" customHeight="1">
      <c r="A18" s="1" t="s">
        <v>7</v>
      </c>
      <c r="B18" s="1">
        <v>2009.0</v>
      </c>
      <c r="C18" s="1" t="s">
        <v>59</v>
      </c>
      <c r="D18" s="1" t="s">
        <v>60</v>
      </c>
      <c r="E18" s="1" t="s">
        <v>61</v>
      </c>
      <c r="F18" s="1" t="s">
        <v>62</v>
      </c>
      <c r="G18" s="1" t="s">
        <v>32</v>
      </c>
      <c r="K18" s="11" t="s">
        <v>13</v>
      </c>
      <c r="L18" s="12">
        <f>COUNTIF(A2:A225,"Bengkulu")</f>
        <v>28</v>
      </c>
      <c r="M18" s="12">
        <f>COUNTIFS(A2:A225,K18,C2:C225,M10)</f>
        <v>0</v>
      </c>
      <c r="N18" s="12">
        <f>COUNTIFS(A2:A225,K18,C2:C225,N10)</f>
        <v>28</v>
      </c>
      <c r="O18" s="11">
        <v>0.0</v>
      </c>
      <c r="P18" s="12"/>
      <c r="Q18" s="23"/>
      <c r="R18" s="23"/>
    </row>
    <row r="19" ht="14.25" customHeight="1">
      <c r="A19" s="1" t="s">
        <v>7</v>
      </c>
      <c r="B19" s="1">
        <v>2010.0</v>
      </c>
      <c r="C19" s="1" t="s">
        <v>63</v>
      </c>
      <c r="D19" s="1" t="s">
        <v>60</v>
      </c>
      <c r="E19" s="1" t="s">
        <v>61</v>
      </c>
      <c r="F19" s="1" t="s">
        <v>62</v>
      </c>
      <c r="G19" s="1" t="s">
        <v>32</v>
      </c>
      <c r="K19" s="11" t="s">
        <v>14</v>
      </c>
      <c r="L19" s="12">
        <f>COUNTIF(A2:A225,"Lampung")</f>
        <v>28</v>
      </c>
      <c r="M19" s="12">
        <f>COUNTIFS(A2:A225,K19,C2:C225,M10)</f>
        <v>26</v>
      </c>
      <c r="N19" s="12">
        <f>COUNTIFS(A2:A225,K19,C2:C225,N10)</f>
        <v>2</v>
      </c>
      <c r="O19" s="12">
        <f>((-M19/L19)*IMLOG2(M19/L19)+(-N19/L19)*IMLOG2(N19/L19))</f>
        <v>0.3712323266</v>
      </c>
      <c r="P19" s="12"/>
      <c r="Q19" s="23"/>
      <c r="R19" s="23"/>
    </row>
    <row r="20" ht="14.25" customHeight="1">
      <c r="A20" s="1" t="s">
        <v>7</v>
      </c>
      <c r="B20" s="1">
        <v>2011.0</v>
      </c>
      <c r="C20" s="1" t="s">
        <v>63</v>
      </c>
      <c r="D20" s="1" t="s">
        <v>64</v>
      </c>
      <c r="E20" s="1" t="s">
        <v>61</v>
      </c>
      <c r="F20" s="1" t="s">
        <v>62</v>
      </c>
      <c r="G20" s="1" t="s">
        <v>32</v>
      </c>
      <c r="J20" s="24" t="s">
        <v>1</v>
      </c>
      <c r="K20" s="25"/>
      <c r="L20" s="25"/>
      <c r="M20" s="25"/>
      <c r="N20" s="25"/>
      <c r="O20" s="25"/>
      <c r="P20" s="20">
        <f>(O4)-(((L21/L4)*(O21)+(L22/L4)*(O22)+(L23/L4)*(O23)+(L24/L4)*(O24)+(L25/L4)*(O25)+(L26/L4)*(O26)+(L27/L4)*(O27)+(L28/L4)*(O28)+(L29/L4)*(O29)+(L30/L4)*(O30)+(L31/L4)*(O31)+(L32/L4)*(O32)+(L33/L4)*(O33)+(L34/L4)*(O34)+(L35/L4)*(O35)+(L36/L4)*(O36)+(L37/L4)*(O37)+(L38/L4)*(O38)+(L39/L4)*(O39)+(L40/L4)*(O40)+(L41/L4)*(O41)+(L42/L4)*(O42)+(L43/L4)*(O43)+(L44/L4)*(O44)+(L45/L4)*(O45)+(L46/L4)*(O46)+(L47/L4)*(O47)+(L48/L4)*(O48)))</f>
        <v>0.03132355524</v>
      </c>
      <c r="Q20" s="26">
        <f>-(L21/L4)*IMLOG2(L21/L4)-(L22/L4)*IMLOG2(L22/L4)-(L23/L4)*IMLOG2(L23/L4)-(L24/L4)*IMLOG2(L24/L4)-(L25/L4)*IMLOG2(L25/L4)-(L26/L4)*IMLOG2(L26/L4)-(L27/L4)*IMLOG2(L27/L4)-(L28/L4)*IMLOG2(L28/L4)-(L29/L4)*IMLOG2(L29/L4)-(L30/L4)*IMLOG2(L30/L4)-(L31/L4)*IMLOG2(L31/L4)-(L32/L4)*IMLOG2(L32/L4)-(L33/L4)*IMLOG2(L33/L4)-(L34/L4)*IMLOG2(L34/L4)-(L35/L4)*IMLOG2(L35/L4)-(L36/L4)*IMLOG2(L36/L4)-(L37/L4)*IMLOG2(L37/L4)-(L38/L4)*IMLOG2(L38/L4)-(L39/L4)*IMLOG2(L39/L4)-(L40/L4)*IMLOG2(L40/L4)-(L41/L4)*IMLOG2(L41/L4)-(L42/L4)*IMLOG2(L42/L4)-(L43/L4)*IMLOG2(L43/L4)-(L44/L4)*IMLOG2(L44/L4)-(L45/L4)*IMLOG2(L45/L4)-(L46/L4)*IMLOG2(L46/L4)-(L47/L4)*IMLOG2(L47/L4)-(L48/L4)*IMLOG2(L48/L4)</f>
        <v>4.807354922</v>
      </c>
      <c r="R20" s="22">
        <f>P20/Q20</f>
        <v>0.006515756742</v>
      </c>
    </row>
    <row r="21" ht="14.25" customHeight="1">
      <c r="A21" s="1" t="s">
        <v>7</v>
      </c>
      <c r="B21" s="1">
        <v>2012.0</v>
      </c>
      <c r="C21" s="1" t="s">
        <v>59</v>
      </c>
      <c r="D21" s="1" t="s">
        <v>64</v>
      </c>
      <c r="E21" s="1" t="s">
        <v>61</v>
      </c>
      <c r="F21" s="1" t="s">
        <v>62</v>
      </c>
      <c r="G21" s="1" t="s">
        <v>32</v>
      </c>
      <c r="K21" s="11">
        <v>1993.0</v>
      </c>
      <c r="L21" s="12">
        <f>COUNTIF(B2:B225,"1993")</f>
        <v>8</v>
      </c>
      <c r="M21" s="12">
        <f>COUNTIFS(B2:B225,K21,C2:C225,M10)</f>
        <v>2</v>
      </c>
      <c r="N21" s="12">
        <f>COUNTIFS(B2:B225,K21,C2:C225,N10)</f>
        <v>6</v>
      </c>
      <c r="O21" s="12">
        <f t="shared" ref="O21:O48" si="1">((-M21/L21)*IMLOG2(M21/L21)+(-N21/L21)*IMLOG2(N21/L21))</f>
        <v>0.8112781245</v>
      </c>
      <c r="P21" s="12"/>
      <c r="Q21" s="23"/>
      <c r="R21" s="23"/>
    </row>
    <row r="22" ht="14.25" customHeight="1">
      <c r="A22" s="1" t="s">
        <v>7</v>
      </c>
      <c r="B22" s="1">
        <v>2013.0</v>
      </c>
      <c r="C22" s="1" t="s">
        <v>63</v>
      </c>
      <c r="D22" s="1" t="s">
        <v>64</v>
      </c>
      <c r="E22" s="1" t="s">
        <v>61</v>
      </c>
      <c r="F22" s="1" t="s">
        <v>62</v>
      </c>
      <c r="G22" s="1" t="s">
        <v>32</v>
      </c>
      <c r="K22" s="11">
        <v>1994.0</v>
      </c>
      <c r="L22" s="12">
        <f>COUNTIF(B2:B225,"1994")</f>
        <v>8</v>
      </c>
      <c r="M22" s="12">
        <f>COUNTIFS(B2:B225,K22,C2:C225,M10)</f>
        <v>2</v>
      </c>
      <c r="N22" s="12">
        <f>COUNTIFS(B2:B225,K22,C2:C225,N10)</f>
        <v>6</v>
      </c>
      <c r="O22" s="12">
        <f t="shared" si="1"/>
        <v>0.8112781245</v>
      </c>
      <c r="P22" s="12"/>
      <c r="Q22" s="23"/>
      <c r="R22" s="23"/>
    </row>
    <row r="23" ht="14.25" customHeight="1">
      <c r="A23" s="1" t="s">
        <v>7</v>
      </c>
      <c r="B23" s="1">
        <v>2014.0</v>
      </c>
      <c r="C23" s="1" t="s">
        <v>63</v>
      </c>
      <c r="D23" s="1" t="s">
        <v>64</v>
      </c>
      <c r="E23" s="1" t="s">
        <v>65</v>
      </c>
      <c r="F23" s="1" t="s">
        <v>62</v>
      </c>
      <c r="G23" s="1" t="s">
        <v>32</v>
      </c>
      <c r="K23" s="11">
        <v>1995.0</v>
      </c>
      <c r="L23" s="12">
        <f>COUNTIF(B2:B225,"1995")</f>
        <v>8</v>
      </c>
      <c r="M23" s="12">
        <f>COUNTIFS(B2:B225,K23,C2:C225,M10)</f>
        <v>3</v>
      </c>
      <c r="N23" s="12">
        <f>COUNTIFS(B2:B225,K23,C2:C225,N10)</f>
        <v>5</v>
      </c>
      <c r="O23" s="12">
        <f t="shared" si="1"/>
        <v>0.9544340029</v>
      </c>
      <c r="P23" s="12"/>
      <c r="Q23" s="23"/>
      <c r="R23" s="23"/>
    </row>
    <row r="24" ht="14.25" customHeight="1">
      <c r="A24" s="1" t="s">
        <v>7</v>
      </c>
      <c r="B24" s="1">
        <v>2015.0</v>
      </c>
      <c r="C24" s="1" t="s">
        <v>63</v>
      </c>
      <c r="D24" s="1" t="s">
        <v>64</v>
      </c>
      <c r="E24" s="1" t="s">
        <v>61</v>
      </c>
      <c r="F24" s="1" t="s">
        <v>62</v>
      </c>
      <c r="G24" s="1" t="s">
        <v>32</v>
      </c>
      <c r="K24" s="11">
        <v>1996.0</v>
      </c>
      <c r="L24" s="12">
        <f>COUNTIF(B2:B225,"1996")</f>
        <v>8</v>
      </c>
      <c r="M24" s="12">
        <f>COUNTIFS(B2:B225,K24,C2:C225,M10)</f>
        <v>3</v>
      </c>
      <c r="N24" s="12">
        <f>COUNTIFS(B2:B225,K24,C2:C225,N10)</f>
        <v>5</v>
      </c>
      <c r="O24" s="12">
        <f t="shared" si="1"/>
        <v>0.9544340029</v>
      </c>
      <c r="P24" s="12"/>
      <c r="Q24" s="23"/>
      <c r="R24" s="23"/>
    </row>
    <row r="25" ht="14.25" customHeight="1">
      <c r="A25" s="1" t="s">
        <v>7</v>
      </c>
      <c r="B25" s="1">
        <v>2016.0</v>
      </c>
      <c r="C25" s="1" t="s">
        <v>63</v>
      </c>
      <c r="D25" s="1" t="s">
        <v>60</v>
      </c>
      <c r="E25" s="1" t="s">
        <v>61</v>
      </c>
      <c r="F25" s="1" t="s">
        <v>62</v>
      </c>
      <c r="G25" s="1" t="s">
        <v>32</v>
      </c>
      <c r="K25" s="11">
        <v>1997.0</v>
      </c>
      <c r="L25" s="12">
        <f>COUNTIF(B2:B225,"1997")</f>
        <v>8</v>
      </c>
      <c r="M25" s="12">
        <f>COUNTIFS(B2:B225,K25,C2:C225,M10)</f>
        <v>3</v>
      </c>
      <c r="N25" s="12">
        <f>COUNTIFS(B2:B225,K25,C2:C225,N10)</f>
        <v>5</v>
      </c>
      <c r="O25" s="12">
        <f t="shared" si="1"/>
        <v>0.9544340029</v>
      </c>
      <c r="P25" s="12"/>
      <c r="Q25" s="23"/>
      <c r="R25" s="23"/>
    </row>
    <row r="26" ht="14.25" customHeight="1">
      <c r="A26" s="1" t="s">
        <v>7</v>
      </c>
      <c r="B26" s="1">
        <v>2017.0</v>
      </c>
      <c r="C26" s="1" t="s">
        <v>63</v>
      </c>
      <c r="D26" s="1" t="s">
        <v>60</v>
      </c>
      <c r="E26" s="1" t="s">
        <v>61</v>
      </c>
      <c r="F26" s="1" t="s">
        <v>62</v>
      </c>
      <c r="G26" s="1" t="s">
        <v>32</v>
      </c>
      <c r="K26" s="11">
        <v>1998.0</v>
      </c>
      <c r="L26" s="12">
        <f>COUNTIF(B2:B225,"1998")</f>
        <v>8</v>
      </c>
      <c r="M26" s="12">
        <f>COUNTIFS(B2:B225,K26,C2:C225,M10)</f>
        <v>4</v>
      </c>
      <c r="N26" s="12">
        <f>COUNTIFS(B2:B225,K26,C2:C225,N10)</f>
        <v>4</v>
      </c>
      <c r="O26" s="12">
        <f t="shared" si="1"/>
        <v>1</v>
      </c>
      <c r="P26" s="12"/>
      <c r="Q26" s="23"/>
      <c r="R26" s="23"/>
    </row>
    <row r="27" ht="14.25" customHeight="1">
      <c r="A27" s="1" t="s">
        <v>7</v>
      </c>
      <c r="B27" s="1">
        <v>2018.0</v>
      </c>
      <c r="C27" s="1" t="s">
        <v>63</v>
      </c>
      <c r="D27" s="1" t="s">
        <v>60</v>
      </c>
      <c r="E27" s="1" t="s">
        <v>61</v>
      </c>
      <c r="F27" s="1" t="s">
        <v>62</v>
      </c>
      <c r="G27" s="1" t="s">
        <v>32</v>
      </c>
      <c r="K27" s="11">
        <v>1999.0</v>
      </c>
      <c r="L27" s="12">
        <f>COUNTIF(B2:B225,"1999")</f>
        <v>8</v>
      </c>
      <c r="M27" s="12">
        <f>COUNTIFS(B2:B225,K27,C2:C225,M10)</f>
        <v>4</v>
      </c>
      <c r="N27" s="12">
        <f>COUNTIFS(B2:B225,K27,C2:C225,N10)</f>
        <v>4</v>
      </c>
      <c r="O27" s="12">
        <f t="shared" si="1"/>
        <v>1</v>
      </c>
      <c r="P27" s="12"/>
      <c r="Q27" s="23"/>
      <c r="R27" s="23"/>
    </row>
    <row r="28" ht="14.25" customHeight="1">
      <c r="A28" s="1" t="s">
        <v>7</v>
      </c>
      <c r="B28" s="1">
        <v>2019.0</v>
      </c>
      <c r="C28" s="1" t="s">
        <v>63</v>
      </c>
      <c r="D28" s="1" t="s">
        <v>60</v>
      </c>
      <c r="E28" s="1" t="s">
        <v>61</v>
      </c>
      <c r="F28" s="1" t="s">
        <v>62</v>
      </c>
      <c r="G28" s="1" t="s">
        <v>32</v>
      </c>
      <c r="K28" s="11">
        <v>2000.0</v>
      </c>
      <c r="L28" s="12">
        <f>COUNTIF(B2:B225,"2000")</f>
        <v>8</v>
      </c>
      <c r="M28" s="12">
        <f>COUNTIFS(B2:B225,K28,C2:C225,M10)</f>
        <v>4</v>
      </c>
      <c r="N28" s="12">
        <f>COUNTIFS(B2:B225,K28,C2:C225,N10)</f>
        <v>4</v>
      </c>
      <c r="O28" s="12">
        <f t="shared" si="1"/>
        <v>1</v>
      </c>
      <c r="P28" s="12"/>
      <c r="Q28" s="23"/>
      <c r="R28" s="23"/>
    </row>
    <row r="29" ht="14.25" customHeight="1">
      <c r="A29" s="1" t="s">
        <v>7</v>
      </c>
      <c r="B29" s="1">
        <v>2020.0</v>
      </c>
      <c r="C29" s="1" t="s">
        <v>63</v>
      </c>
      <c r="D29" s="1" t="s">
        <v>60</v>
      </c>
      <c r="E29" s="1" t="s">
        <v>61</v>
      </c>
      <c r="F29" s="1" t="s">
        <v>62</v>
      </c>
      <c r="G29" s="1" t="s">
        <v>27</v>
      </c>
      <c r="K29" s="11">
        <v>2001.0</v>
      </c>
      <c r="L29" s="12">
        <f>COUNTIF(B2:B225,"2001")</f>
        <v>8</v>
      </c>
      <c r="M29" s="12">
        <f>COUNTIFS(B2:B225,K29,C2:C225,M10)</f>
        <v>3</v>
      </c>
      <c r="N29" s="12">
        <f>COUNTIFS(B2:B225,K29,C2:C225,N10)</f>
        <v>5</v>
      </c>
      <c r="O29" s="12">
        <f t="shared" si="1"/>
        <v>0.9544340029</v>
      </c>
      <c r="P29" s="12"/>
      <c r="Q29" s="23"/>
      <c r="R29" s="23"/>
    </row>
    <row r="30" ht="14.25" customHeight="1">
      <c r="A30" s="1" t="s">
        <v>8</v>
      </c>
      <c r="B30" s="1">
        <v>1993.0</v>
      </c>
      <c r="C30" s="1" t="s">
        <v>63</v>
      </c>
      <c r="D30" s="1" t="s">
        <v>64</v>
      </c>
      <c r="E30" s="1" t="s">
        <v>65</v>
      </c>
      <c r="F30" s="1" t="s">
        <v>62</v>
      </c>
      <c r="G30" s="1" t="s">
        <v>32</v>
      </c>
      <c r="K30" s="11">
        <v>2002.0</v>
      </c>
      <c r="L30" s="27">
        <f>COUNTIF(B2:B225,"2002")</f>
        <v>8</v>
      </c>
      <c r="M30" s="12">
        <f>COUNTIFS(B2:B225,K30,C2:C225,M10)</f>
        <v>4</v>
      </c>
      <c r="N30" s="12">
        <f>COUNTIFS(B2:B225,K30,C2:C225,N10)</f>
        <v>4</v>
      </c>
      <c r="O30" s="12">
        <f t="shared" si="1"/>
        <v>1</v>
      </c>
      <c r="P30" s="12"/>
      <c r="Q30" s="23"/>
      <c r="R30" s="23"/>
    </row>
    <row r="31" ht="14.25" customHeight="1">
      <c r="A31" s="1" t="s">
        <v>8</v>
      </c>
      <c r="B31" s="1">
        <v>1994.0</v>
      </c>
      <c r="C31" s="1" t="s">
        <v>63</v>
      </c>
      <c r="D31" s="1" t="s">
        <v>64</v>
      </c>
      <c r="E31" s="1" t="s">
        <v>65</v>
      </c>
      <c r="F31" s="1" t="s">
        <v>62</v>
      </c>
      <c r="G31" s="1" t="s">
        <v>32</v>
      </c>
      <c r="K31" s="11">
        <v>2003.0</v>
      </c>
      <c r="L31" s="12">
        <f>COUNTIF(B2:B225,"2003")</f>
        <v>8</v>
      </c>
      <c r="M31" s="12">
        <f>COUNTIFS(B2:B225,K31,C2:C225,M10)</f>
        <v>4</v>
      </c>
      <c r="N31" s="12">
        <f>COUNTIFS(B2:B225,K31,C2:C225,N10)</f>
        <v>4</v>
      </c>
      <c r="O31" s="12">
        <f t="shared" si="1"/>
        <v>1</v>
      </c>
      <c r="P31" s="12"/>
      <c r="Q31" s="23"/>
      <c r="R31" s="23"/>
    </row>
    <row r="32" ht="14.25" customHeight="1">
      <c r="A32" s="1" t="s">
        <v>8</v>
      </c>
      <c r="B32" s="1">
        <v>1995.0</v>
      </c>
      <c r="C32" s="1" t="s">
        <v>63</v>
      </c>
      <c r="D32" s="1" t="s">
        <v>64</v>
      </c>
      <c r="E32" s="1" t="s">
        <v>65</v>
      </c>
      <c r="F32" s="1" t="s">
        <v>62</v>
      </c>
      <c r="G32" s="1" t="s">
        <v>32</v>
      </c>
      <c r="K32" s="11">
        <v>2004.0</v>
      </c>
      <c r="L32" s="27">
        <f>COUNTIF(B2:B225,"2004")</f>
        <v>8</v>
      </c>
      <c r="M32" s="12">
        <f>COUNTIFS(B2:B225,K32,C2:C225,M10)</f>
        <v>4</v>
      </c>
      <c r="N32" s="12">
        <f>COUNTIFS(B2:B225,K32,C2:C225,N10)</f>
        <v>4</v>
      </c>
      <c r="O32" s="12">
        <f t="shared" si="1"/>
        <v>1</v>
      </c>
      <c r="P32" s="12"/>
      <c r="Q32" s="23"/>
      <c r="R32" s="23"/>
    </row>
    <row r="33" ht="14.25" customHeight="1">
      <c r="A33" s="1" t="s">
        <v>8</v>
      </c>
      <c r="B33" s="1">
        <v>1996.0</v>
      </c>
      <c r="C33" s="1" t="s">
        <v>63</v>
      </c>
      <c r="D33" s="1" t="s">
        <v>64</v>
      </c>
      <c r="E33" s="1" t="s">
        <v>65</v>
      </c>
      <c r="F33" s="1" t="s">
        <v>62</v>
      </c>
      <c r="G33" s="1" t="s">
        <v>32</v>
      </c>
      <c r="K33" s="11">
        <v>2005.0</v>
      </c>
      <c r="L33" s="12">
        <f>COUNTIF(B2:B225,"2005")</f>
        <v>8</v>
      </c>
      <c r="M33" s="12">
        <f>COUNTIFS(B2:B225,K33,C2:C225,M10)</f>
        <v>4</v>
      </c>
      <c r="N33" s="12">
        <f>COUNTIFS(B2:B225,K33,C2:C225,N10)</f>
        <v>4</v>
      </c>
      <c r="O33" s="12">
        <f t="shared" si="1"/>
        <v>1</v>
      </c>
      <c r="P33" s="12"/>
      <c r="Q33" s="23"/>
      <c r="R33" s="23"/>
    </row>
    <row r="34" ht="14.25" customHeight="1">
      <c r="A34" s="1" t="s">
        <v>8</v>
      </c>
      <c r="B34" s="1">
        <v>1997.0</v>
      </c>
      <c r="C34" s="1" t="s">
        <v>63</v>
      </c>
      <c r="D34" s="1" t="s">
        <v>64</v>
      </c>
      <c r="E34" s="1" t="s">
        <v>61</v>
      </c>
      <c r="F34" s="1" t="s">
        <v>62</v>
      </c>
      <c r="G34" s="1" t="s">
        <v>32</v>
      </c>
      <c r="K34" s="11">
        <v>2006.0</v>
      </c>
      <c r="L34" s="12">
        <f>COUNTIF(B2:B225,"2006")</f>
        <v>8</v>
      </c>
      <c r="M34" s="12">
        <f>COUNTIFS(B2:B225,K34,C2:C225,M10)</f>
        <v>4</v>
      </c>
      <c r="N34" s="12">
        <f>COUNTIFS(B2:B225,K34,C2:C225,N10)</f>
        <v>4</v>
      </c>
      <c r="O34" s="12">
        <f t="shared" si="1"/>
        <v>1</v>
      </c>
      <c r="P34" s="12"/>
      <c r="Q34" s="23"/>
      <c r="R34" s="23"/>
    </row>
    <row r="35" ht="14.25" customHeight="1">
      <c r="A35" s="1" t="s">
        <v>8</v>
      </c>
      <c r="B35" s="1">
        <v>1998.0</v>
      </c>
      <c r="C35" s="1" t="s">
        <v>63</v>
      </c>
      <c r="D35" s="1" t="s">
        <v>64</v>
      </c>
      <c r="E35" s="1" t="s">
        <v>65</v>
      </c>
      <c r="F35" s="1" t="s">
        <v>62</v>
      </c>
      <c r="G35" s="1" t="s">
        <v>32</v>
      </c>
      <c r="K35" s="11">
        <v>2007.0</v>
      </c>
      <c r="L35" s="12">
        <f>COUNTIF(B2:B225,"2007")</f>
        <v>8</v>
      </c>
      <c r="M35" s="12">
        <f>COUNTIFS(B2:B225,K35,C2:C225,M10)</f>
        <v>4</v>
      </c>
      <c r="N35" s="27">
        <f>COUNTIFS(B2:B225,K35,C2:C225,N10)</f>
        <v>4</v>
      </c>
      <c r="O35" s="12">
        <f t="shared" si="1"/>
        <v>1</v>
      </c>
      <c r="P35" s="12"/>
      <c r="Q35" s="23"/>
      <c r="R35" s="23"/>
    </row>
    <row r="36" ht="14.25" customHeight="1">
      <c r="A36" s="1" t="s">
        <v>8</v>
      </c>
      <c r="B36" s="1">
        <v>1999.0</v>
      </c>
      <c r="C36" s="1" t="s">
        <v>63</v>
      </c>
      <c r="D36" s="1" t="s">
        <v>64</v>
      </c>
      <c r="E36" s="1" t="s">
        <v>65</v>
      </c>
      <c r="F36" s="1" t="s">
        <v>62</v>
      </c>
      <c r="G36" s="1" t="s">
        <v>32</v>
      </c>
      <c r="K36" s="11">
        <v>2008.0</v>
      </c>
      <c r="L36" s="12">
        <f>COUNTIF(B2:B225,"2008")</f>
        <v>8</v>
      </c>
      <c r="M36" s="12">
        <f>COUNTIFS(B2:B225,K36,C2:C225,M10)</f>
        <v>4</v>
      </c>
      <c r="N36" s="12">
        <f>COUNTIFS(B2:B225,K36,C2:C225,N10)</f>
        <v>4</v>
      </c>
      <c r="O36" s="12">
        <f t="shared" si="1"/>
        <v>1</v>
      </c>
      <c r="P36" s="12"/>
      <c r="Q36" s="23"/>
      <c r="R36" s="23"/>
    </row>
    <row r="37" ht="14.25" customHeight="1">
      <c r="A37" s="1" t="s">
        <v>8</v>
      </c>
      <c r="B37" s="1">
        <v>2000.0</v>
      </c>
      <c r="C37" s="1" t="s">
        <v>63</v>
      </c>
      <c r="D37" s="1" t="s">
        <v>64</v>
      </c>
      <c r="E37" s="1" t="s">
        <v>61</v>
      </c>
      <c r="F37" s="1" t="s">
        <v>62</v>
      </c>
      <c r="G37" s="1" t="s">
        <v>32</v>
      </c>
      <c r="K37" s="28">
        <v>2009.0</v>
      </c>
      <c r="L37" s="12">
        <f>COUNTIF(B2:B225,"2009")</f>
        <v>8</v>
      </c>
      <c r="M37" s="12">
        <f>COUNTIFS(B2:B225,K37,C2:C225,M10)</f>
        <v>4</v>
      </c>
      <c r="N37" s="12">
        <f>COUNTIFS(B2:B225,K37,C2:C225,N10)</f>
        <v>4</v>
      </c>
      <c r="O37" s="12">
        <f t="shared" si="1"/>
        <v>1</v>
      </c>
      <c r="P37" s="12"/>
      <c r="Q37" s="23"/>
      <c r="R37" s="23"/>
    </row>
    <row r="38" ht="14.25" customHeight="1">
      <c r="A38" s="1" t="s">
        <v>8</v>
      </c>
      <c r="B38" s="1">
        <v>2001.0</v>
      </c>
      <c r="C38" s="1" t="s">
        <v>63</v>
      </c>
      <c r="D38" s="1" t="s">
        <v>64</v>
      </c>
      <c r="E38" s="1" t="s">
        <v>65</v>
      </c>
      <c r="F38" s="1" t="s">
        <v>62</v>
      </c>
      <c r="G38" s="1" t="s">
        <v>32</v>
      </c>
      <c r="K38" s="11">
        <v>2010.0</v>
      </c>
      <c r="L38" s="12">
        <f>COUNTIF(B2:B225,"2010")</f>
        <v>8</v>
      </c>
      <c r="M38" s="27">
        <f>COUNTIFS(B2:B225,K38,C2:C225,M10)</f>
        <v>5</v>
      </c>
      <c r="N38" s="12">
        <f>COUNTIFS(B2:B225,K38,C2:C225,N10)</f>
        <v>3</v>
      </c>
      <c r="O38" s="12">
        <f t="shared" si="1"/>
        <v>0.9544340029</v>
      </c>
      <c r="P38" s="12"/>
      <c r="Q38" s="23"/>
      <c r="R38" s="23"/>
    </row>
    <row r="39" ht="14.25" customHeight="1">
      <c r="A39" s="1" t="s">
        <v>8</v>
      </c>
      <c r="B39" s="1">
        <v>2002.0</v>
      </c>
      <c r="C39" s="1" t="s">
        <v>63</v>
      </c>
      <c r="D39" s="1" t="s">
        <v>64</v>
      </c>
      <c r="E39" s="1" t="s">
        <v>61</v>
      </c>
      <c r="F39" s="1" t="s">
        <v>62</v>
      </c>
      <c r="G39" s="1" t="s">
        <v>32</v>
      </c>
      <c r="K39" s="11">
        <v>2011.0</v>
      </c>
      <c r="L39" s="12">
        <f>COUNTIF(B2:B225,"2011")</f>
        <v>8</v>
      </c>
      <c r="M39" s="12">
        <f>COUNTIFS(B2:B225,K39,C2:C225,M10)</f>
        <v>5</v>
      </c>
      <c r="N39" s="12">
        <f>COUNTIFS(B2:B225,K39,C2:C225,N10)</f>
        <v>3</v>
      </c>
      <c r="O39" s="12">
        <f t="shared" si="1"/>
        <v>0.9544340029</v>
      </c>
      <c r="P39" s="12"/>
      <c r="Q39" s="23"/>
      <c r="R39" s="23"/>
    </row>
    <row r="40" ht="14.25" customHeight="1">
      <c r="A40" s="1" t="s">
        <v>8</v>
      </c>
      <c r="B40" s="1">
        <v>2003.0</v>
      </c>
      <c r="C40" s="1" t="s">
        <v>63</v>
      </c>
      <c r="D40" s="1" t="s">
        <v>64</v>
      </c>
      <c r="E40" s="1" t="s">
        <v>65</v>
      </c>
      <c r="F40" s="1" t="s">
        <v>62</v>
      </c>
      <c r="G40" s="1" t="s">
        <v>32</v>
      </c>
      <c r="K40" s="11">
        <v>2012.0</v>
      </c>
      <c r="L40" s="12">
        <f>COUNTIF(B2:B225,"2012")</f>
        <v>8</v>
      </c>
      <c r="M40" s="12">
        <f>COUNTIFS(B2:B225,K40,C2:C225,M10)</f>
        <v>4</v>
      </c>
      <c r="N40" s="12">
        <f>COUNTIFS(B2:B225,K40,C2:C225,N10)</f>
        <v>4</v>
      </c>
      <c r="O40" s="12">
        <f t="shared" si="1"/>
        <v>1</v>
      </c>
      <c r="P40" s="12"/>
      <c r="Q40" s="23"/>
      <c r="R40" s="23"/>
    </row>
    <row r="41" ht="14.25" customHeight="1">
      <c r="A41" s="1" t="s">
        <v>8</v>
      </c>
      <c r="B41" s="1">
        <v>2004.0</v>
      </c>
      <c r="C41" s="1" t="s">
        <v>63</v>
      </c>
      <c r="D41" s="1" t="s">
        <v>64</v>
      </c>
      <c r="E41" s="1" t="s">
        <v>65</v>
      </c>
      <c r="F41" s="1" t="s">
        <v>62</v>
      </c>
      <c r="G41" s="1" t="s">
        <v>32</v>
      </c>
      <c r="K41" s="11">
        <v>2013.0</v>
      </c>
      <c r="L41" s="12">
        <f>COUNTIF(B2:B225,"2013")</f>
        <v>8</v>
      </c>
      <c r="M41" s="12">
        <f>COUNTIFS(B2:B225,K41,C2:C225,M10)</f>
        <v>5</v>
      </c>
      <c r="N41" s="12">
        <f>COUNTIFS(B2:B225,K41,C2:C225,N10)</f>
        <v>3</v>
      </c>
      <c r="O41" s="12">
        <f t="shared" si="1"/>
        <v>0.9544340029</v>
      </c>
      <c r="P41" s="12"/>
      <c r="Q41" s="23"/>
      <c r="R41" s="23"/>
    </row>
    <row r="42" ht="14.25" customHeight="1">
      <c r="A42" s="1" t="s">
        <v>8</v>
      </c>
      <c r="B42" s="1">
        <v>2005.0</v>
      </c>
      <c r="C42" s="1" t="s">
        <v>63</v>
      </c>
      <c r="D42" s="1" t="s">
        <v>64</v>
      </c>
      <c r="E42" s="1" t="s">
        <v>27</v>
      </c>
      <c r="F42" s="1" t="s">
        <v>62</v>
      </c>
      <c r="G42" s="1" t="s">
        <v>32</v>
      </c>
      <c r="K42" s="11">
        <v>2014.0</v>
      </c>
      <c r="L42" s="12">
        <f>COUNTIF(B2:B225,"2014")</f>
        <v>8</v>
      </c>
      <c r="M42" s="12">
        <f>COUNTIFS(B2:B225,K42,C2:C225,M10)</f>
        <v>5</v>
      </c>
      <c r="N42" s="12">
        <f>COUNTIFS(B2:B225,K42,C2:C225,N10)</f>
        <v>3</v>
      </c>
      <c r="O42" s="12">
        <f t="shared" si="1"/>
        <v>0.9544340029</v>
      </c>
      <c r="P42" s="12"/>
      <c r="Q42" s="23"/>
      <c r="R42" s="23"/>
    </row>
    <row r="43" ht="14.25" customHeight="1">
      <c r="A43" s="1" t="s">
        <v>8</v>
      </c>
      <c r="B43" s="1">
        <v>2006.0</v>
      </c>
      <c r="C43" s="1" t="s">
        <v>63</v>
      </c>
      <c r="D43" s="1" t="s">
        <v>64</v>
      </c>
      <c r="E43" s="1" t="s">
        <v>66</v>
      </c>
      <c r="F43" s="1" t="s">
        <v>62</v>
      </c>
      <c r="G43" s="1" t="s">
        <v>32</v>
      </c>
      <c r="K43" s="11">
        <v>2015.0</v>
      </c>
      <c r="L43" s="27">
        <f>COUNTIF(B2:B225,"2015")</f>
        <v>8</v>
      </c>
      <c r="M43" s="12">
        <f>COUNTIFS(B2:B225,K43,C2:C225,M10)</f>
        <v>5</v>
      </c>
      <c r="N43" s="12">
        <f>COUNTIFS(B2:B225,K43,C2:C225,N10)</f>
        <v>3</v>
      </c>
      <c r="O43" s="12">
        <f t="shared" si="1"/>
        <v>0.9544340029</v>
      </c>
      <c r="P43" s="12"/>
      <c r="Q43" s="23"/>
      <c r="R43" s="23"/>
    </row>
    <row r="44" ht="14.25" customHeight="1">
      <c r="A44" s="1" t="s">
        <v>8</v>
      </c>
      <c r="B44" s="1">
        <v>2007.0</v>
      </c>
      <c r="C44" s="1" t="s">
        <v>63</v>
      </c>
      <c r="D44" s="1" t="s">
        <v>64</v>
      </c>
      <c r="E44" s="1" t="s">
        <v>65</v>
      </c>
      <c r="F44" s="1" t="s">
        <v>62</v>
      </c>
      <c r="G44" s="1" t="s">
        <v>32</v>
      </c>
      <c r="K44" s="11">
        <v>2016.0</v>
      </c>
      <c r="L44" s="12">
        <f>COUNTIF(B2:B225,"2016")</f>
        <v>8</v>
      </c>
      <c r="M44" s="12">
        <f>COUNTIFS(B2:B225,K44,C2:C225,M10)</f>
        <v>5</v>
      </c>
      <c r="N44" s="12">
        <f>COUNTIFS(B2:B225,K44,C2:C225,N10)</f>
        <v>3</v>
      </c>
      <c r="O44" s="12">
        <f t="shared" si="1"/>
        <v>0.9544340029</v>
      </c>
      <c r="P44" s="12"/>
      <c r="Q44" s="23"/>
      <c r="R44" s="23"/>
    </row>
    <row r="45" ht="14.25" customHeight="1">
      <c r="A45" s="1" t="s">
        <v>8</v>
      </c>
      <c r="B45" s="1">
        <v>2008.0</v>
      </c>
      <c r="C45" s="1" t="s">
        <v>63</v>
      </c>
      <c r="D45" s="1" t="s">
        <v>64</v>
      </c>
      <c r="E45" s="1" t="s">
        <v>65</v>
      </c>
      <c r="F45" s="1" t="s">
        <v>62</v>
      </c>
      <c r="G45" s="1" t="s">
        <v>32</v>
      </c>
      <c r="K45" s="11">
        <v>2017.0</v>
      </c>
      <c r="L45" s="12">
        <f>COUNTIF(B2:B225,"2017")</f>
        <v>8</v>
      </c>
      <c r="M45" s="12">
        <f>COUNTIFS(B2:B225,K45,C2:C225,M10)</f>
        <v>5</v>
      </c>
      <c r="N45" s="12">
        <f>COUNTIFS(B2:B225,K45,C2:C225,N10)</f>
        <v>3</v>
      </c>
      <c r="O45" s="12">
        <f t="shared" si="1"/>
        <v>0.9544340029</v>
      </c>
      <c r="P45" s="12"/>
      <c r="Q45" s="23"/>
      <c r="R45" s="23"/>
    </row>
    <row r="46" ht="14.25" customHeight="1">
      <c r="A46" s="1" t="s">
        <v>8</v>
      </c>
      <c r="B46" s="1">
        <v>2009.0</v>
      </c>
      <c r="C46" s="1" t="s">
        <v>63</v>
      </c>
      <c r="D46" s="1" t="s">
        <v>64</v>
      </c>
      <c r="E46" s="1" t="s">
        <v>65</v>
      </c>
      <c r="F46" s="1" t="s">
        <v>62</v>
      </c>
      <c r="G46" s="1" t="s">
        <v>32</v>
      </c>
      <c r="K46" s="11">
        <v>2018.0</v>
      </c>
      <c r="L46" s="12">
        <f>COUNTIF(B2:B225,"2018")</f>
        <v>8</v>
      </c>
      <c r="M46" s="12">
        <f>COUNTIFS(B2:B225,K46,C2:C225,M10)</f>
        <v>4</v>
      </c>
      <c r="N46" s="12">
        <f>COUNTIFS(B2:B225,K46,C2:C225,N10)</f>
        <v>4</v>
      </c>
      <c r="O46" s="12">
        <f t="shared" si="1"/>
        <v>1</v>
      </c>
      <c r="P46" s="12"/>
      <c r="Q46" s="23"/>
      <c r="R46" s="23"/>
    </row>
    <row r="47" ht="14.25" customHeight="1">
      <c r="A47" s="1" t="s">
        <v>8</v>
      </c>
      <c r="B47" s="1">
        <v>2010.0</v>
      </c>
      <c r="C47" s="1" t="s">
        <v>63</v>
      </c>
      <c r="D47" s="1" t="s">
        <v>64</v>
      </c>
      <c r="E47" s="1" t="s">
        <v>61</v>
      </c>
      <c r="F47" s="1" t="s">
        <v>62</v>
      </c>
      <c r="G47" s="1" t="s">
        <v>32</v>
      </c>
      <c r="K47" s="11">
        <v>2019.0</v>
      </c>
      <c r="L47" s="12">
        <f>COUNTIF(B2:B225,"2019")</f>
        <v>8</v>
      </c>
      <c r="M47" s="12">
        <f>COUNTIFS(B2:B225,K47,C2:C225,M10)</f>
        <v>4</v>
      </c>
      <c r="N47" s="12">
        <f>COUNTIFS(B2:B225,K47,C2:C225,N10)</f>
        <v>4</v>
      </c>
      <c r="O47" s="12">
        <f t="shared" si="1"/>
        <v>1</v>
      </c>
      <c r="P47" s="12"/>
      <c r="Q47" s="23"/>
      <c r="R47" s="23"/>
    </row>
    <row r="48" ht="14.25" customHeight="1">
      <c r="A48" s="1" t="s">
        <v>8</v>
      </c>
      <c r="B48" s="1">
        <v>2011.0</v>
      </c>
      <c r="C48" s="1" t="s">
        <v>63</v>
      </c>
      <c r="D48" s="1" t="s">
        <v>64</v>
      </c>
      <c r="E48" s="1" t="s">
        <v>65</v>
      </c>
      <c r="F48" s="1" t="s">
        <v>62</v>
      </c>
      <c r="G48" s="1" t="s">
        <v>32</v>
      </c>
      <c r="K48" s="11">
        <v>2020.0</v>
      </c>
      <c r="L48" s="12">
        <f>COUNTIF(B2:B225,"2020")</f>
        <v>8</v>
      </c>
      <c r="M48" s="12">
        <f>COUNTIFS(B2:B225,K48,C2:C225,M10)</f>
        <v>4</v>
      </c>
      <c r="N48" s="12">
        <f>COUNTIFS(B2:B225,K48,C2:C225,N10)</f>
        <v>4</v>
      </c>
      <c r="O48" s="12">
        <f t="shared" si="1"/>
        <v>1</v>
      </c>
      <c r="P48" s="12"/>
      <c r="Q48" s="23"/>
      <c r="R48" s="23"/>
    </row>
    <row r="49" ht="14.25" customHeight="1">
      <c r="A49" s="1" t="s">
        <v>8</v>
      </c>
      <c r="B49" s="1">
        <v>2012.0</v>
      </c>
      <c r="C49" s="1" t="s">
        <v>63</v>
      </c>
      <c r="D49" s="1" t="s">
        <v>64</v>
      </c>
      <c r="E49" s="1" t="s">
        <v>65</v>
      </c>
      <c r="F49" s="1" t="s">
        <v>62</v>
      </c>
      <c r="G49" s="1" t="s">
        <v>32</v>
      </c>
      <c r="J49" s="18" t="s">
        <v>78</v>
      </c>
      <c r="K49" s="29"/>
      <c r="L49" s="19"/>
      <c r="M49" s="19"/>
      <c r="N49" s="19"/>
      <c r="O49" s="19"/>
      <c r="P49" s="20">
        <f>(O4)-(((L50/L4)*(O50)+(L51/L4)*(O51)))</f>
        <v>0.6126081522</v>
      </c>
      <c r="Q49" s="30">
        <f>-(L50/L4)*IMLOG2(L50/L4)-(L51/L4)*IMLOG2(L51/L4)</f>
        <v>1</v>
      </c>
      <c r="R49" s="22">
        <f>P49/Q49</f>
        <v>0.6126081522</v>
      </c>
    </row>
    <row r="50" ht="14.25" customHeight="1">
      <c r="A50" s="1" t="s">
        <v>8</v>
      </c>
      <c r="B50" s="1">
        <v>2013.0</v>
      </c>
      <c r="C50" s="1" t="s">
        <v>63</v>
      </c>
      <c r="D50" s="1" t="s">
        <v>64</v>
      </c>
      <c r="E50" s="1" t="s">
        <v>65</v>
      </c>
      <c r="F50" s="1" t="s">
        <v>62</v>
      </c>
      <c r="G50" s="1" t="s">
        <v>32</v>
      </c>
      <c r="K50" s="11" t="s">
        <v>58</v>
      </c>
      <c r="L50" s="12">
        <f>COUNTIF(D2:D225,"LUAS")</f>
        <v>112</v>
      </c>
      <c r="M50" s="12">
        <f>COUNTIFS(D2:D225,K50,C2:C225,M10)</f>
        <v>103</v>
      </c>
      <c r="N50" s="12">
        <f>COUNTIFS(D2:D225,K50,C2:C225,N10)</f>
        <v>9</v>
      </c>
      <c r="O50" s="12">
        <f t="shared" ref="O50:O51" si="2">((-M50/L50)*IMLOG2(M50/L50)+(-N50/L50)*IMLOG2(N50/L50))</f>
        <v>0.4034363568</v>
      </c>
      <c r="P50" s="12"/>
      <c r="Q50" s="23"/>
      <c r="R50" s="23"/>
    </row>
    <row r="51" ht="14.25" customHeight="1">
      <c r="A51" s="1" t="s">
        <v>8</v>
      </c>
      <c r="B51" s="1">
        <v>2014.0</v>
      </c>
      <c r="C51" s="1" t="s">
        <v>63</v>
      </c>
      <c r="D51" s="1" t="s">
        <v>64</v>
      </c>
      <c r="E51" s="1" t="s">
        <v>65</v>
      </c>
      <c r="F51" s="1" t="s">
        <v>62</v>
      </c>
      <c r="G51" s="1" t="s">
        <v>32</v>
      </c>
      <c r="K51" s="11" t="s">
        <v>56</v>
      </c>
      <c r="L51" s="12">
        <f>COUNTIF(D2:D225,"SEMPIT")</f>
        <v>112</v>
      </c>
      <c r="M51" s="12">
        <f>COUNTIFS(D2:D225,K51,C2:C225,M10)</f>
        <v>8</v>
      </c>
      <c r="N51" s="12">
        <f>COUNTIFS(D2:D225,K51,C2:C225,N10)</f>
        <v>104</v>
      </c>
      <c r="O51" s="12">
        <f t="shared" si="2"/>
        <v>0.3712323266</v>
      </c>
      <c r="P51" s="12"/>
      <c r="Q51" s="23"/>
      <c r="R51" s="23"/>
    </row>
    <row r="52" ht="14.25" customHeight="1">
      <c r="A52" s="1" t="s">
        <v>8</v>
      </c>
      <c r="B52" s="1">
        <v>2015.0</v>
      </c>
      <c r="C52" s="1" t="s">
        <v>63</v>
      </c>
      <c r="D52" s="1" t="s">
        <v>64</v>
      </c>
      <c r="E52" s="1" t="s">
        <v>27</v>
      </c>
      <c r="F52" s="1" t="s">
        <v>62</v>
      </c>
      <c r="G52" s="1" t="s">
        <v>32</v>
      </c>
      <c r="J52" s="18" t="s">
        <v>4</v>
      </c>
      <c r="K52" s="19"/>
      <c r="L52" s="19"/>
      <c r="M52" s="19"/>
      <c r="N52" s="19"/>
      <c r="O52" s="31"/>
      <c r="P52" s="20">
        <f>(O4)-(((L53/L4)*(O53)+(L54/L4)*(O54)+(L55/L4)*(O55)+(L56/L4)*(O56)))</f>
        <v>0.001423479528</v>
      </c>
      <c r="Q52" s="26">
        <f>-(L53/L4)*IMLOG2(L53/L4)-(L54/L4)*IMLOG2(L54/L4)-(L55/L4)*IMLOG2(L55/L4)-(L56/L4)*IMLOG2(L56/L4)</f>
        <v>1.192773226</v>
      </c>
      <c r="R52" s="22">
        <f>P52/Q52</f>
        <v>0.001193420088</v>
      </c>
    </row>
    <row r="53" ht="14.25" customHeight="1">
      <c r="A53" s="1" t="s">
        <v>8</v>
      </c>
      <c r="B53" s="1">
        <v>2016.0</v>
      </c>
      <c r="C53" s="1" t="s">
        <v>63</v>
      </c>
      <c r="D53" s="1" t="s">
        <v>64</v>
      </c>
      <c r="E53" s="1" t="s">
        <v>65</v>
      </c>
      <c r="F53" s="1" t="s">
        <v>62</v>
      </c>
      <c r="G53" s="1" t="s">
        <v>32</v>
      </c>
      <c r="K53" s="11" t="s">
        <v>43</v>
      </c>
      <c r="L53" s="12">
        <f>COUNTIF(E2:E225,"RENDAH")</f>
        <v>3</v>
      </c>
      <c r="M53" s="12">
        <f>COUNTIFS(E2:E225,K53,C2:C225,M10)</f>
        <v>1</v>
      </c>
      <c r="N53" s="12">
        <f>COUNTIFS(E2:E225,K53,C2:C225,N10)</f>
        <v>2</v>
      </c>
      <c r="O53" s="12">
        <f t="shared" ref="O53:O56" si="3">((-M53/L53)*IMLOG2(M53/L53)+(-N53/L53)*IMLOG2(N53/L53))</f>
        <v>0.9182958341</v>
      </c>
      <c r="P53" s="12"/>
      <c r="Q53" s="23"/>
      <c r="R53" s="23"/>
    </row>
    <row r="54" ht="14.25" customHeight="1">
      <c r="A54" s="1" t="s">
        <v>8</v>
      </c>
      <c r="B54" s="1">
        <v>2017.0</v>
      </c>
      <c r="C54" s="1" t="s">
        <v>63</v>
      </c>
      <c r="D54" s="1" t="s">
        <v>64</v>
      </c>
      <c r="E54" s="1" t="s">
        <v>65</v>
      </c>
      <c r="F54" s="1" t="s">
        <v>62</v>
      </c>
      <c r="G54" s="1" t="s">
        <v>32</v>
      </c>
      <c r="K54" s="11" t="s">
        <v>79</v>
      </c>
      <c r="L54" s="12">
        <f>COUNTIF(E2:E225,"SEDANG")</f>
        <v>8</v>
      </c>
      <c r="M54" s="12">
        <f>COUNTIFS(E2:E225,K54,C2:C225,M10)</f>
        <v>4</v>
      </c>
      <c r="N54" s="12">
        <f>COUNTIFS(E2:E225,K54,C2:C225,N10)</f>
        <v>4</v>
      </c>
      <c r="O54" s="12">
        <f t="shared" si="3"/>
        <v>1</v>
      </c>
      <c r="P54" s="12"/>
      <c r="Q54" s="23"/>
      <c r="R54" s="23"/>
    </row>
    <row r="55" ht="14.25" customHeight="1">
      <c r="A55" s="1" t="s">
        <v>8</v>
      </c>
      <c r="B55" s="1">
        <v>2018.0</v>
      </c>
      <c r="C55" s="1" t="s">
        <v>63</v>
      </c>
      <c r="D55" s="1" t="s">
        <v>64</v>
      </c>
      <c r="E55" s="1" t="s">
        <v>65</v>
      </c>
      <c r="F55" s="1" t="s">
        <v>62</v>
      </c>
      <c r="G55" s="1" t="s">
        <v>32</v>
      </c>
      <c r="K55" s="11" t="s">
        <v>51</v>
      </c>
      <c r="L55" s="12">
        <f>COUNTIF(E2:E225,"TINGGI")</f>
        <v>70</v>
      </c>
      <c r="M55" s="12">
        <f>COUNTIFS(E2:E225,K55,C2:C225,M10)</f>
        <v>36</v>
      </c>
      <c r="N55" s="12">
        <f>COUNTIFS(E2:E225,K55,C2:C225,N10)</f>
        <v>34</v>
      </c>
      <c r="O55" s="12">
        <f t="shared" si="3"/>
        <v>0.9994110647</v>
      </c>
      <c r="P55" s="12"/>
      <c r="Q55" s="23"/>
      <c r="R55" s="23"/>
    </row>
    <row r="56" ht="14.25" customHeight="1">
      <c r="A56" s="1" t="s">
        <v>8</v>
      </c>
      <c r="B56" s="1">
        <v>2019.0</v>
      </c>
      <c r="C56" s="1" t="s">
        <v>63</v>
      </c>
      <c r="D56" s="1" t="s">
        <v>64</v>
      </c>
      <c r="E56" s="1" t="s">
        <v>61</v>
      </c>
      <c r="F56" s="1" t="s">
        <v>62</v>
      </c>
      <c r="G56" s="1" t="s">
        <v>32</v>
      </c>
      <c r="K56" s="11" t="s">
        <v>53</v>
      </c>
      <c r="L56" s="12">
        <f>COUNTIF(E2:E225,"SANGAT TINGGI")</f>
        <v>143</v>
      </c>
      <c r="M56" s="23">
        <f>COUNTIFS(E2:E225,K56,C2:C225,M10)</f>
        <v>70</v>
      </c>
      <c r="N56" s="23">
        <f>COUNTIFS(E2:E225,K56,C2:C225,N10)</f>
        <v>73</v>
      </c>
      <c r="O56" s="12">
        <f t="shared" si="3"/>
        <v>0.9996824977</v>
      </c>
      <c r="Q56" s="23"/>
      <c r="R56" s="23"/>
    </row>
    <row r="57" ht="14.25" customHeight="1">
      <c r="A57" s="1" t="s">
        <v>8</v>
      </c>
      <c r="B57" s="1">
        <v>2020.0</v>
      </c>
      <c r="C57" s="1" t="s">
        <v>63</v>
      </c>
      <c r="D57" s="1" t="s">
        <v>64</v>
      </c>
      <c r="E57" s="1" t="s">
        <v>61</v>
      </c>
      <c r="F57" s="1" t="s">
        <v>62</v>
      </c>
      <c r="G57" s="1" t="s">
        <v>27</v>
      </c>
      <c r="J57" s="18" t="s">
        <v>5</v>
      </c>
      <c r="K57" s="19"/>
      <c r="L57" s="19"/>
      <c r="M57" s="32"/>
      <c r="N57" s="32"/>
      <c r="O57" s="19"/>
      <c r="P57" s="22">
        <f>(O4)-(((L58/L4)*(O58)+(L59/L4)*(O59)))</f>
        <v>0.00453675081</v>
      </c>
      <c r="Q57" s="26">
        <f>-(L58/L4)*IMLOG2(L58/L4)-(L59/L4)*IMLOG2(L59/L4)</f>
        <v>0.04128046812</v>
      </c>
      <c r="R57" s="22">
        <f>P57/Q57</f>
        <v>0.1099006629</v>
      </c>
    </row>
    <row r="58" ht="14.25" customHeight="1">
      <c r="A58" s="1" t="s">
        <v>9</v>
      </c>
      <c r="B58" s="1">
        <v>1993.0</v>
      </c>
      <c r="C58" s="1" t="s">
        <v>63</v>
      </c>
      <c r="D58" s="1" t="s">
        <v>64</v>
      </c>
      <c r="E58" s="1" t="s">
        <v>65</v>
      </c>
      <c r="F58" s="1" t="s">
        <v>62</v>
      </c>
      <c r="G58" s="1" t="s">
        <v>27</v>
      </c>
      <c r="K58" s="11" t="s">
        <v>24</v>
      </c>
      <c r="L58" s="12">
        <f>COUNTIF(F2:F225,"NORMAL")</f>
        <v>1</v>
      </c>
      <c r="M58" s="23">
        <f>COUNTIFS(F2:F225,K58,C2:C225,M10)</f>
        <v>1</v>
      </c>
      <c r="N58" s="23">
        <f>COUNTIFS(F2:F225,K58,C2:C225,N10)</f>
        <v>0</v>
      </c>
      <c r="O58" s="11">
        <v>0.0</v>
      </c>
      <c r="Q58" s="23"/>
      <c r="R58" s="23"/>
    </row>
    <row r="59" ht="14.25" customHeight="1">
      <c r="A59" s="1" t="s">
        <v>9</v>
      </c>
      <c r="B59" s="1">
        <v>1994.0</v>
      </c>
      <c r="C59" s="1" t="s">
        <v>63</v>
      </c>
      <c r="D59" s="1" t="s">
        <v>64</v>
      </c>
      <c r="E59" s="1" t="s">
        <v>65</v>
      </c>
      <c r="F59" s="1" t="s">
        <v>62</v>
      </c>
      <c r="G59" s="1" t="s">
        <v>27</v>
      </c>
      <c r="K59" s="11" t="s">
        <v>29</v>
      </c>
      <c r="L59" s="12">
        <f>COUNTIF(F2:F225,"HIGH")</f>
        <v>223</v>
      </c>
      <c r="M59" s="23">
        <f>COUNTIFS(F2:F225,K59,C2:C225,M10)</f>
        <v>110</v>
      </c>
      <c r="N59" s="23">
        <f>COUNTIFS(F2:F225,K59,C2:C225,N10)</f>
        <v>113</v>
      </c>
      <c r="O59" s="12">
        <f>((-M59/L59)*IMLOG2(M59/L59)+(-N59/L59)*IMLOG2(N59/L59))</f>
        <v>0.9998694459</v>
      </c>
      <c r="Q59" s="23"/>
      <c r="R59" s="23"/>
    </row>
    <row r="60" ht="14.25" customHeight="1">
      <c r="A60" s="1" t="s">
        <v>9</v>
      </c>
      <c r="B60" s="1">
        <v>1995.0</v>
      </c>
      <c r="C60" s="1" t="s">
        <v>63</v>
      </c>
      <c r="D60" s="1" t="s">
        <v>64</v>
      </c>
      <c r="E60" s="1" t="s">
        <v>65</v>
      </c>
      <c r="F60" s="1" t="s">
        <v>62</v>
      </c>
      <c r="G60" s="1" t="s">
        <v>27</v>
      </c>
      <c r="J60" s="18" t="s">
        <v>6</v>
      </c>
      <c r="K60" s="19"/>
      <c r="L60" s="19"/>
      <c r="M60" s="32"/>
      <c r="N60" s="32"/>
      <c r="O60" s="19"/>
      <c r="P60" s="22">
        <f>(O4)-(((L61/L4)*(O61)+(L62/L4)*(O62)+(L63/L4)*(O63)))</f>
        <v>0.01702197233</v>
      </c>
      <c r="Q60" s="26">
        <f>-(L61/L4)*IMLOG2(L61/L4)-(L62/L4)*IMLOG2(L62/L4)-(L63/L4)*IMLOG2(L63/L4)</f>
        <v>0.8039405352</v>
      </c>
      <c r="R60" s="22">
        <f>P60/Q60</f>
        <v>0.02117317337</v>
      </c>
    </row>
    <row r="61" ht="14.25" customHeight="1">
      <c r="A61" s="1" t="s">
        <v>9</v>
      </c>
      <c r="B61" s="1">
        <v>1996.0</v>
      </c>
      <c r="C61" s="1" t="s">
        <v>63</v>
      </c>
      <c r="D61" s="1" t="s">
        <v>64</v>
      </c>
      <c r="E61" s="1" t="s">
        <v>65</v>
      </c>
      <c r="F61" s="1" t="s">
        <v>62</v>
      </c>
      <c r="G61" s="1" t="s">
        <v>27</v>
      </c>
      <c r="K61" s="11" t="s">
        <v>80</v>
      </c>
      <c r="L61" s="12">
        <f>COUNTIF(G2:G225,"DINGIN")</f>
        <v>3</v>
      </c>
      <c r="M61" s="23">
        <f>COUNTIFS(G2:G225,K61,C2:C225,M10)</f>
        <v>3</v>
      </c>
      <c r="N61" s="23">
        <f>COUNTIFS(G2:G225,K61,C2:C225,N10)</f>
        <v>0</v>
      </c>
      <c r="O61" s="11">
        <v>0.0</v>
      </c>
      <c r="Q61" s="23"/>
      <c r="R61" s="23"/>
    </row>
    <row r="62" ht="14.25" customHeight="1">
      <c r="A62" s="1" t="s">
        <v>9</v>
      </c>
      <c r="B62" s="1">
        <v>1997.0</v>
      </c>
      <c r="C62" s="1" t="s">
        <v>63</v>
      </c>
      <c r="D62" s="1" t="s">
        <v>64</v>
      </c>
      <c r="E62" s="1" t="s">
        <v>65</v>
      </c>
      <c r="F62" s="1" t="s">
        <v>62</v>
      </c>
      <c r="G62" s="1" t="s">
        <v>27</v>
      </c>
      <c r="K62" s="11" t="s">
        <v>79</v>
      </c>
      <c r="L62" s="12">
        <f>COUNTIF(G2:G225,"SEDANG")</f>
        <v>43</v>
      </c>
      <c r="M62" s="23">
        <f>COUNTIFS(G2:G225,K62,C2:C225,M10)</f>
        <v>24</v>
      </c>
      <c r="N62" s="23">
        <f>COUNTIFS(G2:G225,K62,C2:C225,N10)</f>
        <v>19</v>
      </c>
      <c r="O62" s="12">
        <f t="shared" ref="O62:O63" si="4">((-M62/L62)*IMLOG2(M62/L62)+(-N62/L62)*IMLOG2(N62/L62))</f>
        <v>0.9902246902</v>
      </c>
      <c r="Q62" s="23"/>
      <c r="R62" s="23"/>
    </row>
    <row r="63" ht="14.25" customHeight="1">
      <c r="A63" s="1" t="s">
        <v>9</v>
      </c>
      <c r="B63" s="1">
        <v>1998.0</v>
      </c>
      <c r="C63" s="1" t="s">
        <v>63</v>
      </c>
      <c r="D63" s="1" t="s">
        <v>64</v>
      </c>
      <c r="E63" s="1" t="s">
        <v>65</v>
      </c>
      <c r="F63" s="1" t="s">
        <v>62</v>
      </c>
      <c r="G63" s="1" t="s">
        <v>27</v>
      </c>
      <c r="K63" s="11" t="s">
        <v>81</v>
      </c>
      <c r="L63" s="12">
        <f>COUNTIF(G2:G225,"PANAS")</f>
        <v>178</v>
      </c>
      <c r="M63" s="23">
        <f>COUNTIFS(G2:G225,K63,C2:C225,M10)</f>
        <v>84</v>
      </c>
      <c r="N63" s="23">
        <f>COUNTIFS(G2:G225,K63,C2:C225,N10)</f>
        <v>94</v>
      </c>
      <c r="O63" s="12">
        <f t="shared" si="4"/>
        <v>0.9977221075</v>
      </c>
      <c r="Q63" s="23"/>
      <c r="R63" s="23"/>
    </row>
    <row r="64" ht="14.25" customHeight="1">
      <c r="A64" s="1" t="s">
        <v>9</v>
      </c>
      <c r="B64" s="1">
        <v>1999.0</v>
      </c>
      <c r="C64" s="1" t="s">
        <v>63</v>
      </c>
      <c r="D64" s="1" t="s">
        <v>64</v>
      </c>
      <c r="E64" s="1" t="s">
        <v>65</v>
      </c>
      <c r="F64" s="1" t="s">
        <v>62</v>
      </c>
      <c r="G64" s="1" t="s">
        <v>22</v>
      </c>
      <c r="Q64" s="23"/>
      <c r="R64" s="23"/>
    </row>
    <row r="65" ht="14.25" customHeight="1">
      <c r="A65" s="1" t="s">
        <v>9</v>
      </c>
      <c r="B65" s="1">
        <v>2000.0</v>
      </c>
      <c r="C65" s="1" t="s">
        <v>63</v>
      </c>
      <c r="D65" s="1" t="s">
        <v>64</v>
      </c>
      <c r="E65" s="1" t="s">
        <v>65</v>
      </c>
      <c r="F65" s="1" t="s">
        <v>62</v>
      </c>
      <c r="G65" s="1" t="s">
        <v>27</v>
      </c>
    </row>
    <row r="66" ht="14.25" customHeight="1">
      <c r="A66" s="1" t="s">
        <v>9</v>
      </c>
      <c r="B66" s="1">
        <v>2001.0</v>
      </c>
      <c r="C66" s="1" t="s">
        <v>59</v>
      </c>
      <c r="D66" s="1" t="s">
        <v>64</v>
      </c>
      <c r="E66" s="1" t="s">
        <v>65</v>
      </c>
      <c r="F66" s="1" t="s">
        <v>62</v>
      </c>
      <c r="G66" s="1" t="s">
        <v>32</v>
      </c>
    </row>
    <row r="67" ht="14.25" customHeight="1">
      <c r="A67" s="1" t="s">
        <v>9</v>
      </c>
      <c r="B67" s="1">
        <v>2002.0</v>
      </c>
      <c r="C67" s="1" t="s">
        <v>63</v>
      </c>
      <c r="D67" s="1" t="s">
        <v>64</v>
      </c>
      <c r="E67" s="1" t="s">
        <v>65</v>
      </c>
      <c r="F67" s="1" t="s">
        <v>62</v>
      </c>
      <c r="G67" s="1" t="s">
        <v>32</v>
      </c>
    </row>
    <row r="68" ht="14.25" customHeight="1">
      <c r="A68" s="1" t="s">
        <v>9</v>
      </c>
      <c r="B68" s="1">
        <v>2003.0</v>
      </c>
      <c r="C68" s="1" t="s">
        <v>63</v>
      </c>
      <c r="D68" s="1" t="s">
        <v>64</v>
      </c>
      <c r="E68" s="1" t="s">
        <v>65</v>
      </c>
      <c r="F68" s="1" t="s">
        <v>62</v>
      </c>
      <c r="G68" s="1" t="s">
        <v>32</v>
      </c>
    </row>
    <row r="69" ht="14.25" customHeight="1">
      <c r="A69" s="1" t="s">
        <v>9</v>
      </c>
      <c r="B69" s="1">
        <v>2004.0</v>
      </c>
      <c r="C69" s="1" t="s">
        <v>63</v>
      </c>
      <c r="D69" s="1" t="s">
        <v>64</v>
      </c>
      <c r="E69" s="1" t="s">
        <v>65</v>
      </c>
      <c r="F69" s="1" t="s">
        <v>62</v>
      </c>
      <c r="G69" s="1" t="s">
        <v>32</v>
      </c>
    </row>
    <row r="70" ht="14.25" customHeight="1">
      <c r="A70" s="1" t="s">
        <v>9</v>
      </c>
      <c r="B70" s="1">
        <v>2005.0</v>
      </c>
      <c r="C70" s="1" t="s">
        <v>63</v>
      </c>
      <c r="D70" s="1" t="s">
        <v>64</v>
      </c>
      <c r="E70" s="1" t="s">
        <v>61</v>
      </c>
      <c r="F70" s="1" t="s">
        <v>62</v>
      </c>
      <c r="G70" s="1" t="s">
        <v>27</v>
      </c>
    </row>
    <row r="71" ht="14.25" customHeight="1">
      <c r="A71" s="1" t="s">
        <v>9</v>
      </c>
      <c r="B71" s="1">
        <v>2006.0</v>
      </c>
      <c r="C71" s="1" t="s">
        <v>63</v>
      </c>
      <c r="D71" s="1" t="s">
        <v>64</v>
      </c>
      <c r="E71" s="1" t="s">
        <v>27</v>
      </c>
      <c r="F71" s="1" t="s">
        <v>62</v>
      </c>
      <c r="G71" s="1" t="s">
        <v>32</v>
      </c>
    </row>
    <row r="72" ht="14.25" customHeight="1">
      <c r="A72" s="1" t="s">
        <v>9</v>
      </c>
      <c r="B72" s="1">
        <v>2007.0</v>
      </c>
      <c r="C72" s="1" t="s">
        <v>63</v>
      </c>
      <c r="D72" s="1" t="s">
        <v>64</v>
      </c>
      <c r="E72" s="1" t="s">
        <v>65</v>
      </c>
      <c r="F72" s="1" t="s">
        <v>62</v>
      </c>
      <c r="G72" s="1" t="s">
        <v>27</v>
      </c>
    </row>
    <row r="73" ht="14.25" customHeight="1">
      <c r="A73" s="1" t="s">
        <v>9</v>
      </c>
      <c r="B73" s="1">
        <v>2008.0</v>
      </c>
      <c r="C73" s="1" t="s">
        <v>63</v>
      </c>
      <c r="D73" s="1" t="s">
        <v>64</v>
      </c>
      <c r="E73" s="1" t="s">
        <v>65</v>
      </c>
      <c r="F73" s="1" t="s">
        <v>62</v>
      </c>
      <c r="G73" s="1" t="s">
        <v>27</v>
      </c>
    </row>
    <row r="74" ht="14.25" customHeight="1">
      <c r="A74" s="1" t="s">
        <v>9</v>
      </c>
      <c r="B74" s="1">
        <v>2009.0</v>
      </c>
      <c r="C74" s="1" t="s">
        <v>63</v>
      </c>
      <c r="D74" s="1" t="s">
        <v>64</v>
      </c>
      <c r="E74" s="1" t="s">
        <v>65</v>
      </c>
      <c r="F74" s="1" t="s">
        <v>62</v>
      </c>
      <c r="G74" s="1" t="s">
        <v>27</v>
      </c>
    </row>
    <row r="75" ht="14.25" customHeight="1">
      <c r="A75" s="1" t="s">
        <v>9</v>
      </c>
      <c r="B75" s="1">
        <v>2010.0</v>
      </c>
      <c r="C75" s="1" t="s">
        <v>63</v>
      </c>
      <c r="D75" s="1" t="s">
        <v>64</v>
      </c>
      <c r="E75" s="1" t="s">
        <v>65</v>
      </c>
      <c r="F75" s="1" t="s">
        <v>62</v>
      </c>
      <c r="G75" s="1" t="s">
        <v>27</v>
      </c>
    </row>
    <row r="76" ht="14.25" customHeight="1">
      <c r="A76" s="1" t="s">
        <v>9</v>
      </c>
      <c r="B76" s="1">
        <v>2011.0</v>
      </c>
      <c r="C76" s="1" t="s">
        <v>63</v>
      </c>
      <c r="D76" s="1" t="s">
        <v>64</v>
      </c>
      <c r="E76" s="1" t="s">
        <v>65</v>
      </c>
      <c r="F76" s="1" t="s">
        <v>67</v>
      </c>
      <c r="G76" s="1" t="s">
        <v>27</v>
      </c>
    </row>
    <row r="77" ht="14.25" customHeight="1">
      <c r="A77" s="1" t="s">
        <v>9</v>
      </c>
      <c r="B77" s="1">
        <v>2012.0</v>
      </c>
      <c r="C77" s="1" t="s">
        <v>63</v>
      </c>
      <c r="D77" s="1" t="s">
        <v>64</v>
      </c>
      <c r="E77" s="1" t="s">
        <v>65</v>
      </c>
      <c r="F77" s="1" t="s">
        <v>62</v>
      </c>
      <c r="G77" s="1" t="s">
        <v>27</v>
      </c>
    </row>
    <row r="78" ht="14.25" customHeight="1">
      <c r="A78" s="1" t="s">
        <v>9</v>
      </c>
      <c r="B78" s="1">
        <v>2013.0</v>
      </c>
      <c r="C78" s="1" t="s">
        <v>63</v>
      </c>
      <c r="D78" s="1" t="s">
        <v>64</v>
      </c>
      <c r="E78" s="1" t="s">
        <v>65</v>
      </c>
      <c r="F78" s="1" t="s">
        <v>62</v>
      </c>
      <c r="G78" s="1" t="s">
        <v>27</v>
      </c>
    </row>
    <row r="79" ht="14.25" customHeight="1">
      <c r="A79" s="1" t="s">
        <v>9</v>
      </c>
      <c r="B79" s="1">
        <v>2014.0</v>
      </c>
      <c r="C79" s="1" t="s">
        <v>63</v>
      </c>
      <c r="D79" s="1" t="s">
        <v>64</v>
      </c>
      <c r="E79" s="1" t="s">
        <v>65</v>
      </c>
      <c r="F79" s="1" t="s">
        <v>62</v>
      </c>
      <c r="G79" s="1" t="s">
        <v>27</v>
      </c>
    </row>
    <row r="80" ht="14.25" customHeight="1">
      <c r="A80" s="1" t="s">
        <v>9</v>
      </c>
      <c r="B80" s="1">
        <v>2015.0</v>
      </c>
      <c r="C80" s="1" t="s">
        <v>63</v>
      </c>
      <c r="D80" s="1" t="s">
        <v>64</v>
      </c>
      <c r="E80" s="1" t="s">
        <v>65</v>
      </c>
      <c r="F80" s="1" t="s">
        <v>62</v>
      </c>
      <c r="G80" s="1" t="s">
        <v>32</v>
      </c>
    </row>
    <row r="81" ht="14.25" customHeight="1">
      <c r="A81" s="1" t="s">
        <v>9</v>
      </c>
      <c r="B81" s="1">
        <v>2016.0</v>
      </c>
      <c r="C81" s="1" t="s">
        <v>63</v>
      </c>
      <c r="D81" s="1" t="s">
        <v>60</v>
      </c>
      <c r="E81" s="1" t="s">
        <v>65</v>
      </c>
      <c r="F81" s="1" t="s">
        <v>62</v>
      </c>
      <c r="G81" s="1" t="s">
        <v>22</v>
      </c>
    </row>
    <row r="82" ht="14.25" customHeight="1">
      <c r="A82" s="1" t="s">
        <v>9</v>
      </c>
      <c r="B82" s="1">
        <v>2017.0</v>
      </c>
      <c r="C82" s="1" t="s">
        <v>63</v>
      </c>
      <c r="D82" s="1" t="s">
        <v>60</v>
      </c>
      <c r="E82" s="1" t="s">
        <v>65</v>
      </c>
      <c r="F82" s="1" t="s">
        <v>62</v>
      </c>
      <c r="G82" s="1" t="s">
        <v>22</v>
      </c>
    </row>
    <row r="83" ht="14.25" customHeight="1">
      <c r="A83" s="1" t="s">
        <v>9</v>
      </c>
      <c r="B83" s="1">
        <v>2018.0</v>
      </c>
      <c r="C83" s="1" t="s">
        <v>59</v>
      </c>
      <c r="D83" s="1" t="s">
        <v>60</v>
      </c>
      <c r="E83" s="1" t="s">
        <v>66</v>
      </c>
      <c r="F83" s="1" t="s">
        <v>62</v>
      </c>
      <c r="G83" s="1" t="s">
        <v>32</v>
      </c>
    </row>
    <row r="84" ht="14.25" customHeight="1">
      <c r="A84" s="1" t="s">
        <v>9</v>
      </c>
      <c r="B84" s="1">
        <v>2019.0</v>
      </c>
      <c r="C84" s="1" t="s">
        <v>59</v>
      </c>
      <c r="D84" s="1" t="s">
        <v>60</v>
      </c>
      <c r="E84" s="1" t="s">
        <v>65</v>
      </c>
      <c r="F84" s="1" t="s">
        <v>62</v>
      </c>
      <c r="G84" s="1" t="s">
        <v>27</v>
      </c>
    </row>
    <row r="85" ht="14.25" customHeight="1">
      <c r="A85" s="1" t="s">
        <v>9</v>
      </c>
      <c r="B85" s="1">
        <v>2020.0</v>
      </c>
      <c r="C85" s="1" t="s">
        <v>59</v>
      </c>
      <c r="D85" s="1" t="s">
        <v>60</v>
      </c>
      <c r="E85" s="1" t="s">
        <v>65</v>
      </c>
      <c r="F85" s="1" t="s">
        <v>62</v>
      </c>
      <c r="G85" s="1" t="s">
        <v>32</v>
      </c>
    </row>
    <row r="86" ht="14.25" customHeight="1">
      <c r="A86" s="1" t="s">
        <v>10</v>
      </c>
      <c r="B86" s="1">
        <v>1993.0</v>
      </c>
      <c r="C86" s="1" t="s">
        <v>59</v>
      </c>
      <c r="D86" s="1" t="s">
        <v>60</v>
      </c>
      <c r="E86" s="1" t="s">
        <v>65</v>
      </c>
      <c r="F86" s="1" t="s">
        <v>62</v>
      </c>
      <c r="G86" s="1" t="s">
        <v>27</v>
      </c>
    </row>
    <row r="87" ht="14.25" customHeight="1">
      <c r="A87" s="1" t="s">
        <v>10</v>
      </c>
      <c r="B87" s="1">
        <v>1994.0</v>
      </c>
      <c r="C87" s="1" t="s">
        <v>59</v>
      </c>
      <c r="D87" s="1" t="s">
        <v>60</v>
      </c>
      <c r="E87" s="1" t="s">
        <v>61</v>
      </c>
      <c r="F87" s="1" t="s">
        <v>62</v>
      </c>
      <c r="G87" s="1" t="s">
        <v>32</v>
      </c>
    </row>
    <row r="88" ht="14.25" customHeight="1">
      <c r="A88" s="1" t="s">
        <v>10</v>
      </c>
      <c r="B88" s="1">
        <v>1995.0</v>
      </c>
      <c r="C88" s="1" t="s">
        <v>59</v>
      </c>
      <c r="D88" s="1" t="s">
        <v>60</v>
      </c>
      <c r="E88" s="1" t="s">
        <v>65</v>
      </c>
      <c r="F88" s="1" t="s">
        <v>62</v>
      </c>
      <c r="G88" s="1" t="s">
        <v>32</v>
      </c>
    </row>
    <row r="89" ht="14.25" customHeight="1">
      <c r="A89" s="1" t="s">
        <v>10</v>
      </c>
      <c r="B89" s="1">
        <v>1996.0</v>
      </c>
      <c r="C89" s="1" t="s">
        <v>59</v>
      </c>
      <c r="D89" s="1" t="s">
        <v>60</v>
      </c>
      <c r="E89" s="1" t="s">
        <v>65</v>
      </c>
      <c r="F89" s="1" t="s">
        <v>62</v>
      </c>
      <c r="G89" s="1" t="s">
        <v>27</v>
      </c>
    </row>
    <row r="90" ht="14.25" customHeight="1">
      <c r="A90" s="1" t="s">
        <v>10</v>
      </c>
      <c r="B90" s="1">
        <v>1997.0</v>
      </c>
      <c r="C90" s="1" t="s">
        <v>59</v>
      </c>
      <c r="D90" s="1" t="s">
        <v>60</v>
      </c>
      <c r="E90" s="1" t="s">
        <v>61</v>
      </c>
      <c r="F90" s="1" t="s">
        <v>62</v>
      </c>
      <c r="G90" s="1" t="s">
        <v>32</v>
      </c>
    </row>
    <row r="91" ht="14.25" customHeight="1">
      <c r="A91" s="1" t="s">
        <v>10</v>
      </c>
      <c r="B91" s="1">
        <v>1998.0</v>
      </c>
      <c r="C91" s="1" t="s">
        <v>59</v>
      </c>
      <c r="D91" s="1" t="s">
        <v>60</v>
      </c>
      <c r="E91" s="1" t="s">
        <v>65</v>
      </c>
      <c r="F91" s="1" t="s">
        <v>62</v>
      </c>
      <c r="G91" s="1" t="s">
        <v>32</v>
      </c>
    </row>
    <row r="92" ht="14.25" customHeight="1">
      <c r="A92" s="1" t="s">
        <v>10</v>
      </c>
      <c r="B92" s="1">
        <v>1999.0</v>
      </c>
      <c r="C92" s="1" t="s">
        <v>59</v>
      </c>
      <c r="D92" s="1" t="s">
        <v>60</v>
      </c>
      <c r="E92" s="1" t="s">
        <v>65</v>
      </c>
      <c r="F92" s="1" t="s">
        <v>62</v>
      </c>
      <c r="G92" s="1" t="s">
        <v>32</v>
      </c>
    </row>
    <row r="93" ht="14.25" customHeight="1">
      <c r="A93" s="1" t="s">
        <v>10</v>
      </c>
      <c r="B93" s="1">
        <v>2000.0</v>
      </c>
      <c r="C93" s="1" t="s">
        <v>59</v>
      </c>
      <c r="D93" s="1" t="s">
        <v>60</v>
      </c>
      <c r="E93" s="1" t="s">
        <v>65</v>
      </c>
      <c r="F93" s="1" t="s">
        <v>62</v>
      </c>
      <c r="G93" s="1" t="s">
        <v>27</v>
      </c>
    </row>
    <row r="94" ht="14.25" customHeight="1">
      <c r="A94" s="1" t="s">
        <v>10</v>
      </c>
      <c r="B94" s="1">
        <v>2001.0</v>
      </c>
      <c r="C94" s="1" t="s">
        <v>59</v>
      </c>
      <c r="D94" s="1" t="s">
        <v>60</v>
      </c>
      <c r="E94" s="1" t="s">
        <v>65</v>
      </c>
      <c r="F94" s="1" t="s">
        <v>62</v>
      </c>
      <c r="G94" s="1" t="s">
        <v>32</v>
      </c>
    </row>
    <row r="95" ht="14.25" customHeight="1">
      <c r="A95" s="1" t="s">
        <v>10</v>
      </c>
      <c r="B95" s="1">
        <v>2002.0</v>
      </c>
      <c r="C95" s="1" t="s">
        <v>59</v>
      </c>
      <c r="D95" s="1" t="s">
        <v>60</v>
      </c>
      <c r="E95" s="1" t="s">
        <v>65</v>
      </c>
      <c r="F95" s="1" t="s">
        <v>62</v>
      </c>
      <c r="G95" s="1" t="s">
        <v>32</v>
      </c>
    </row>
    <row r="96" ht="14.25" customHeight="1">
      <c r="A96" s="1" t="s">
        <v>10</v>
      </c>
      <c r="B96" s="1">
        <v>2003.0</v>
      </c>
      <c r="C96" s="1" t="s">
        <v>59</v>
      </c>
      <c r="D96" s="1" t="s">
        <v>60</v>
      </c>
      <c r="E96" s="1" t="s">
        <v>65</v>
      </c>
      <c r="F96" s="1" t="s">
        <v>62</v>
      </c>
      <c r="G96" s="1" t="s">
        <v>32</v>
      </c>
    </row>
    <row r="97" ht="14.25" customHeight="1">
      <c r="A97" s="1" t="s">
        <v>10</v>
      </c>
      <c r="B97" s="1">
        <v>2004.0</v>
      </c>
      <c r="C97" s="1" t="s">
        <v>59</v>
      </c>
      <c r="D97" s="1" t="s">
        <v>60</v>
      </c>
      <c r="E97" s="1" t="s">
        <v>65</v>
      </c>
      <c r="F97" s="1" t="s">
        <v>62</v>
      </c>
      <c r="G97" s="1" t="s">
        <v>32</v>
      </c>
    </row>
    <row r="98" ht="14.25" customHeight="1">
      <c r="A98" s="1" t="s">
        <v>10</v>
      </c>
      <c r="B98" s="1">
        <v>2005.0</v>
      </c>
      <c r="C98" s="1" t="s">
        <v>59</v>
      </c>
      <c r="D98" s="1" t="s">
        <v>60</v>
      </c>
      <c r="E98" s="1" t="s">
        <v>61</v>
      </c>
      <c r="F98" s="1" t="s">
        <v>62</v>
      </c>
      <c r="G98" s="1" t="s">
        <v>32</v>
      </c>
    </row>
    <row r="99" ht="14.25" customHeight="1">
      <c r="A99" s="1" t="s">
        <v>10</v>
      </c>
      <c r="B99" s="1">
        <v>2006.0</v>
      </c>
      <c r="C99" s="1" t="s">
        <v>59</v>
      </c>
      <c r="D99" s="1" t="s">
        <v>60</v>
      </c>
      <c r="E99" s="1" t="s">
        <v>27</v>
      </c>
      <c r="F99" s="1" t="s">
        <v>62</v>
      </c>
      <c r="G99" s="1" t="s">
        <v>32</v>
      </c>
    </row>
    <row r="100" ht="14.25" customHeight="1">
      <c r="A100" s="1" t="s">
        <v>10</v>
      </c>
      <c r="B100" s="1">
        <v>2007.0</v>
      </c>
      <c r="C100" s="1" t="s">
        <v>59</v>
      </c>
      <c r="D100" s="1" t="s">
        <v>60</v>
      </c>
      <c r="E100" s="1" t="s">
        <v>65</v>
      </c>
      <c r="F100" s="1" t="s">
        <v>62</v>
      </c>
      <c r="G100" s="1" t="s">
        <v>32</v>
      </c>
    </row>
    <row r="101" ht="14.25" customHeight="1">
      <c r="A101" s="1" t="s">
        <v>10</v>
      </c>
      <c r="B101" s="1">
        <v>2008.0</v>
      </c>
      <c r="C101" s="1" t="s">
        <v>59</v>
      </c>
      <c r="D101" s="1" t="s">
        <v>60</v>
      </c>
      <c r="E101" s="1" t="s">
        <v>65</v>
      </c>
      <c r="F101" s="1" t="s">
        <v>62</v>
      </c>
      <c r="G101" s="1" t="s">
        <v>32</v>
      </c>
    </row>
    <row r="102" ht="14.25" customHeight="1">
      <c r="A102" s="1" t="s">
        <v>10</v>
      </c>
      <c r="B102" s="1">
        <v>2009.0</v>
      </c>
      <c r="C102" s="1" t="s">
        <v>59</v>
      </c>
      <c r="D102" s="1" t="s">
        <v>60</v>
      </c>
      <c r="E102" s="1" t="s">
        <v>65</v>
      </c>
      <c r="F102" s="1" t="s">
        <v>62</v>
      </c>
      <c r="G102" s="1" t="s">
        <v>32</v>
      </c>
    </row>
    <row r="103" ht="14.25" customHeight="1">
      <c r="A103" s="1" t="s">
        <v>10</v>
      </c>
      <c r="B103" s="1">
        <v>2010.0</v>
      </c>
      <c r="C103" s="1" t="s">
        <v>59</v>
      </c>
      <c r="D103" s="1" t="s">
        <v>60</v>
      </c>
      <c r="E103" s="1" t="s">
        <v>65</v>
      </c>
      <c r="F103" s="1" t="s">
        <v>62</v>
      </c>
      <c r="G103" s="1" t="s">
        <v>32</v>
      </c>
    </row>
    <row r="104" ht="14.25" customHeight="1">
      <c r="A104" s="1" t="s">
        <v>10</v>
      </c>
      <c r="B104" s="1">
        <v>2011.0</v>
      </c>
      <c r="C104" s="1" t="s">
        <v>59</v>
      </c>
      <c r="D104" s="1" t="s">
        <v>60</v>
      </c>
      <c r="E104" s="1" t="s">
        <v>65</v>
      </c>
      <c r="F104" s="1" t="s">
        <v>62</v>
      </c>
      <c r="G104" s="1" t="s">
        <v>32</v>
      </c>
    </row>
    <row r="105" ht="14.25" customHeight="1">
      <c r="A105" s="1" t="s">
        <v>10</v>
      </c>
      <c r="B105" s="1">
        <v>2012.0</v>
      </c>
      <c r="C105" s="1" t="s">
        <v>59</v>
      </c>
      <c r="D105" s="1" t="s">
        <v>60</v>
      </c>
      <c r="E105" s="1" t="s">
        <v>65</v>
      </c>
      <c r="F105" s="1" t="s">
        <v>62</v>
      </c>
      <c r="G105" s="1" t="s">
        <v>32</v>
      </c>
    </row>
    <row r="106" ht="14.25" customHeight="1">
      <c r="A106" s="1" t="s">
        <v>10</v>
      </c>
      <c r="B106" s="1">
        <v>2013.0</v>
      </c>
      <c r="C106" s="1" t="s">
        <v>59</v>
      </c>
      <c r="D106" s="1" t="s">
        <v>60</v>
      </c>
      <c r="E106" s="1" t="s">
        <v>65</v>
      </c>
      <c r="F106" s="1" t="s">
        <v>62</v>
      </c>
      <c r="G106" s="1" t="s">
        <v>27</v>
      </c>
    </row>
    <row r="107" ht="14.25" customHeight="1">
      <c r="A107" s="1" t="s">
        <v>10</v>
      </c>
      <c r="B107" s="1">
        <v>2014.0</v>
      </c>
      <c r="C107" s="1" t="s">
        <v>59</v>
      </c>
      <c r="D107" s="1" t="s">
        <v>60</v>
      </c>
      <c r="E107" s="1" t="s">
        <v>65</v>
      </c>
      <c r="F107" s="1" t="s">
        <v>62</v>
      </c>
      <c r="G107" s="1" t="s">
        <v>32</v>
      </c>
    </row>
    <row r="108" ht="14.25" customHeight="1">
      <c r="A108" s="1" t="s">
        <v>10</v>
      </c>
      <c r="B108" s="1">
        <v>2015.0</v>
      </c>
      <c r="C108" s="1" t="s">
        <v>59</v>
      </c>
      <c r="D108" s="1" t="s">
        <v>60</v>
      </c>
      <c r="E108" s="1" t="s">
        <v>65</v>
      </c>
      <c r="F108" s="1" t="s">
        <v>62</v>
      </c>
      <c r="G108" s="1" t="s">
        <v>32</v>
      </c>
    </row>
    <row r="109" ht="14.25" customHeight="1">
      <c r="A109" s="1" t="s">
        <v>10</v>
      </c>
      <c r="B109" s="1">
        <v>2016.0</v>
      </c>
      <c r="C109" s="1" t="s">
        <v>59</v>
      </c>
      <c r="D109" s="1" t="s">
        <v>60</v>
      </c>
      <c r="E109" s="1" t="s">
        <v>65</v>
      </c>
      <c r="F109" s="1" t="s">
        <v>62</v>
      </c>
      <c r="G109" s="1" t="s">
        <v>32</v>
      </c>
    </row>
    <row r="110" ht="14.25" customHeight="1">
      <c r="A110" s="1" t="s">
        <v>10</v>
      </c>
      <c r="B110" s="1">
        <v>2017.0</v>
      </c>
      <c r="C110" s="1" t="s">
        <v>59</v>
      </c>
      <c r="D110" s="1" t="s">
        <v>60</v>
      </c>
      <c r="E110" s="1" t="s">
        <v>65</v>
      </c>
      <c r="F110" s="1" t="s">
        <v>62</v>
      </c>
      <c r="G110" s="1" t="s">
        <v>32</v>
      </c>
    </row>
    <row r="111" ht="14.25" customHeight="1">
      <c r="A111" s="1" t="s">
        <v>10</v>
      </c>
      <c r="B111" s="1">
        <v>2018.0</v>
      </c>
      <c r="C111" s="1" t="s">
        <v>59</v>
      </c>
      <c r="D111" s="1" t="s">
        <v>60</v>
      </c>
      <c r="E111" s="1" t="s">
        <v>61</v>
      </c>
      <c r="F111" s="1" t="s">
        <v>62</v>
      </c>
      <c r="G111" s="1" t="s">
        <v>27</v>
      </c>
    </row>
    <row r="112" ht="14.25" customHeight="1">
      <c r="A112" s="1" t="s">
        <v>10</v>
      </c>
      <c r="B112" s="1">
        <v>2019.0</v>
      </c>
      <c r="C112" s="1" t="s">
        <v>59</v>
      </c>
      <c r="D112" s="1" t="s">
        <v>60</v>
      </c>
      <c r="E112" s="1" t="s">
        <v>61</v>
      </c>
      <c r="F112" s="1" t="s">
        <v>62</v>
      </c>
      <c r="G112" s="1" t="s">
        <v>32</v>
      </c>
    </row>
    <row r="113" ht="14.25" customHeight="1">
      <c r="A113" s="1" t="s">
        <v>10</v>
      </c>
      <c r="B113" s="1">
        <v>2020.0</v>
      </c>
      <c r="C113" s="1" t="s">
        <v>59</v>
      </c>
      <c r="D113" s="1" t="s">
        <v>60</v>
      </c>
      <c r="E113" s="1" t="s">
        <v>65</v>
      </c>
      <c r="F113" s="1" t="s">
        <v>62</v>
      </c>
      <c r="G113" s="1" t="s">
        <v>27</v>
      </c>
    </row>
    <row r="114" ht="14.25" customHeight="1">
      <c r="A114" s="1" t="s">
        <v>11</v>
      </c>
      <c r="B114" s="1">
        <v>1993.0</v>
      </c>
      <c r="C114" s="1" t="s">
        <v>59</v>
      </c>
      <c r="D114" s="1" t="s">
        <v>60</v>
      </c>
      <c r="E114" s="1" t="s">
        <v>61</v>
      </c>
      <c r="F114" s="1" t="s">
        <v>62</v>
      </c>
      <c r="G114" s="1" t="s">
        <v>32</v>
      </c>
    </row>
    <row r="115" ht="14.25" customHeight="1">
      <c r="A115" s="1" t="s">
        <v>11</v>
      </c>
      <c r="B115" s="1">
        <v>1994.0</v>
      </c>
      <c r="C115" s="1" t="s">
        <v>59</v>
      </c>
      <c r="D115" s="1" t="s">
        <v>60</v>
      </c>
      <c r="E115" s="1" t="s">
        <v>61</v>
      </c>
      <c r="F115" s="1" t="s">
        <v>62</v>
      </c>
      <c r="G115" s="1" t="s">
        <v>27</v>
      </c>
    </row>
    <row r="116" ht="14.25" customHeight="1">
      <c r="A116" s="1" t="s">
        <v>11</v>
      </c>
      <c r="B116" s="1">
        <v>1995.0</v>
      </c>
      <c r="C116" s="1" t="s">
        <v>59</v>
      </c>
      <c r="D116" s="1" t="s">
        <v>60</v>
      </c>
      <c r="E116" s="1" t="s">
        <v>65</v>
      </c>
      <c r="F116" s="1" t="s">
        <v>62</v>
      </c>
      <c r="G116" s="1" t="s">
        <v>32</v>
      </c>
    </row>
    <row r="117" ht="14.25" customHeight="1">
      <c r="A117" s="1" t="s">
        <v>11</v>
      </c>
      <c r="B117" s="1">
        <v>1996.0</v>
      </c>
      <c r="C117" s="1" t="s">
        <v>59</v>
      </c>
      <c r="D117" s="1" t="s">
        <v>60</v>
      </c>
      <c r="E117" s="1" t="s">
        <v>65</v>
      </c>
      <c r="F117" s="1" t="s">
        <v>62</v>
      </c>
      <c r="G117" s="1" t="s">
        <v>27</v>
      </c>
    </row>
    <row r="118" ht="14.25" customHeight="1">
      <c r="A118" s="1" t="s">
        <v>11</v>
      </c>
      <c r="B118" s="1">
        <v>1997.0</v>
      </c>
      <c r="C118" s="1" t="s">
        <v>59</v>
      </c>
      <c r="D118" s="1" t="s">
        <v>60</v>
      </c>
      <c r="E118" s="1" t="s">
        <v>61</v>
      </c>
      <c r="F118" s="1" t="s">
        <v>62</v>
      </c>
      <c r="G118" s="1" t="s">
        <v>32</v>
      </c>
    </row>
    <row r="119" ht="14.25" customHeight="1">
      <c r="A119" s="1" t="s">
        <v>11</v>
      </c>
      <c r="B119" s="1">
        <v>1998.0</v>
      </c>
      <c r="C119" s="1" t="s">
        <v>59</v>
      </c>
      <c r="D119" s="1" t="s">
        <v>60</v>
      </c>
      <c r="E119" s="1" t="s">
        <v>65</v>
      </c>
      <c r="F119" s="1" t="s">
        <v>62</v>
      </c>
      <c r="G119" s="1" t="s">
        <v>32</v>
      </c>
    </row>
    <row r="120" ht="14.25" customHeight="1">
      <c r="A120" s="1" t="s">
        <v>11</v>
      </c>
      <c r="B120" s="1">
        <v>1999.0</v>
      </c>
      <c r="C120" s="1" t="s">
        <v>59</v>
      </c>
      <c r="D120" s="1" t="s">
        <v>60</v>
      </c>
      <c r="E120" s="1" t="s">
        <v>65</v>
      </c>
      <c r="F120" s="1" t="s">
        <v>62</v>
      </c>
      <c r="G120" s="1" t="s">
        <v>32</v>
      </c>
    </row>
    <row r="121" ht="14.25" customHeight="1">
      <c r="A121" s="1" t="s">
        <v>11</v>
      </c>
      <c r="B121" s="1">
        <v>2000.0</v>
      </c>
      <c r="C121" s="1" t="s">
        <v>59</v>
      </c>
      <c r="D121" s="1" t="s">
        <v>60</v>
      </c>
      <c r="E121" s="1" t="s">
        <v>27</v>
      </c>
      <c r="F121" s="1" t="s">
        <v>62</v>
      </c>
      <c r="G121" s="1" t="s">
        <v>32</v>
      </c>
    </row>
    <row r="122" ht="14.25" customHeight="1">
      <c r="A122" s="1" t="s">
        <v>11</v>
      </c>
      <c r="B122" s="1">
        <v>2001.0</v>
      </c>
      <c r="C122" s="1" t="s">
        <v>59</v>
      </c>
      <c r="D122" s="1" t="s">
        <v>60</v>
      </c>
      <c r="E122" s="1" t="s">
        <v>65</v>
      </c>
      <c r="F122" s="1" t="s">
        <v>62</v>
      </c>
      <c r="G122" s="1" t="s">
        <v>32</v>
      </c>
    </row>
    <row r="123" ht="14.25" customHeight="1">
      <c r="A123" s="1" t="s">
        <v>11</v>
      </c>
      <c r="B123" s="1">
        <v>2002.0</v>
      </c>
      <c r="C123" s="1" t="s">
        <v>59</v>
      </c>
      <c r="D123" s="1" t="s">
        <v>60</v>
      </c>
      <c r="E123" s="1" t="s">
        <v>65</v>
      </c>
      <c r="F123" s="1" t="s">
        <v>62</v>
      </c>
      <c r="G123" s="1" t="s">
        <v>32</v>
      </c>
    </row>
    <row r="124" ht="14.25" customHeight="1">
      <c r="A124" s="1" t="s">
        <v>11</v>
      </c>
      <c r="B124" s="1">
        <v>2003.0</v>
      </c>
      <c r="C124" s="1" t="s">
        <v>59</v>
      </c>
      <c r="D124" s="1" t="s">
        <v>60</v>
      </c>
      <c r="E124" s="1" t="s">
        <v>65</v>
      </c>
      <c r="F124" s="1" t="s">
        <v>62</v>
      </c>
      <c r="G124" s="1" t="s">
        <v>32</v>
      </c>
    </row>
    <row r="125" ht="14.25" customHeight="1">
      <c r="A125" s="1" t="s">
        <v>11</v>
      </c>
      <c r="B125" s="1">
        <v>2004.0</v>
      </c>
      <c r="C125" s="1" t="s">
        <v>59</v>
      </c>
      <c r="D125" s="1" t="s">
        <v>60</v>
      </c>
      <c r="E125" s="1" t="s">
        <v>65</v>
      </c>
      <c r="F125" s="1" t="s">
        <v>62</v>
      </c>
      <c r="G125" s="1" t="s">
        <v>32</v>
      </c>
    </row>
    <row r="126" ht="14.25" customHeight="1">
      <c r="A126" s="1" t="s">
        <v>11</v>
      </c>
      <c r="B126" s="1">
        <v>2005.0</v>
      </c>
      <c r="C126" s="1" t="s">
        <v>59</v>
      </c>
      <c r="D126" s="1" t="s">
        <v>60</v>
      </c>
      <c r="E126" s="1" t="s">
        <v>61</v>
      </c>
      <c r="F126" s="1" t="s">
        <v>62</v>
      </c>
      <c r="G126" s="1" t="s">
        <v>32</v>
      </c>
    </row>
    <row r="127" ht="14.25" customHeight="1">
      <c r="A127" s="1" t="s">
        <v>11</v>
      </c>
      <c r="B127" s="1">
        <v>2006.0</v>
      </c>
      <c r="C127" s="1" t="s">
        <v>59</v>
      </c>
      <c r="D127" s="1" t="s">
        <v>60</v>
      </c>
      <c r="E127" s="1" t="s">
        <v>66</v>
      </c>
      <c r="F127" s="1" t="s">
        <v>62</v>
      </c>
      <c r="G127" s="1" t="s">
        <v>32</v>
      </c>
    </row>
    <row r="128" ht="14.25" customHeight="1">
      <c r="A128" s="1" t="s">
        <v>11</v>
      </c>
      <c r="B128" s="1">
        <v>2007.0</v>
      </c>
      <c r="C128" s="1" t="s">
        <v>59</v>
      </c>
      <c r="D128" s="1" t="s">
        <v>60</v>
      </c>
      <c r="E128" s="1" t="s">
        <v>65</v>
      </c>
      <c r="F128" s="1" t="s">
        <v>62</v>
      </c>
      <c r="G128" s="1" t="s">
        <v>32</v>
      </c>
    </row>
    <row r="129" ht="14.25" customHeight="1">
      <c r="A129" s="1" t="s">
        <v>11</v>
      </c>
      <c r="B129" s="1">
        <v>2008.0</v>
      </c>
      <c r="C129" s="1" t="s">
        <v>59</v>
      </c>
      <c r="D129" s="1" t="s">
        <v>60</v>
      </c>
      <c r="E129" s="1" t="s">
        <v>65</v>
      </c>
      <c r="F129" s="1" t="s">
        <v>62</v>
      </c>
      <c r="G129" s="1" t="s">
        <v>32</v>
      </c>
    </row>
    <row r="130" ht="14.25" customHeight="1">
      <c r="A130" s="1" t="s">
        <v>11</v>
      </c>
      <c r="B130" s="1">
        <v>2009.0</v>
      </c>
      <c r="C130" s="1" t="s">
        <v>59</v>
      </c>
      <c r="D130" s="1" t="s">
        <v>60</v>
      </c>
      <c r="E130" s="1" t="s">
        <v>65</v>
      </c>
      <c r="F130" s="1" t="s">
        <v>62</v>
      </c>
      <c r="G130" s="1" t="s">
        <v>32</v>
      </c>
    </row>
    <row r="131" ht="14.25" customHeight="1">
      <c r="A131" s="1" t="s">
        <v>11</v>
      </c>
      <c r="B131" s="1">
        <v>2010.0</v>
      </c>
      <c r="C131" s="1" t="s">
        <v>59</v>
      </c>
      <c r="D131" s="1" t="s">
        <v>60</v>
      </c>
      <c r="E131" s="1" t="s">
        <v>65</v>
      </c>
      <c r="F131" s="1" t="s">
        <v>62</v>
      </c>
      <c r="G131" s="1" t="s">
        <v>32</v>
      </c>
    </row>
    <row r="132" ht="14.25" customHeight="1">
      <c r="A132" s="1" t="s">
        <v>11</v>
      </c>
      <c r="B132" s="1">
        <v>2011.0</v>
      </c>
      <c r="C132" s="1" t="s">
        <v>59</v>
      </c>
      <c r="D132" s="1" t="s">
        <v>60</v>
      </c>
      <c r="E132" s="1" t="s">
        <v>65</v>
      </c>
      <c r="F132" s="1" t="s">
        <v>62</v>
      </c>
      <c r="G132" s="1" t="s">
        <v>32</v>
      </c>
    </row>
    <row r="133" ht="14.25" customHeight="1">
      <c r="A133" s="1" t="s">
        <v>11</v>
      </c>
      <c r="B133" s="1">
        <v>2012.0</v>
      </c>
      <c r="C133" s="1" t="s">
        <v>59</v>
      </c>
      <c r="D133" s="1" t="s">
        <v>60</v>
      </c>
      <c r="E133" s="1" t="s">
        <v>61</v>
      </c>
      <c r="F133" s="1" t="s">
        <v>62</v>
      </c>
      <c r="G133" s="1" t="s">
        <v>32</v>
      </c>
    </row>
    <row r="134" ht="14.25" customHeight="1">
      <c r="A134" s="1" t="s">
        <v>11</v>
      </c>
      <c r="B134" s="1">
        <v>2013.0</v>
      </c>
      <c r="C134" s="1" t="s">
        <v>59</v>
      </c>
      <c r="D134" s="1" t="s">
        <v>60</v>
      </c>
      <c r="E134" s="1" t="s">
        <v>65</v>
      </c>
      <c r="F134" s="1" t="s">
        <v>62</v>
      </c>
      <c r="G134" s="1" t="s">
        <v>32</v>
      </c>
    </row>
    <row r="135" ht="14.25" customHeight="1">
      <c r="A135" s="1" t="s">
        <v>11</v>
      </c>
      <c r="B135" s="1">
        <v>2014.0</v>
      </c>
      <c r="C135" s="1" t="s">
        <v>59</v>
      </c>
      <c r="D135" s="1" t="s">
        <v>60</v>
      </c>
      <c r="E135" s="1" t="s">
        <v>61</v>
      </c>
      <c r="F135" s="1" t="s">
        <v>62</v>
      </c>
      <c r="G135" s="1" t="s">
        <v>32</v>
      </c>
    </row>
    <row r="136" ht="14.25" customHeight="1">
      <c r="A136" s="1" t="s">
        <v>11</v>
      </c>
      <c r="B136" s="1">
        <v>2015.0</v>
      </c>
      <c r="C136" s="1" t="s">
        <v>59</v>
      </c>
      <c r="D136" s="1" t="s">
        <v>60</v>
      </c>
      <c r="E136" s="1" t="s">
        <v>61</v>
      </c>
      <c r="F136" s="1" t="s">
        <v>62</v>
      </c>
      <c r="G136" s="1" t="s">
        <v>32</v>
      </c>
    </row>
    <row r="137" ht="14.25" customHeight="1">
      <c r="A137" s="1" t="s">
        <v>11</v>
      </c>
      <c r="B137" s="1">
        <v>2016.0</v>
      </c>
      <c r="C137" s="1" t="s">
        <v>59</v>
      </c>
      <c r="D137" s="1" t="s">
        <v>60</v>
      </c>
      <c r="E137" s="1" t="s">
        <v>61</v>
      </c>
      <c r="F137" s="1" t="s">
        <v>62</v>
      </c>
      <c r="G137" s="1" t="s">
        <v>32</v>
      </c>
    </row>
    <row r="138" ht="14.25" customHeight="1">
      <c r="A138" s="1" t="s">
        <v>11</v>
      </c>
      <c r="B138" s="1">
        <v>2017.0</v>
      </c>
      <c r="C138" s="1" t="s">
        <v>59</v>
      </c>
      <c r="D138" s="1" t="s">
        <v>60</v>
      </c>
      <c r="E138" s="1" t="s">
        <v>65</v>
      </c>
      <c r="F138" s="1" t="s">
        <v>62</v>
      </c>
      <c r="G138" s="1" t="s">
        <v>32</v>
      </c>
    </row>
    <row r="139" ht="14.25" customHeight="1">
      <c r="A139" s="1" t="s">
        <v>11</v>
      </c>
      <c r="B139" s="1">
        <v>2018.0</v>
      </c>
      <c r="C139" s="1" t="s">
        <v>59</v>
      </c>
      <c r="D139" s="1" t="s">
        <v>60</v>
      </c>
      <c r="E139" s="1" t="s">
        <v>65</v>
      </c>
      <c r="F139" s="1" t="s">
        <v>62</v>
      </c>
      <c r="G139" s="1" t="s">
        <v>32</v>
      </c>
    </row>
    <row r="140" ht="14.25" customHeight="1">
      <c r="A140" s="1" t="s">
        <v>11</v>
      </c>
      <c r="B140" s="1">
        <v>2019.0</v>
      </c>
      <c r="C140" s="1" t="s">
        <v>59</v>
      </c>
      <c r="D140" s="1" t="s">
        <v>60</v>
      </c>
      <c r="E140" s="1" t="s">
        <v>61</v>
      </c>
      <c r="F140" s="1" t="s">
        <v>62</v>
      </c>
      <c r="G140" s="1" t="s">
        <v>32</v>
      </c>
    </row>
    <row r="141" ht="14.25" customHeight="1">
      <c r="A141" s="1" t="s">
        <v>11</v>
      </c>
      <c r="B141" s="1">
        <v>2020.0</v>
      </c>
      <c r="C141" s="1" t="s">
        <v>59</v>
      </c>
      <c r="D141" s="1" t="s">
        <v>60</v>
      </c>
      <c r="E141" s="1" t="s">
        <v>65</v>
      </c>
      <c r="F141" s="1" t="s">
        <v>62</v>
      </c>
      <c r="G141" s="1" t="s">
        <v>27</v>
      </c>
    </row>
    <row r="142" ht="14.25" customHeight="1">
      <c r="A142" s="1" t="s">
        <v>12</v>
      </c>
      <c r="B142" s="1">
        <v>1993.0</v>
      </c>
      <c r="C142" s="1" t="s">
        <v>59</v>
      </c>
      <c r="D142" s="1" t="s">
        <v>64</v>
      </c>
      <c r="E142" s="1" t="s">
        <v>65</v>
      </c>
      <c r="F142" s="1" t="s">
        <v>62</v>
      </c>
      <c r="G142" s="1" t="s">
        <v>32</v>
      </c>
    </row>
    <row r="143" ht="14.25" customHeight="1">
      <c r="A143" s="1" t="s">
        <v>12</v>
      </c>
      <c r="B143" s="1">
        <v>1994.0</v>
      </c>
      <c r="C143" s="1" t="s">
        <v>59</v>
      </c>
      <c r="D143" s="1" t="s">
        <v>64</v>
      </c>
      <c r="E143" s="1" t="s">
        <v>61</v>
      </c>
      <c r="F143" s="1" t="s">
        <v>62</v>
      </c>
      <c r="G143" s="1" t="s">
        <v>32</v>
      </c>
    </row>
    <row r="144" ht="14.25" customHeight="1">
      <c r="A144" s="1" t="s">
        <v>12</v>
      </c>
      <c r="B144" s="1">
        <v>1995.0</v>
      </c>
      <c r="C144" s="1" t="s">
        <v>59</v>
      </c>
      <c r="D144" s="1" t="s">
        <v>64</v>
      </c>
      <c r="E144" s="1" t="s">
        <v>65</v>
      </c>
      <c r="F144" s="1" t="s">
        <v>62</v>
      </c>
      <c r="G144" s="1" t="s">
        <v>32</v>
      </c>
    </row>
    <row r="145" ht="14.25" customHeight="1">
      <c r="A145" s="1" t="s">
        <v>12</v>
      </c>
      <c r="B145" s="1">
        <v>1996.0</v>
      </c>
      <c r="C145" s="1" t="s">
        <v>59</v>
      </c>
      <c r="D145" s="1" t="s">
        <v>64</v>
      </c>
      <c r="E145" s="1" t="s">
        <v>65</v>
      </c>
      <c r="F145" s="1" t="s">
        <v>62</v>
      </c>
      <c r="G145" s="1" t="s">
        <v>32</v>
      </c>
    </row>
    <row r="146" ht="14.25" customHeight="1">
      <c r="A146" s="1" t="s">
        <v>12</v>
      </c>
      <c r="B146" s="1">
        <v>1997.0</v>
      </c>
      <c r="C146" s="1" t="s">
        <v>59</v>
      </c>
      <c r="D146" s="1" t="s">
        <v>64</v>
      </c>
      <c r="E146" s="1" t="s">
        <v>61</v>
      </c>
      <c r="F146" s="1" t="s">
        <v>62</v>
      </c>
      <c r="G146" s="1" t="s">
        <v>32</v>
      </c>
    </row>
    <row r="147" ht="14.25" customHeight="1">
      <c r="A147" s="1" t="s">
        <v>12</v>
      </c>
      <c r="B147" s="1">
        <v>1998.0</v>
      </c>
      <c r="C147" s="1" t="s">
        <v>63</v>
      </c>
      <c r="D147" s="1" t="s">
        <v>64</v>
      </c>
      <c r="E147" s="1" t="s">
        <v>65</v>
      </c>
      <c r="F147" s="1" t="s">
        <v>62</v>
      </c>
      <c r="G147" s="1" t="s">
        <v>32</v>
      </c>
    </row>
    <row r="148" ht="14.25" customHeight="1">
      <c r="A148" s="1" t="s">
        <v>12</v>
      </c>
      <c r="B148" s="1">
        <v>1999.0</v>
      </c>
      <c r="C148" s="1" t="s">
        <v>63</v>
      </c>
      <c r="D148" s="1" t="s">
        <v>64</v>
      </c>
      <c r="E148" s="1" t="s">
        <v>65</v>
      </c>
      <c r="F148" s="1" t="s">
        <v>62</v>
      </c>
      <c r="G148" s="1" t="s">
        <v>27</v>
      </c>
    </row>
    <row r="149" ht="14.25" customHeight="1">
      <c r="A149" s="1" t="s">
        <v>12</v>
      </c>
      <c r="B149" s="1">
        <v>2000.0</v>
      </c>
      <c r="C149" s="1" t="s">
        <v>63</v>
      </c>
      <c r="D149" s="1" t="s">
        <v>64</v>
      </c>
      <c r="E149" s="1" t="s">
        <v>65</v>
      </c>
      <c r="F149" s="1" t="s">
        <v>62</v>
      </c>
      <c r="G149" s="1" t="s">
        <v>27</v>
      </c>
    </row>
    <row r="150" ht="14.25" customHeight="1">
      <c r="A150" s="1" t="s">
        <v>12</v>
      </c>
      <c r="B150" s="1">
        <v>2001.0</v>
      </c>
      <c r="C150" s="1" t="s">
        <v>63</v>
      </c>
      <c r="D150" s="1" t="s">
        <v>64</v>
      </c>
      <c r="E150" s="1" t="s">
        <v>65</v>
      </c>
      <c r="F150" s="1" t="s">
        <v>62</v>
      </c>
      <c r="G150" s="1" t="s">
        <v>32</v>
      </c>
    </row>
    <row r="151" ht="14.25" customHeight="1">
      <c r="A151" s="1" t="s">
        <v>12</v>
      </c>
      <c r="B151" s="1">
        <v>2002.0</v>
      </c>
      <c r="C151" s="1" t="s">
        <v>63</v>
      </c>
      <c r="D151" s="1" t="s">
        <v>64</v>
      </c>
      <c r="E151" s="1" t="s">
        <v>65</v>
      </c>
      <c r="F151" s="1" t="s">
        <v>62</v>
      </c>
      <c r="G151" s="1" t="s">
        <v>32</v>
      </c>
    </row>
    <row r="152" ht="14.25" customHeight="1">
      <c r="A152" s="1" t="s">
        <v>12</v>
      </c>
      <c r="B152" s="1">
        <v>2003.0</v>
      </c>
      <c r="C152" s="1" t="s">
        <v>63</v>
      </c>
      <c r="D152" s="1" t="s">
        <v>64</v>
      </c>
      <c r="E152" s="1" t="s">
        <v>65</v>
      </c>
      <c r="F152" s="1" t="s">
        <v>62</v>
      </c>
      <c r="G152" s="1" t="s">
        <v>32</v>
      </c>
    </row>
    <row r="153" ht="14.25" customHeight="1">
      <c r="A153" s="1" t="s">
        <v>12</v>
      </c>
      <c r="B153" s="1">
        <v>2004.0</v>
      </c>
      <c r="C153" s="1" t="s">
        <v>63</v>
      </c>
      <c r="D153" s="1" t="s">
        <v>64</v>
      </c>
      <c r="E153" s="1" t="s">
        <v>65</v>
      </c>
      <c r="F153" s="1" t="s">
        <v>62</v>
      </c>
      <c r="G153" s="1" t="s">
        <v>32</v>
      </c>
    </row>
    <row r="154" ht="14.25" customHeight="1">
      <c r="A154" s="1" t="s">
        <v>12</v>
      </c>
      <c r="B154" s="1">
        <v>2005.0</v>
      </c>
      <c r="C154" s="1" t="s">
        <v>63</v>
      </c>
      <c r="D154" s="1" t="s">
        <v>64</v>
      </c>
      <c r="E154" s="1" t="s">
        <v>61</v>
      </c>
      <c r="F154" s="1" t="s">
        <v>62</v>
      </c>
      <c r="G154" s="1" t="s">
        <v>32</v>
      </c>
    </row>
    <row r="155" ht="14.25" customHeight="1">
      <c r="A155" s="1" t="s">
        <v>12</v>
      </c>
      <c r="B155" s="1">
        <v>2006.0</v>
      </c>
      <c r="C155" s="1" t="s">
        <v>63</v>
      </c>
      <c r="D155" s="1" t="s">
        <v>64</v>
      </c>
      <c r="E155" s="1" t="s">
        <v>61</v>
      </c>
      <c r="F155" s="1" t="s">
        <v>62</v>
      </c>
      <c r="G155" s="1" t="s">
        <v>32</v>
      </c>
    </row>
    <row r="156" ht="14.25" customHeight="1">
      <c r="A156" s="1" t="s">
        <v>12</v>
      </c>
      <c r="B156" s="1">
        <v>2007.0</v>
      </c>
      <c r="C156" s="1" t="s">
        <v>63</v>
      </c>
      <c r="D156" s="1" t="s">
        <v>64</v>
      </c>
      <c r="E156" s="1" t="s">
        <v>65</v>
      </c>
      <c r="F156" s="1" t="s">
        <v>62</v>
      </c>
      <c r="G156" s="1" t="s">
        <v>32</v>
      </c>
    </row>
    <row r="157" ht="14.25" customHeight="1">
      <c r="A157" s="1" t="s">
        <v>12</v>
      </c>
      <c r="B157" s="1">
        <v>2008.0</v>
      </c>
      <c r="C157" s="1" t="s">
        <v>63</v>
      </c>
      <c r="D157" s="1" t="s">
        <v>64</v>
      </c>
      <c r="E157" s="1" t="s">
        <v>65</v>
      </c>
      <c r="F157" s="1" t="s">
        <v>62</v>
      </c>
      <c r="G157" s="1" t="s">
        <v>32</v>
      </c>
    </row>
    <row r="158" ht="14.25" customHeight="1">
      <c r="A158" s="1" t="s">
        <v>12</v>
      </c>
      <c r="B158" s="1">
        <v>2009.0</v>
      </c>
      <c r="C158" s="1" t="s">
        <v>63</v>
      </c>
      <c r="D158" s="1" t="s">
        <v>64</v>
      </c>
      <c r="E158" s="1" t="s">
        <v>65</v>
      </c>
      <c r="F158" s="1" t="s">
        <v>62</v>
      </c>
      <c r="G158" s="1" t="s">
        <v>32</v>
      </c>
    </row>
    <row r="159" ht="14.25" customHeight="1">
      <c r="A159" s="1" t="s">
        <v>12</v>
      </c>
      <c r="B159" s="1">
        <v>2010.0</v>
      </c>
      <c r="C159" s="1" t="s">
        <v>63</v>
      </c>
      <c r="D159" s="1" t="s">
        <v>64</v>
      </c>
      <c r="E159" s="1" t="s">
        <v>65</v>
      </c>
      <c r="F159" s="1" t="s">
        <v>62</v>
      </c>
      <c r="G159" s="1" t="s">
        <v>32</v>
      </c>
    </row>
    <row r="160" ht="14.25" customHeight="1">
      <c r="A160" s="1" t="s">
        <v>12</v>
      </c>
      <c r="B160" s="1">
        <v>2011.0</v>
      </c>
      <c r="C160" s="1" t="s">
        <v>63</v>
      </c>
      <c r="D160" s="1" t="s">
        <v>64</v>
      </c>
      <c r="E160" s="1" t="s">
        <v>65</v>
      </c>
      <c r="F160" s="1" t="s">
        <v>62</v>
      </c>
      <c r="G160" s="1" t="s">
        <v>32</v>
      </c>
    </row>
    <row r="161" ht="14.25" customHeight="1">
      <c r="A161" s="1" t="s">
        <v>12</v>
      </c>
      <c r="B161" s="1">
        <v>2012.0</v>
      </c>
      <c r="C161" s="1" t="s">
        <v>63</v>
      </c>
      <c r="D161" s="1" t="s">
        <v>64</v>
      </c>
      <c r="E161" s="1" t="s">
        <v>65</v>
      </c>
      <c r="F161" s="1" t="s">
        <v>62</v>
      </c>
      <c r="G161" s="1" t="s">
        <v>32</v>
      </c>
    </row>
    <row r="162" ht="14.25" customHeight="1">
      <c r="A162" s="1" t="s">
        <v>12</v>
      </c>
      <c r="B162" s="1">
        <v>2013.0</v>
      </c>
      <c r="C162" s="1" t="s">
        <v>63</v>
      </c>
      <c r="D162" s="1" t="s">
        <v>64</v>
      </c>
      <c r="E162" s="1" t="s">
        <v>65</v>
      </c>
      <c r="F162" s="1" t="s">
        <v>62</v>
      </c>
      <c r="G162" s="1" t="s">
        <v>32</v>
      </c>
    </row>
    <row r="163" ht="14.25" customHeight="1">
      <c r="A163" s="1" t="s">
        <v>12</v>
      </c>
      <c r="B163" s="1">
        <v>2014.0</v>
      </c>
      <c r="C163" s="1" t="s">
        <v>63</v>
      </c>
      <c r="D163" s="1" t="s">
        <v>64</v>
      </c>
      <c r="E163" s="1" t="s">
        <v>61</v>
      </c>
      <c r="F163" s="1" t="s">
        <v>62</v>
      </c>
      <c r="G163" s="1" t="s">
        <v>27</v>
      </c>
    </row>
    <row r="164" ht="14.25" customHeight="1">
      <c r="A164" s="1" t="s">
        <v>12</v>
      </c>
      <c r="B164" s="1">
        <v>2015.0</v>
      </c>
      <c r="C164" s="1" t="s">
        <v>63</v>
      </c>
      <c r="D164" s="1" t="s">
        <v>64</v>
      </c>
      <c r="E164" s="1" t="s">
        <v>61</v>
      </c>
      <c r="F164" s="1" t="s">
        <v>62</v>
      </c>
      <c r="G164" s="1" t="s">
        <v>32</v>
      </c>
    </row>
    <row r="165" ht="14.25" customHeight="1">
      <c r="A165" s="1" t="s">
        <v>12</v>
      </c>
      <c r="B165" s="1">
        <v>2016.0</v>
      </c>
      <c r="C165" s="1" t="s">
        <v>63</v>
      </c>
      <c r="D165" s="1" t="s">
        <v>64</v>
      </c>
      <c r="E165" s="1" t="s">
        <v>65</v>
      </c>
      <c r="F165" s="1" t="s">
        <v>62</v>
      </c>
      <c r="G165" s="1" t="s">
        <v>32</v>
      </c>
    </row>
    <row r="166" ht="14.25" customHeight="1">
      <c r="A166" s="1" t="s">
        <v>12</v>
      </c>
      <c r="B166" s="1">
        <v>2017.0</v>
      </c>
      <c r="C166" s="1" t="s">
        <v>63</v>
      </c>
      <c r="D166" s="1" t="s">
        <v>64</v>
      </c>
      <c r="E166" s="1" t="s">
        <v>65</v>
      </c>
      <c r="F166" s="1" t="s">
        <v>62</v>
      </c>
      <c r="G166" s="1" t="s">
        <v>32</v>
      </c>
    </row>
    <row r="167" ht="14.25" customHeight="1">
      <c r="A167" s="1" t="s">
        <v>12</v>
      </c>
      <c r="B167" s="1">
        <v>2018.0</v>
      </c>
      <c r="C167" s="1" t="s">
        <v>63</v>
      </c>
      <c r="D167" s="1" t="s">
        <v>64</v>
      </c>
      <c r="E167" s="1" t="s">
        <v>65</v>
      </c>
      <c r="F167" s="1" t="s">
        <v>62</v>
      </c>
      <c r="G167" s="1" t="s">
        <v>32</v>
      </c>
    </row>
    <row r="168" ht="14.25" customHeight="1">
      <c r="A168" s="1" t="s">
        <v>12</v>
      </c>
      <c r="B168" s="1">
        <v>2019.0</v>
      </c>
      <c r="C168" s="1" t="s">
        <v>63</v>
      </c>
      <c r="D168" s="1" t="s">
        <v>64</v>
      </c>
      <c r="E168" s="1" t="s">
        <v>61</v>
      </c>
      <c r="F168" s="1" t="s">
        <v>62</v>
      </c>
      <c r="G168" s="1" t="s">
        <v>32</v>
      </c>
    </row>
    <row r="169" ht="14.25" customHeight="1">
      <c r="A169" s="1" t="s">
        <v>12</v>
      </c>
      <c r="B169" s="1">
        <v>2020.0</v>
      </c>
      <c r="C169" s="1" t="s">
        <v>63</v>
      </c>
      <c r="D169" s="1" t="s">
        <v>64</v>
      </c>
      <c r="E169" s="1" t="s">
        <v>65</v>
      </c>
      <c r="F169" s="1" t="s">
        <v>62</v>
      </c>
      <c r="G169" s="1" t="s">
        <v>32</v>
      </c>
    </row>
    <row r="170" ht="14.25" customHeight="1">
      <c r="A170" s="1" t="s">
        <v>13</v>
      </c>
      <c r="B170" s="1">
        <v>1993.0</v>
      </c>
      <c r="C170" s="1" t="s">
        <v>59</v>
      </c>
      <c r="D170" s="1" t="s">
        <v>60</v>
      </c>
      <c r="E170" s="1" t="s">
        <v>65</v>
      </c>
      <c r="F170" s="1" t="s">
        <v>62</v>
      </c>
      <c r="G170" s="1" t="s">
        <v>27</v>
      </c>
    </row>
    <row r="171" ht="14.25" customHeight="1">
      <c r="A171" s="1" t="s">
        <v>13</v>
      </c>
      <c r="B171" s="1">
        <v>1994.0</v>
      </c>
      <c r="C171" s="1" t="s">
        <v>59</v>
      </c>
      <c r="D171" s="1" t="s">
        <v>60</v>
      </c>
      <c r="E171" s="1" t="s">
        <v>65</v>
      </c>
      <c r="F171" s="1" t="s">
        <v>62</v>
      </c>
      <c r="G171" s="1" t="s">
        <v>27</v>
      </c>
    </row>
    <row r="172" ht="14.25" customHeight="1">
      <c r="A172" s="1" t="s">
        <v>13</v>
      </c>
      <c r="B172" s="1">
        <v>1995.0</v>
      </c>
      <c r="C172" s="1" t="s">
        <v>59</v>
      </c>
      <c r="D172" s="1" t="s">
        <v>60</v>
      </c>
      <c r="E172" s="1" t="s">
        <v>65</v>
      </c>
      <c r="F172" s="1" t="s">
        <v>62</v>
      </c>
      <c r="G172" s="1" t="s">
        <v>32</v>
      </c>
    </row>
    <row r="173" ht="14.25" customHeight="1">
      <c r="A173" s="1" t="s">
        <v>13</v>
      </c>
      <c r="B173" s="1">
        <v>1996.0</v>
      </c>
      <c r="C173" s="1" t="s">
        <v>59</v>
      </c>
      <c r="D173" s="1" t="s">
        <v>60</v>
      </c>
      <c r="E173" s="1" t="s">
        <v>65</v>
      </c>
      <c r="F173" s="1" t="s">
        <v>62</v>
      </c>
      <c r="G173" s="1" t="s">
        <v>27</v>
      </c>
    </row>
    <row r="174" ht="14.25" customHeight="1">
      <c r="A174" s="1" t="s">
        <v>13</v>
      </c>
      <c r="B174" s="1">
        <v>1997.0</v>
      </c>
      <c r="C174" s="1" t="s">
        <v>59</v>
      </c>
      <c r="D174" s="1" t="s">
        <v>60</v>
      </c>
      <c r="E174" s="1" t="s">
        <v>61</v>
      </c>
      <c r="F174" s="1" t="s">
        <v>62</v>
      </c>
      <c r="G174" s="1" t="s">
        <v>27</v>
      </c>
    </row>
    <row r="175" ht="14.25" customHeight="1">
      <c r="A175" s="1" t="s">
        <v>13</v>
      </c>
      <c r="B175" s="1">
        <v>1998.0</v>
      </c>
      <c r="C175" s="1" t="s">
        <v>59</v>
      </c>
      <c r="D175" s="1" t="s">
        <v>60</v>
      </c>
      <c r="E175" s="1" t="s">
        <v>65</v>
      </c>
      <c r="F175" s="1" t="s">
        <v>62</v>
      </c>
      <c r="G175" s="1" t="s">
        <v>32</v>
      </c>
    </row>
    <row r="176" ht="14.25" customHeight="1">
      <c r="A176" s="1" t="s">
        <v>13</v>
      </c>
      <c r="B176" s="1">
        <v>1999.0</v>
      </c>
      <c r="C176" s="1" t="s">
        <v>59</v>
      </c>
      <c r="D176" s="1" t="s">
        <v>60</v>
      </c>
      <c r="E176" s="1" t="s">
        <v>65</v>
      </c>
      <c r="F176" s="1" t="s">
        <v>62</v>
      </c>
      <c r="G176" s="1" t="s">
        <v>27</v>
      </c>
    </row>
    <row r="177" ht="14.25" customHeight="1">
      <c r="A177" s="1" t="s">
        <v>13</v>
      </c>
      <c r="B177" s="1">
        <v>2000.0</v>
      </c>
      <c r="C177" s="1" t="s">
        <v>59</v>
      </c>
      <c r="D177" s="1" t="s">
        <v>60</v>
      </c>
      <c r="E177" s="1" t="s">
        <v>65</v>
      </c>
      <c r="F177" s="1" t="s">
        <v>62</v>
      </c>
      <c r="G177" s="1" t="s">
        <v>27</v>
      </c>
    </row>
    <row r="178" ht="14.25" customHeight="1">
      <c r="A178" s="1" t="s">
        <v>13</v>
      </c>
      <c r="B178" s="1">
        <v>2001.0</v>
      </c>
      <c r="C178" s="1" t="s">
        <v>59</v>
      </c>
      <c r="D178" s="1" t="s">
        <v>60</v>
      </c>
      <c r="E178" s="1" t="s">
        <v>65</v>
      </c>
      <c r="F178" s="1" t="s">
        <v>62</v>
      </c>
      <c r="G178" s="1" t="s">
        <v>32</v>
      </c>
    </row>
    <row r="179" ht="14.25" customHeight="1">
      <c r="A179" s="1" t="s">
        <v>13</v>
      </c>
      <c r="B179" s="1">
        <v>2002.0</v>
      </c>
      <c r="C179" s="1" t="s">
        <v>59</v>
      </c>
      <c r="D179" s="1" t="s">
        <v>60</v>
      </c>
      <c r="E179" s="1" t="s">
        <v>65</v>
      </c>
      <c r="F179" s="1" t="s">
        <v>62</v>
      </c>
      <c r="G179" s="1" t="s">
        <v>32</v>
      </c>
    </row>
    <row r="180" ht="14.25" customHeight="1">
      <c r="A180" s="1" t="s">
        <v>13</v>
      </c>
      <c r="B180" s="1">
        <v>2003.0</v>
      </c>
      <c r="C180" s="1" t="s">
        <v>59</v>
      </c>
      <c r="D180" s="1" t="s">
        <v>60</v>
      </c>
      <c r="E180" s="1" t="s">
        <v>65</v>
      </c>
      <c r="F180" s="1" t="s">
        <v>62</v>
      </c>
      <c r="G180" s="1" t="s">
        <v>32</v>
      </c>
    </row>
    <row r="181" ht="14.25" customHeight="1">
      <c r="A181" s="1" t="s">
        <v>13</v>
      </c>
      <c r="B181" s="1">
        <v>2004.0</v>
      </c>
      <c r="C181" s="1" t="s">
        <v>59</v>
      </c>
      <c r="D181" s="1" t="s">
        <v>60</v>
      </c>
      <c r="E181" s="1" t="s">
        <v>65</v>
      </c>
      <c r="F181" s="1" t="s">
        <v>62</v>
      </c>
      <c r="G181" s="1" t="s">
        <v>32</v>
      </c>
    </row>
    <row r="182" ht="14.25" customHeight="1">
      <c r="A182" s="1" t="s">
        <v>13</v>
      </c>
      <c r="B182" s="1">
        <v>2005.0</v>
      </c>
      <c r="C182" s="1" t="s">
        <v>59</v>
      </c>
      <c r="D182" s="1" t="s">
        <v>60</v>
      </c>
      <c r="E182" s="1" t="s">
        <v>65</v>
      </c>
      <c r="F182" s="1" t="s">
        <v>62</v>
      </c>
      <c r="G182" s="1" t="s">
        <v>27</v>
      </c>
    </row>
    <row r="183" ht="14.25" customHeight="1">
      <c r="A183" s="1" t="s">
        <v>13</v>
      </c>
      <c r="B183" s="1">
        <v>2006.0</v>
      </c>
      <c r="C183" s="1" t="s">
        <v>59</v>
      </c>
      <c r="D183" s="1" t="s">
        <v>60</v>
      </c>
      <c r="E183" s="1" t="s">
        <v>65</v>
      </c>
      <c r="F183" s="1" t="s">
        <v>62</v>
      </c>
      <c r="G183" s="1" t="s">
        <v>32</v>
      </c>
    </row>
    <row r="184" ht="14.25" customHeight="1">
      <c r="A184" s="1" t="s">
        <v>13</v>
      </c>
      <c r="B184" s="1">
        <v>2007.0</v>
      </c>
      <c r="C184" s="1" t="s">
        <v>59</v>
      </c>
      <c r="D184" s="1" t="s">
        <v>60</v>
      </c>
      <c r="E184" s="1" t="s">
        <v>65</v>
      </c>
      <c r="F184" s="1" t="s">
        <v>62</v>
      </c>
      <c r="G184" s="1" t="s">
        <v>32</v>
      </c>
    </row>
    <row r="185" ht="14.25" customHeight="1">
      <c r="A185" s="1" t="s">
        <v>13</v>
      </c>
      <c r="B185" s="1">
        <v>2008.0</v>
      </c>
      <c r="C185" s="1" t="s">
        <v>59</v>
      </c>
      <c r="D185" s="1" t="s">
        <v>60</v>
      </c>
      <c r="E185" s="1" t="s">
        <v>65</v>
      </c>
      <c r="F185" s="1" t="s">
        <v>62</v>
      </c>
      <c r="G185" s="1" t="s">
        <v>32</v>
      </c>
    </row>
    <row r="186" ht="14.25" customHeight="1">
      <c r="A186" s="1" t="s">
        <v>13</v>
      </c>
      <c r="B186" s="1">
        <v>2009.0</v>
      </c>
      <c r="C186" s="1" t="s">
        <v>59</v>
      </c>
      <c r="D186" s="1" t="s">
        <v>60</v>
      </c>
      <c r="E186" s="1" t="s">
        <v>65</v>
      </c>
      <c r="F186" s="1" t="s">
        <v>62</v>
      </c>
      <c r="G186" s="1" t="s">
        <v>32</v>
      </c>
    </row>
    <row r="187" ht="14.25" customHeight="1">
      <c r="A187" s="1" t="s">
        <v>13</v>
      </c>
      <c r="B187" s="1">
        <v>2010.0</v>
      </c>
      <c r="C187" s="1" t="s">
        <v>59</v>
      </c>
      <c r="D187" s="1" t="s">
        <v>60</v>
      </c>
      <c r="E187" s="1" t="s">
        <v>65</v>
      </c>
      <c r="F187" s="1" t="s">
        <v>62</v>
      </c>
      <c r="G187" s="1" t="s">
        <v>32</v>
      </c>
    </row>
    <row r="188" ht="14.25" customHeight="1">
      <c r="A188" s="1" t="s">
        <v>13</v>
      </c>
      <c r="B188" s="1">
        <v>2011.0</v>
      </c>
      <c r="C188" s="1" t="s">
        <v>59</v>
      </c>
      <c r="D188" s="1" t="s">
        <v>60</v>
      </c>
      <c r="E188" s="1" t="s">
        <v>65</v>
      </c>
      <c r="F188" s="1" t="s">
        <v>62</v>
      </c>
      <c r="G188" s="1" t="s">
        <v>32</v>
      </c>
    </row>
    <row r="189" ht="14.25" customHeight="1">
      <c r="A189" s="1" t="s">
        <v>13</v>
      </c>
      <c r="B189" s="1">
        <v>2012.0</v>
      </c>
      <c r="C189" s="1" t="s">
        <v>59</v>
      </c>
      <c r="D189" s="1" t="s">
        <v>60</v>
      </c>
      <c r="E189" s="1" t="s">
        <v>65</v>
      </c>
      <c r="F189" s="1" t="s">
        <v>62</v>
      </c>
      <c r="G189" s="1" t="s">
        <v>32</v>
      </c>
    </row>
    <row r="190" ht="14.25" customHeight="1">
      <c r="A190" s="1" t="s">
        <v>13</v>
      </c>
      <c r="B190" s="1">
        <v>2013.0</v>
      </c>
      <c r="C190" s="1" t="s">
        <v>59</v>
      </c>
      <c r="D190" s="1" t="s">
        <v>60</v>
      </c>
      <c r="E190" s="1" t="s">
        <v>65</v>
      </c>
      <c r="F190" s="1" t="s">
        <v>62</v>
      </c>
      <c r="G190" s="1" t="s">
        <v>32</v>
      </c>
    </row>
    <row r="191" ht="14.25" customHeight="1">
      <c r="A191" s="1" t="s">
        <v>13</v>
      </c>
      <c r="B191" s="1">
        <v>2014.0</v>
      </c>
      <c r="C191" s="1" t="s">
        <v>59</v>
      </c>
      <c r="D191" s="1" t="s">
        <v>60</v>
      </c>
      <c r="E191" s="1" t="s">
        <v>65</v>
      </c>
      <c r="F191" s="1" t="s">
        <v>62</v>
      </c>
      <c r="G191" s="1" t="s">
        <v>32</v>
      </c>
    </row>
    <row r="192" ht="14.25" customHeight="1">
      <c r="A192" s="1" t="s">
        <v>13</v>
      </c>
      <c r="B192" s="1">
        <v>2015.0</v>
      </c>
      <c r="C192" s="1" t="s">
        <v>59</v>
      </c>
      <c r="D192" s="1" t="s">
        <v>60</v>
      </c>
      <c r="E192" s="1" t="s">
        <v>65</v>
      </c>
      <c r="F192" s="1" t="s">
        <v>62</v>
      </c>
      <c r="G192" s="1" t="s">
        <v>32</v>
      </c>
    </row>
    <row r="193" ht="14.25" customHeight="1">
      <c r="A193" s="1" t="s">
        <v>13</v>
      </c>
      <c r="B193" s="1">
        <v>2016.0</v>
      </c>
      <c r="C193" s="1" t="s">
        <v>59</v>
      </c>
      <c r="D193" s="1" t="s">
        <v>60</v>
      </c>
      <c r="E193" s="1" t="s">
        <v>65</v>
      </c>
      <c r="F193" s="1" t="s">
        <v>62</v>
      </c>
      <c r="G193" s="1" t="s">
        <v>32</v>
      </c>
    </row>
    <row r="194" ht="14.25" customHeight="1">
      <c r="A194" s="1" t="s">
        <v>13</v>
      </c>
      <c r="B194" s="1">
        <v>2017.0</v>
      </c>
      <c r="C194" s="1" t="s">
        <v>59</v>
      </c>
      <c r="D194" s="1" t="s">
        <v>60</v>
      </c>
      <c r="E194" s="1" t="s">
        <v>65</v>
      </c>
      <c r="F194" s="1" t="s">
        <v>62</v>
      </c>
      <c r="G194" s="1" t="s">
        <v>32</v>
      </c>
    </row>
    <row r="195" ht="14.25" customHeight="1">
      <c r="A195" s="1" t="s">
        <v>13</v>
      </c>
      <c r="B195" s="1">
        <v>2018.0</v>
      </c>
      <c r="C195" s="1" t="s">
        <v>59</v>
      </c>
      <c r="D195" s="1" t="s">
        <v>60</v>
      </c>
      <c r="E195" s="1" t="s">
        <v>65</v>
      </c>
      <c r="F195" s="1" t="s">
        <v>62</v>
      </c>
      <c r="G195" s="1" t="s">
        <v>32</v>
      </c>
    </row>
    <row r="196" ht="14.25" customHeight="1">
      <c r="A196" s="1" t="s">
        <v>13</v>
      </c>
      <c r="B196" s="1">
        <v>2019.0</v>
      </c>
      <c r="C196" s="1" t="s">
        <v>59</v>
      </c>
      <c r="D196" s="1" t="s">
        <v>60</v>
      </c>
      <c r="E196" s="1" t="s">
        <v>61</v>
      </c>
      <c r="F196" s="1" t="s">
        <v>62</v>
      </c>
      <c r="G196" s="1" t="s">
        <v>32</v>
      </c>
    </row>
    <row r="197" ht="14.25" customHeight="1">
      <c r="A197" s="1" t="s">
        <v>13</v>
      </c>
      <c r="B197" s="1">
        <v>2020.0</v>
      </c>
      <c r="C197" s="1" t="s">
        <v>59</v>
      </c>
      <c r="D197" s="1" t="s">
        <v>60</v>
      </c>
      <c r="E197" s="1" t="s">
        <v>65</v>
      </c>
      <c r="F197" s="1" t="s">
        <v>62</v>
      </c>
      <c r="G197" s="1" t="s">
        <v>27</v>
      </c>
    </row>
    <row r="198" ht="14.25" customHeight="1">
      <c r="A198" s="1" t="s">
        <v>14</v>
      </c>
      <c r="B198" s="1">
        <v>1993.0</v>
      </c>
      <c r="C198" s="1" t="s">
        <v>59</v>
      </c>
      <c r="D198" s="1" t="s">
        <v>64</v>
      </c>
      <c r="E198" s="1" t="s">
        <v>65</v>
      </c>
      <c r="F198" s="1" t="s">
        <v>62</v>
      </c>
      <c r="G198" s="1" t="s">
        <v>32</v>
      </c>
    </row>
    <row r="199" ht="14.25" customHeight="1">
      <c r="A199" s="1" t="s">
        <v>14</v>
      </c>
      <c r="B199" s="1">
        <v>1994.0</v>
      </c>
      <c r="C199" s="1" t="s">
        <v>59</v>
      </c>
      <c r="D199" s="1" t="s">
        <v>64</v>
      </c>
      <c r="E199" s="1" t="s">
        <v>65</v>
      </c>
      <c r="F199" s="1" t="s">
        <v>62</v>
      </c>
      <c r="G199" s="1" t="s">
        <v>27</v>
      </c>
    </row>
    <row r="200" ht="14.25" customHeight="1">
      <c r="A200" s="1" t="s">
        <v>14</v>
      </c>
      <c r="B200" s="1">
        <v>1995.0</v>
      </c>
      <c r="C200" s="1" t="s">
        <v>63</v>
      </c>
      <c r="D200" s="1" t="s">
        <v>64</v>
      </c>
      <c r="E200" s="1" t="s">
        <v>65</v>
      </c>
      <c r="F200" s="1" t="s">
        <v>62</v>
      </c>
      <c r="G200" s="1" t="s">
        <v>32</v>
      </c>
    </row>
    <row r="201" ht="14.25" customHeight="1">
      <c r="A201" s="1" t="s">
        <v>14</v>
      </c>
      <c r="B201" s="1">
        <v>1996.0</v>
      </c>
      <c r="C201" s="1" t="s">
        <v>63</v>
      </c>
      <c r="D201" s="1" t="s">
        <v>64</v>
      </c>
      <c r="E201" s="1" t="s">
        <v>61</v>
      </c>
      <c r="F201" s="1" t="s">
        <v>62</v>
      </c>
      <c r="G201" s="1" t="s">
        <v>32</v>
      </c>
    </row>
    <row r="202" ht="14.25" customHeight="1">
      <c r="A202" s="1" t="s">
        <v>14</v>
      </c>
      <c r="B202" s="1">
        <v>1997.0</v>
      </c>
      <c r="C202" s="1" t="s">
        <v>63</v>
      </c>
      <c r="D202" s="1" t="s">
        <v>64</v>
      </c>
      <c r="E202" s="1" t="s">
        <v>61</v>
      </c>
      <c r="F202" s="1" t="s">
        <v>62</v>
      </c>
      <c r="G202" s="1" t="s">
        <v>32</v>
      </c>
    </row>
    <row r="203" ht="14.25" customHeight="1">
      <c r="A203" s="1" t="s">
        <v>14</v>
      </c>
      <c r="B203" s="1">
        <v>1998.0</v>
      </c>
      <c r="C203" s="1" t="s">
        <v>63</v>
      </c>
      <c r="D203" s="1" t="s">
        <v>64</v>
      </c>
      <c r="E203" s="1" t="s">
        <v>65</v>
      </c>
      <c r="F203" s="1" t="s">
        <v>62</v>
      </c>
      <c r="G203" s="1" t="s">
        <v>32</v>
      </c>
    </row>
    <row r="204" ht="14.25" customHeight="1">
      <c r="A204" s="1" t="s">
        <v>14</v>
      </c>
      <c r="B204" s="1">
        <v>1999.0</v>
      </c>
      <c r="C204" s="1" t="s">
        <v>63</v>
      </c>
      <c r="D204" s="1" t="s">
        <v>64</v>
      </c>
      <c r="E204" s="1" t="s">
        <v>65</v>
      </c>
      <c r="F204" s="1" t="s">
        <v>62</v>
      </c>
      <c r="G204" s="1" t="s">
        <v>32</v>
      </c>
    </row>
    <row r="205" ht="14.25" customHeight="1">
      <c r="A205" s="1" t="s">
        <v>14</v>
      </c>
      <c r="B205" s="1">
        <v>2000.0</v>
      </c>
      <c r="C205" s="1" t="s">
        <v>63</v>
      </c>
      <c r="D205" s="1" t="s">
        <v>64</v>
      </c>
      <c r="E205" s="1" t="s">
        <v>61</v>
      </c>
      <c r="F205" s="1" t="s">
        <v>62</v>
      </c>
      <c r="G205" s="1" t="s">
        <v>32</v>
      </c>
    </row>
    <row r="206" ht="14.25" customHeight="1">
      <c r="A206" s="1" t="s">
        <v>14</v>
      </c>
      <c r="B206" s="1">
        <v>2001.0</v>
      </c>
      <c r="C206" s="1" t="s">
        <v>63</v>
      </c>
      <c r="D206" s="1" t="s">
        <v>64</v>
      </c>
      <c r="E206" s="1" t="s">
        <v>65</v>
      </c>
      <c r="F206" s="1" t="s">
        <v>62</v>
      </c>
      <c r="G206" s="1" t="s">
        <v>32</v>
      </c>
    </row>
    <row r="207" ht="14.25" customHeight="1">
      <c r="A207" s="1" t="s">
        <v>14</v>
      </c>
      <c r="B207" s="1">
        <v>2002.0</v>
      </c>
      <c r="C207" s="1" t="s">
        <v>63</v>
      </c>
      <c r="D207" s="1" t="s">
        <v>64</v>
      </c>
      <c r="E207" s="1" t="s">
        <v>65</v>
      </c>
      <c r="F207" s="1" t="s">
        <v>62</v>
      </c>
      <c r="G207" s="1" t="s">
        <v>32</v>
      </c>
    </row>
    <row r="208" ht="14.25" customHeight="1">
      <c r="A208" s="1" t="s">
        <v>14</v>
      </c>
      <c r="B208" s="1">
        <v>2003.0</v>
      </c>
      <c r="C208" s="1" t="s">
        <v>63</v>
      </c>
      <c r="D208" s="1" t="s">
        <v>64</v>
      </c>
      <c r="E208" s="1" t="s">
        <v>61</v>
      </c>
      <c r="F208" s="1" t="s">
        <v>62</v>
      </c>
      <c r="G208" s="1" t="s">
        <v>32</v>
      </c>
    </row>
    <row r="209" ht="14.25" customHeight="1">
      <c r="A209" s="1" t="s">
        <v>14</v>
      </c>
      <c r="B209" s="1">
        <v>2004.0</v>
      </c>
      <c r="C209" s="1" t="s">
        <v>63</v>
      </c>
      <c r="D209" s="1" t="s">
        <v>64</v>
      </c>
      <c r="E209" s="1" t="s">
        <v>65</v>
      </c>
      <c r="F209" s="1" t="s">
        <v>62</v>
      </c>
      <c r="G209" s="1" t="s">
        <v>32</v>
      </c>
    </row>
    <row r="210" ht="14.25" customHeight="1">
      <c r="A210" s="1" t="s">
        <v>14</v>
      </c>
      <c r="B210" s="1">
        <v>2005.0</v>
      </c>
      <c r="C210" s="1" t="s">
        <v>63</v>
      </c>
      <c r="D210" s="1" t="s">
        <v>64</v>
      </c>
      <c r="E210" s="1" t="s">
        <v>61</v>
      </c>
      <c r="F210" s="1" t="s">
        <v>62</v>
      </c>
      <c r="G210" s="1" t="s">
        <v>32</v>
      </c>
    </row>
    <row r="211" ht="14.25" customHeight="1">
      <c r="A211" s="1" t="s">
        <v>14</v>
      </c>
      <c r="B211" s="1">
        <v>2006.0</v>
      </c>
      <c r="C211" s="1" t="s">
        <v>63</v>
      </c>
      <c r="D211" s="1" t="s">
        <v>64</v>
      </c>
      <c r="E211" s="1" t="s">
        <v>27</v>
      </c>
      <c r="F211" s="1" t="s">
        <v>62</v>
      </c>
      <c r="G211" s="1" t="s">
        <v>32</v>
      </c>
    </row>
    <row r="212" ht="14.25" customHeight="1">
      <c r="A212" s="1" t="s">
        <v>14</v>
      </c>
      <c r="B212" s="1">
        <v>2007.0</v>
      </c>
      <c r="C212" s="1" t="s">
        <v>63</v>
      </c>
      <c r="D212" s="1" t="s">
        <v>64</v>
      </c>
      <c r="E212" s="1" t="s">
        <v>61</v>
      </c>
      <c r="F212" s="1" t="s">
        <v>62</v>
      </c>
      <c r="G212" s="1" t="s">
        <v>32</v>
      </c>
    </row>
    <row r="213" ht="14.25" customHeight="1">
      <c r="A213" s="1" t="s">
        <v>14</v>
      </c>
      <c r="B213" s="1">
        <v>2008.0</v>
      </c>
      <c r="C213" s="1" t="s">
        <v>63</v>
      </c>
      <c r="D213" s="1" t="s">
        <v>64</v>
      </c>
      <c r="E213" s="1" t="s">
        <v>61</v>
      </c>
      <c r="F213" s="1" t="s">
        <v>62</v>
      </c>
      <c r="G213" s="1" t="s">
        <v>32</v>
      </c>
    </row>
    <row r="214" ht="14.25" customHeight="1">
      <c r="A214" s="1" t="s">
        <v>14</v>
      </c>
      <c r="B214" s="1">
        <v>2009.0</v>
      </c>
      <c r="C214" s="1" t="s">
        <v>63</v>
      </c>
      <c r="D214" s="1" t="s">
        <v>64</v>
      </c>
      <c r="E214" s="1" t="s">
        <v>61</v>
      </c>
      <c r="F214" s="1" t="s">
        <v>62</v>
      </c>
      <c r="G214" s="1" t="s">
        <v>32</v>
      </c>
    </row>
    <row r="215" ht="14.25" customHeight="1">
      <c r="A215" s="1" t="s">
        <v>14</v>
      </c>
      <c r="B215" s="1">
        <v>2010.0</v>
      </c>
      <c r="C215" s="1" t="s">
        <v>63</v>
      </c>
      <c r="D215" s="1" t="s">
        <v>64</v>
      </c>
      <c r="E215" s="1" t="s">
        <v>65</v>
      </c>
      <c r="F215" s="1" t="s">
        <v>62</v>
      </c>
      <c r="G215" s="1" t="s">
        <v>32</v>
      </c>
    </row>
    <row r="216" ht="14.25" customHeight="1">
      <c r="A216" s="1" t="s">
        <v>14</v>
      </c>
      <c r="B216" s="1">
        <v>2011.0</v>
      </c>
      <c r="C216" s="1" t="s">
        <v>63</v>
      </c>
      <c r="D216" s="1" t="s">
        <v>64</v>
      </c>
      <c r="E216" s="1" t="s">
        <v>61</v>
      </c>
      <c r="F216" s="1" t="s">
        <v>62</v>
      </c>
      <c r="G216" s="1" t="s">
        <v>32</v>
      </c>
    </row>
    <row r="217" ht="14.25" customHeight="1">
      <c r="A217" s="1" t="s">
        <v>14</v>
      </c>
      <c r="B217" s="1">
        <v>2012.0</v>
      </c>
      <c r="C217" s="1" t="s">
        <v>63</v>
      </c>
      <c r="D217" s="1" t="s">
        <v>64</v>
      </c>
      <c r="E217" s="1" t="s">
        <v>61</v>
      </c>
      <c r="F217" s="1" t="s">
        <v>62</v>
      </c>
      <c r="G217" s="1" t="s">
        <v>32</v>
      </c>
    </row>
    <row r="218" ht="14.25" customHeight="1">
      <c r="A218" s="1" t="s">
        <v>14</v>
      </c>
      <c r="B218" s="1">
        <v>2013.0</v>
      </c>
      <c r="C218" s="1" t="s">
        <v>63</v>
      </c>
      <c r="D218" s="1" t="s">
        <v>64</v>
      </c>
      <c r="E218" s="1" t="s">
        <v>65</v>
      </c>
      <c r="F218" s="1" t="s">
        <v>62</v>
      </c>
      <c r="G218" s="1" t="s">
        <v>32</v>
      </c>
    </row>
    <row r="219" ht="14.25" customHeight="1">
      <c r="A219" s="1" t="s">
        <v>14</v>
      </c>
      <c r="B219" s="1">
        <v>2014.0</v>
      </c>
      <c r="C219" s="1" t="s">
        <v>63</v>
      </c>
      <c r="D219" s="1" t="s">
        <v>64</v>
      </c>
      <c r="E219" s="1" t="s">
        <v>61</v>
      </c>
      <c r="F219" s="1" t="s">
        <v>62</v>
      </c>
      <c r="G219" s="1" t="s">
        <v>27</v>
      </c>
    </row>
    <row r="220" ht="14.25" customHeight="1">
      <c r="A220" s="1" t="s">
        <v>14</v>
      </c>
      <c r="B220" s="1">
        <v>2015.0</v>
      </c>
      <c r="C220" s="1" t="s">
        <v>63</v>
      </c>
      <c r="D220" s="1" t="s">
        <v>64</v>
      </c>
      <c r="E220" s="1" t="s">
        <v>61</v>
      </c>
      <c r="F220" s="1" t="s">
        <v>62</v>
      </c>
      <c r="G220" s="1" t="s">
        <v>32</v>
      </c>
    </row>
    <row r="221" ht="14.25" customHeight="1">
      <c r="A221" s="1" t="s">
        <v>14</v>
      </c>
      <c r="B221" s="1">
        <v>2016.0</v>
      </c>
      <c r="C221" s="1" t="s">
        <v>63</v>
      </c>
      <c r="D221" s="1" t="s">
        <v>64</v>
      </c>
      <c r="E221" s="1" t="s">
        <v>65</v>
      </c>
      <c r="F221" s="1" t="s">
        <v>62</v>
      </c>
      <c r="G221" s="1" t="s">
        <v>32</v>
      </c>
    </row>
    <row r="222" ht="14.25" customHeight="1">
      <c r="A222" s="1" t="s">
        <v>14</v>
      </c>
      <c r="B222" s="1">
        <v>2017.0</v>
      </c>
      <c r="C222" s="1" t="s">
        <v>63</v>
      </c>
      <c r="D222" s="1" t="s">
        <v>64</v>
      </c>
      <c r="E222" s="1" t="s">
        <v>61</v>
      </c>
      <c r="F222" s="1" t="s">
        <v>62</v>
      </c>
      <c r="G222" s="1" t="s">
        <v>32</v>
      </c>
    </row>
    <row r="223" ht="14.25" customHeight="1">
      <c r="A223" s="1" t="s">
        <v>14</v>
      </c>
      <c r="B223" s="1">
        <v>2018.0</v>
      </c>
      <c r="C223" s="1" t="s">
        <v>63</v>
      </c>
      <c r="D223" s="1" t="s">
        <v>64</v>
      </c>
      <c r="E223" s="1" t="s">
        <v>61</v>
      </c>
      <c r="F223" s="1" t="s">
        <v>62</v>
      </c>
      <c r="G223" s="1" t="s">
        <v>27</v>
      </c>
    </row>
    <row r="224" ht="14.25" customHeight="1">
      <c r="A224" s="1" t="s">
        <v>14</v>
      </c>
      <c r="B224" s="1">
        <v>2019.0</v>
      </c>
      <c r="C224" s="1" t="s">
        <v>63</v>
      </c>
      <c r="D224" s="1" t="s">
        <v>64</v>
      </c>
      <c r="E224" s="1" t="s">
        <v>61</v>
      </c>
      <c r="F224" s="1" t="s">
        <v>62</v>
      </c>
      <c r="G224" s="1" t="s">
        <v>32</v>
      </c>
    </row>
    <row r="225" ht="14.25" customHeight="1">
      <c r="A225" s="1" t="s">
        <v>14</v>
      </c>
      <c r="B225" s="1">
        <v>2020.0</v>
      </c>
      <c r="C225" s="1" t="s">
        <v>63</v>
      </c>
      <c r="D225" s="1" t="s">
        <v>64</v>
      </c>
      <c r="E225" s="1" t="s">
        <v>65</v>
      </c>
      <c r="F225" s="1" t="s">
        <v>62</v>
      </c>
      <c r="G225" s="1" t="s">
        <v>27</v>
      </c>
    </row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J49:J51"/>
    <mergeCell ref="J52:J56"/>
    <mergeCell ref="J57:J59"/>
    <mergeCell ref="J60:J63"/>
    <mergeCell ref="J1:R1"/>
    <mergeCell ref="J3:K3"/>
    <mergeCell ref="J4:K4"/>
    <mergeCell ref="J8:L8"/>
    <mergeCell ref="J10:K10"/>
    <mergeCell ref="J11:J19"/>
    <mergeCell ref="J20:J4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6" t="s">
        <v>2</v>
      </c>
      <c r="D1" s="6" t="s">
        <v>3</v>
      </c>
      <c r="E1" s="9" t="s">
        <v>4</v>
      </c>
      <c r="F1" s="6" t="s">
        <v>5</v>
      </c>
      <c r="G1" s="6" t="s">
        <v>6</v>
      </c>
      <c r="J1" s="5" t="s">
        <v>82</v>
      </c>
    </row>
    <row r="2">
      <c r="A2" s="1" t="s">
        <v>7</v>
      </c>
      <c r="B2" s="1">
        <v>1993.0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32</v>
      </c>
      <c r="J2" s="6" t="s">
        <v>83</v>
      </c>
    </row>
    <row r="3">
      <c r="A3" s="1" t="s">
        <v>7</v>
      </c>
      <c r="B3" s="1">
        <v>1994.0</v>
      </c>
      <c r="C3" s="1" t="s">
        <v>59</v>
      </c>
      <c r="D3" s="1" t="s">
        <v>60</v>
      </c>
      <c r="E3" s="1" t="s">
        <v>61</v>
      </c>
      <c r="F3" s="1" t="s">
        <v>62</v>
      </c>
      <c r="G3" s="1" t="s">
        <v>32</v>
      </c>
      <c r="J3" s="14" t="s">
        <v>69</v>
      </c>
      <c r="L3" s="14" t="s">
        <v>70</v>
      </c>
      <c r="M3" s="14" t="s">
        <v>49</v>
      </c>
      <c r="N3" s="14" t="s">
        <v>45</v>
      </c>
      <c r="O3" s="14" t="s">
        <v>71</v>
      </c>
    </row>
    <row r="4">
      <c r="A4" s="1" t="s">
        <v>7</v>
      </c>
      <c r="B4" s="1">
        <v>1995.0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32</v>
      </c>
      <c r="J4" s="11" t="s">
        <v>72</v>
      </c>
      <c r="L4" s="6">
        <f>COUNTA(C2:C225)</f>
        <v>28</v>
      </c>
      <c r="M4" s="12">
        <f>COUNTIF(C2:C225,"BANYAK")</f>
        <v>10</v>
      </c>
      <c r="N4" s="12">
        <f>COUNTIF(C2:C225,"SEDIKIT")</f>
        <v>18</v>
      </c>
      <c r="O4" s="12">
        <f>((-M4/L4)*IMLOG2(M4/L4)+(-N4/L4)*IMLOG2(N4/L4))</f>
        <v>0.9402859587</v>
      </c>
    </row>
    <row r="5">
      <c r="A5" s="1" t="s">
        <v>7</v>
      </c>
      <c r="B5" s="1">
        <v>1996.0</v>
      </c>
      <c r="C5" s="1" t="s">
        <v>59</v>
      </c>
      <c r="D5" s="1" t="s">
        <v>60</v>
      </c>
      <c r="E5" s="1" t="s">
        <v>61</v>
      </c>
      <c r="F5" s="1" t="s">
        <v>62</v>
      </c>
      <c r="G5" s="1" t="s">
        <v>32</v>
      </c>
    </row>
    <row r="6">
      <c r="A6" s="1" t="s">
        <v>7</v>
      </c>
      <c r="B6" s="1">
        <v>1997.0</v>
      </c>
      <c r="C6" s="1" t="s">
        <v>59</v>
      </c>
      <c r="D6" s="1" t="s">
        <v>60</v>
      </c>
      <c r="E6" s="1" t="s">
        <v>61</v>
      </c>
      <c r="F6" s="1" t="s">
        <v>62</v>
      </c>
      <c r="G6" s="1" t="s">
        <v>32</v>
      </c>
    </row>
    <row r="7">
      <c r="A7" s="1" t="s">
        <v>7</v>
      </c>
      <c r="B7" s="1">
        <v>1998.0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32</v>
      </c>
      <c r="J7" s="14" t="s">
        <v>69</v>
      </c>
      <c r="L7" s="14" t="s">
        <v>70</v>
      </c>
      <c r="M7" s="14" t="s">
        <v>49</v>
      </c>
      <c r="N7" s="14" t="s">
        <v>45</v>
      </c>
      <c r="O7" s="14" t="s">
        <v>71</v>
      </c>
      <c r="P7" s="14" t="s">
        <v>75</v>
      </c>
    </row>
    <row r="8">
      <c r="A8" s="1" t="s">
        <v>7</v>
      </c>
      <c r="B8" s="1">
        <v>1999.0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32</v>
      </c>
      <c r="J8" s="24" t="s">
        <v>1</v>
      </c>
      <c r="K8" s="25"/>
      <c r="L8" s="25"/>
      <c r="M8" s="25"/>
      <c r="N8" s="25"/>
      <c r="O8" s="25"/>
      <c r="P8" s="20">
        <f>(O4)-(((L9/L4)*(O9)+(L10/L4)*(O10)+(L11/L4)*(O11)+(L12/L4)*(O12)+(L13/L4)*(O13)+(L14/L4)*(O14)+(L15/L4)*(O15)+(L16/L4)*(O16)+(L17/L4)*(O17)+(L18/L4)*(O18)+(L19/L4)*(O19)+(L20/L4)*(O20)+(L21/L4)*(O21)+(L22/L4)*(O22)+(L23/L4)*(O23)+(L24/L4)*(O24)+(L25/L4)*(O25)+(L26/L4)*(O26)+(L27/L4)*(O27)+(L28/L4)*(O28)+(L29/L4)*(O29)+(L30/L4)*(O30)+(L31/L4)*(O31)+(L32/L4)*(O32)+(L33/L4)*(O33)+(L34/L4)*(O34)+(L35/L4)*(O35)+(L36/L4)*(O36)))</f>
        <v>0.9402859587</v>
      </c>
    </row>
    <row r="9">
      <c r="A9" s="1" t="s">
        <v>7</v>
      </c>
      <c r="B9" s="1">
        <v>2000.0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32</v>
      </c>
      <c r="K9" s="11">
        <v>1993.0</v>
      </c>
      <c r="L9" s="12">
        <f>COUNTIF(B2:B225,"1993")</f>
        <v>1</v>
      </c>
      <c r="M9" s="33">
        <v>1.0</v>
      </c>
      <c r="N9" s="11">
        <v>0.0</v>
      </c>
      <c r="O9" s="11">
        <v>0.0</v>
      </c>
      <c r="P9" s="12"/>
    </row>
    <row r="10">
      <c r="A10" s="1" t="s">
        <v>7</v>
      </c>
      <c r="B10" s="1">
        <v>2001.0</v>
      </c>
      <c r="C10" s="1" t="s">
        <v>59</v>
      </c>
      <c r="D10" s="1" t="s">
        <v>60</v>
      </c>
      <c r="E10" s="1" t="s">
        <v>61</v>
      </c>
      <c r="F10" s="1" t="s">
        <v>62</v>
      </c>
      <c r="G10" s="1" t="s">
        <v>32</v>
      </c>
      <c r="K10" s="11">
        <v>1994.0</v>
      </c>
      <c r="L10" s="12">
        <f>COUNTIF(B3:B226,"1994")</f>
        <v>1</v>
      </c>
      <c r="M10" s="12">
        <f>COUNTIFS(B2:B29,K10,C2:C29,M7)</f>
        <v>0</v>
      </c>
      <c r="N10" s="12">
        <f>COUNTIFS(B2:B29,K10,C2:C29,N7)</f>
        <v>1</v>
      </c>
      <c r="O10" s="11">
        <v>0.0</v>
      </c>
      <c r="P10" s="12"/>
    </row>
    <row r="11">
      <c r="A11" s="1" t="s">
        <v>7</v>
      </c>
      <c r="B11" s="1">
        <v>2002.0</v>
      </c>
      <c r="C11" s="1" t="s">
        <v>59</v>
      </c>
      <c r="D11" s="1" t="s">
        <v>60</v>
      </c>
      <c r="E11" s="1" t="s">
        <v>61</v>
      </c>
      <c r="F11" s="1" t="s">
        <v>62</v>
      </c>
      <c r="G11" s="1" t="s">
        <v>32</v>
      </c>
      <c r="K11" s="11">
        <v>1995.0</v>
      </c>
      <c r="L11" s="12">
        <f>COUNTIF(B4:B227,"1995")</f>
        <v>1</v>
      </c>
      <c r="M11" s="12">
        <f>COUNTIFS(B2:B29,K11,C2:C29,M7)</f>
        <v>0</v>
      </c>
      <c r="N11" s="12">
        <f>COUNTIFS(B2:B29,K11,C2:C29,N7)</f>
        <v>1</v>
      </c>
      <c r="O11" s="11">
        <v>0.0</v>
      </c>
      <c r="P11" s="12"/>
    </row>
    <row r="12">
      <c r="A12" s="1" t="s">
        <v>7</v>
      </c>
      <c r="B12" s="1">
        <v>2003.0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32</v>
      </c>
      <c r="K12" s="11">
        <v>1996.0</v>
      </c>
      <c r="L12" s="12">
        <f>COUNTIF(B5:B228,"1996")</f>
        <v>1</v>
      </c>
      <c r="M12" s="12">
        <f>COUNTIFS(B2:B29,K12,C2:C29,M7)</f>
        <v>0</v>
      </c>
      <c r="N12" s="12">
        <f>COUNTIFS(B2:B29,K12,C2:C29,N7)</f>
        <v>1</v>
      </c>
      <c r="O12" s="11">
        <v>0.0</v>
      </c>
      <c r="P12" s="12"/>
    </row>
    <row r="13">
      <c r="A13" s="1" t="s">
        <v>7</v>
      </c>
      <c r="B13" s="1">
        <v>2004.0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32</v>
      </c>
      <c r="K13" s="11">
        <v>1997.0</v>
      </c>
      <c r="L13" s="12">
        <f>COUNTIF(B6:B229,"1997")</f>
        <v>1</v>
      </c>
      <c r="M13" s="12">
        <f>COUNTIFS(B2:B29,K13,C2:C29,M7)</f>
        <v>0</v>
      </c>
      <c r="N13" s="12">
        <f>COUNTIFS(B2:B29,K13,C2:C29,N7)</f>
        <v>1</v>
      </c>
      <c r="O13" s="11">
        <v>0.0</v>
      </c>
      <c r="P13" s="12"/>
    </row>
    <row r="14">
      <c r="A14" s="1" t="s">
        <v>7</v>
      </c>
      <c r="B14" s="1">
        <v>2005.0</v>
      </c>
      <c r="C14" s="1" t="s">
        <v>59</v>
      </c>
      <c r="D14" s="1" t="s">
        <v>60</v>
      </c>
      <c r="E14" s="1" t="s">
        <v>27</v>
      </c>
      <c r="F14" s="1" t="s">
        <v>62</v>
      </c>
      <c r="G14" s="1" t="s">
        <v>32</v>
      </c>
      <c r="K14" s="11">
        <v>1998.0</v>
      </c>
      <c r="L14" s="12">
        <f>COUNTIF(B7:B230,"1998")</f>
        <v>1</v>
      </c>
      <c r="M14" s="12">
        <f>COUNTIFS(B2:B29,K14,C2:C29,M7)</f>
        <v>0</v>
      </c>
      <c r="N14" s="12">
        <f>COUNTIFS(B2:B29,K14,C2:C29,N7)</f>
        <v>1</v>
      </c>
      <c r="O14" s="11">
        <v>0.0</v>
      </c>
      <c r="P14" s="12"/>
    </row>
    <row r="15">
      <c r="A15" s="1" t="s">
        <v>7</v>
      </c>
      <c r="B15" s="1">
        <v>2006.0</v>
      </c>
      <c r="C15" s="1" t="s">
        <v>59</v>
      </c>
      <c r="D15" s="1" t="s">
        <v>60</v>
      </c>
      <c r="E15" s="1" t="s">
        <v>27</v>
      </c>
      <c r="F15" s="1" t="s">
        <v>62</v>
      </c>
      <c r="G15" s="1" t="s">
        <v>32</v>
      </c>
      <c r="K15" s="11">
        <v>1999.0</v>
      </c>
      <c r="L15" s="12">
        <f>COUNTIF(B8:B231,"1999")</f>
        <v>1</v>
      </c>
      <c r="M15" s="12">
        <f>COUNTIFS(B2:B29,K15,C2:C29,M7)</f>
        <v>0</v>
      </c>
      <c r="N15" s="12">
        <f>COUNTIFS(B2:B29,K15,C2:C29,N7)</f>
        <v>1</v>
      </c>
      <c r="O15" s="11">
        <v>0.0</v>
      </c>
      <c r="P15" s="12"/>
    </row>
    <row r="16">
      <c r="A16" s="1" t="s">
        <v>7</v>
      </c>
      <c r="B16" s="1">
        <v>2007.0</v>
      </c>
      <c r="C16" s="1" t="s">
        <v>59</v>
      </c>
      <c r="D16" s="1" t="s">
        <v>60</v>
      </c>
      <c r="E16" s="1" t="s">
        <v>61</v>
      </c>
      <c r="F16" s="1" t="s">
        <v>62</v>
      </c>
      <c r="G16" s="1" t="s">
        <v>32</v>
      </c>
      <c r="K16" s="11">
        <v>2000.0</v>
      </c>
      <c r="L16" s="12">
        <f>COUNTIF(B9:B232,"2000")</f>
        <v>1</v>
      </c>
      <c r="M16" s="12">
        <f>COUNTIFS(B2:B29,K16,C2:C29,M7)</f>
        <v>0</v>
      </c>
      <c r="N16" s="12">
        <f>COUNTIFS(B2:B29,K16,C2:C29,N7)</f>
        <v>1</v>
      </c>
      <c r="O16" s="11">
        <v>0.0</v>
      </c>
      <c r="P16" s="12"/>
    </row>
    <row r="17">
      <c r="A17" s="1" t="s">
        <v>7</v>
      </c>
      <c r="B17" s="1">
        <v>2008.0</v>
      </c>
      <c r="C17" s="1" t="s">
        <v>59</v>
      </c>
      <c r="D17" s="1" t="s">
        <v>60</v>
      </c>
      <c r="E17" s="1" t="s">
        <v>61</v>
      </c>
      <c r="F17" s="1" t="s">
        <v>62</v>
      </c>
      <c r="G17" s="1" t="s">
        <v>32</v>
      </c>
      <c r="K17" s="11">
        <v>2001.0</v>
      </c>
      <c r="L17" s="12">
        <f>COUNTIF(B10:B233,"2001")</f>
        <v>1</v>
      </c>
      <c r="M17" s="12">
        <f>COUNTIFS(B2:B29,K17,C2:C29,M7)</f>
        <v>0</v>
      </c>
      <c r="N17" s="12">
        <f>COUNTIFS(B2:B29,K17,C2:C29,N7)</f>
        <v>1</v>
      </c>
      <c r="O17" s="11">
        <v>0.0</v>
      </c>
      <c r="P17" s="12"/>
    </row>
    <row r="18">
      <c r="A18" s="1" t="s">
        <v>7</v>
      </c>
      <c r="B18" s="1">
        <v>2009.0</v>
      </c>
      <c r="C18" s="1" t="s">
        <v>59</v>
      </c>
      <c r="D18" s="1" t="s">
        <v>60</v>
      </c>
      <c r="E18" s="1" t="s">
        <v>61</v>
      </c>
      <c r="F18" s="1" t="s">
        <v>62</v>
      </c>
      <c r="G18" s="1" t="s">
        <v>32</v>
      </c>
      <c r="K18" s="11">
        <v>2002.0</v>
      </c>
      <c r="L18" s="12">
        <f>COUNTIF(B11:B234,"2002")</f>
        <v>1</v>
      </c>
      <c r="M18" s="12">
        <f>COUNTIFS(B2:B29,K18,C2:C29,M7)</f>
        <v>0</v>
      </c>
      <c r="N18" s="12">
        <f>COUNTIFS(B2:B29,K18,C2:C29,N7)</f>
        <v>1</v>
      </c>
      <c r="O18" s="11">
        <v>0.0</v>
      </c>
      <c r="P18" s="12"/>
    </row>
    <row r="19">
      <c r="A19" s="1" t="s">
        <v>7</v>
      </c>
      <c r="B19" s="1">
        <v>2010.0</v>
      </c>
      <c r="C19" s="1" t="s">
        <v>63</v>
      </c>
      <c r="D19" s="1" t="s">
        <v>60</v>
      </c>
      <c r="E19" s="1" t="s">
        <v>61</v>
      </c>
      <c r="F19" s="1" t="s">
        <v>62</v>
      </c>
      <c r="G19" s="1" t="s">
        <v>32</v>
      </c>
      <c r="K19" s="11">
        <v>2003.0</v>
      </c>
      <c r="L19" s="12">
        <f>COUNTIF(B12:B235,"2003")</f>
        <v>1</v>
      </c>
      <c r="M19" s="12">
        <f>COUNTIFS(B2:B29,K19,C2:C29,M7)</f>
        <v>0</v>
      </c>
      <c r="N19" s="12">
        <f>COUNTIFS(B2:B29,K19,C2:C29,N7)</f>
        <v>1</v>
      </c>
      <c r="O19" s="11">
        <v>0.0</v>
      </c>
      <c r="P19" s="12"/>
    </row>
    <row r="20">
      <c r="A20" s="1" t="s">
        <v>7</v>
      </c>
      <c r="B20" s="1">
        <v>2011.0</v>
      </c>
      <c r="C20" s="1" t="s">
        <v>63</v>
      </c>
      <c r="D20" s="1" t="s">
        <v>64</v>
      </c>
      <c r="E20" s="1" t="s">
        <v>61</v>
      </c>
      <c r="F20" s="1" t="s">
        <v>62</v>
      </c>
      <c r="G20" s="1" t="s">
        <v>32</v>
      </c>
      <c r="K20" s="11">
        <v>2004.0</v>
      </c>
      <c r="L20" s="12">
        <f>COUNTIF(B13:B236,"2004")</f>
        <v>1</v>
      </c>
      <c r="M20" s="27">
        <f>COUNTIFS(B2:B29,K20,C2:C29,M7)</f>
        <v>0</v>
      </c>
      <c r="N20" s="12">
        <f>COUNTIFS(B2:B29,K20,C2:C29,N7)</f>
        <v>1</v>
      </c>
      <c r="O20" s="11">
        <v>0.0</v>
      </c>
      <c r="P20" s="12"/>
    </row>
    <row r="21">
      <c r="A21" s="1" t="s">
        <v>7</v>
      </c>
      <c r="B21" s="1">
        <v>2012.0</v>
      </c>
      <c r="C21" s="1" t="s">
        <v>59</v>
      </c>
      <c r="D21" s="1" t="s">
        <v>64</v>
      </c>
      <c r="E21" s="1" t="s">
        <v>61</v>
      </c>
      <c r="F21" s="1" t="s">
        <v>62</v>
      </c>
      <c r="G21" s="1" t="s">
        <v>32</v>
      </c>
      <c r="K21" s="11">
        <v>2005.0</v>
      </c>
      <c r="L21" s="12">
        <f>COUNTIF(B14:B237,"2005")</f>
        <v>1</v>
      </c>
      <c r="M21" s="12">
        <f>COUNTIFS(B2:B29,K21,C2:C29,M7)</f>
        <v>0</v>
      </c>
      <c r="N21" s="12">
        <f>COUNTIFS(B2:B29,K21,C2:C29,N7)</f>
        <v>1</v>
      </c>
      <c r="O21" s="11">
        <v>0.0</v>
      </c>
      <c r="P21" s="12"/>
    </row>
    <row r="22">
      <c r="A22" s="1" t="s">
        <v>7</v>
      </c>
      <c r="B22" s="1">
        <v>2013.0</v>
      </c>
      <c r="C22" s="1" t="s">
        <v>63</v>
      </c>
      <c r="D22" s="1" t="s">
        <v>64</v>
      </c>
      <c r="E22" s="1" t="s">
        <v>61</v>
      </c>
      <c r="F22" s="1" t="s">
        <v>62</v>
      </c>
      <c r="G22" s="1" t="s">
        <v>32</v>
      </c>
      <c r="K22" s="11">
        <v>2006.0</v>
      </c>
      <c r="L22" s="12">
        <f>COUNTIF(B15:B238,"2006")</f>
        <v>1</v>
      </c>
      <c r="M22" s="12">
        <f>COUNTIFS(B2:B29,K22,C2:C29,M7)</f>
        <v>0</v>
      </c>
      <c r="N22" s="12">
        <f>COUNTIFS(B2:B29,K22,C2:C29,N7)</f>
        <v>1</v>
      </c>
      <c r="O22" s="11">
        <v>0.0</v>
      </c>
      <c r="P22" s="12"/>
    </row>
    <row r="23">
      <c r="A23" s="1" t="s">
        <v>7</v>
      </c>
      <c r="B23" s="1">
        <v>2014.0</v>
      </c>
      <c r="C23" s="1" t="s">
        <v>63</v>
      </c>
      <c r="D23" s="1" t="s">
        <v>64</v>
      </c>
      <c r="E23" s="1" t="s">
        <v>65</v>
      </c>
      <c r="F23" s="1" t="s">
        <v>62</v>
      </c>
      <c r="G23" s="1" t="s">
        <v>32</v>
      </c>
      <c r="K23" s="11">
        <v>2007.0</v>
      </c>
      <c r="L23" s="12">
        <f>COUNTIF(B16:B239,"2007")</f>
        <v>1</v>
      </c>
      <c r="M23" s="12">
        <f>COUNTIFS(B2:B29,K23,C2:C29,M7)</f>
        <v>0</v>
      </c>
      <c r="N23" s="27">
        <f>COUNTIFS(B2:B29,K23,C2:C29,N7)</f>
        <v>1</v>
      </c>
      <c r="O23" s="11">
        <v>0.0</v>
      </c>
      <c r="P23" s="12"/>
    </row>
    <row r="24">
      <c r="A24" s="1" t="s">
        <v>7</v>
      </c>
      <c r="B24" s="1">
        <v>2015.0</v>
      </c>
      <c r="C24" s="1" t="s">
        <v>63</v>
      </c>
      <c r="D24" s="1" t="s">
        <v>64</v>
      </c>
      <c r="E24" s="1" t="s">
        <v>61</v>
      </c>
      <c r="F24" s="1" t="s">
        <v>62</v>
      </c>
      <c r="G24" s="1" t="s">
        <v>32</v>
      </c>
      <c r="K24" s="11">
        <v>2008.0</v>
      </c>
      <c r="L24" s="12">
        <f>COUNTIF(B17:B240,"2008")</f>
        <v>1</v>
      </c>
      <c r="M24" s="12">
        <f>COUNTIFS(B2:B29,K24,C2:C29,M7)</f>
        <v>0</v>
      </c>
      <c r="N24" s="12">
        <f>COUNTIFS(B2:B29,K24,C2:C29,N7)</f>
        <v>1</v>
      </c>
      <c r="O24" s="11">
        <v>0.0</v>
      </c>
      <c r="P24" s="12"/>
    </row>
    <row r="25">
      <c r="A25" s="1" t="s">
        <v>7</v>
      </c>
      <c r="B25" s="1">
        <v>2016.0</v>
      </c>
      <c r="C25" s="1" t="s">
        <v>63</v>
      </c>
      <c r="D25" s="1" t="s">
        <v>60</v>
      </c>
      <c r="E25" s="1" t="s">
        <v>61</v>
      </c>
      <c r="F25" s="1" t="s">
        <v>62</v>
      </c>
      <c r="G25" s="1" t="s">
        <v>32</v>
      </c>
      <c r="K25" s="28">
        <v>2009.0</v>
      </c>
      <c r="L25" s="12">
        <f>COUNTIF(B18:B241,"2009")</f>
        <v>1</v>
      </c>
      <c r="M25" s="12">
        <f>COUNTIFS(B2:B29,K25,C2:C29,M7)</f>
        <v>0</v>
      </c>
      <c r="N25" s="12">
        <f>COUNTIFS(B2:B29,K25,C2:C29,N7)</f>
        <v>1</v>
      </c>
      <c r="O25" s="11">
        <v>0.0</v>
      </c>
      <c r="P25" s="12"/>
    </row>
    <row r="26">
      <c r="A26" s="1" t="s">
        <v>7</v>
      </c>
      <c r="B26" s="1">
        <v>2017.0</v>
      </c>
      <c r="C26" s="1" t="s">
        <v>63</v>
      </c>
      <c r="D26" s="1" t="s">
        <v>60</v>
      </c>
      <c r="E26" s="1" t="s">
        <v>61</v>
      </c>
      <c r="F26" s="1" t="s">
        <v>62</v>
      </c>
      <c r="G26" s="1" t="s">
        <v>32</v>
      </c>
      <c r="K26" s="11">
        <v>2010.0</v>
      </c>
      <c r="L26" s="12">
        <f>COUNTIF(B19:B242,"2010")</f>
        <v>1</v>
      </c>
      <c r="M26" s="27">
        <f>COUNTIFS(B2:B29,K26,C2:C29,M7)</f>
        <v>1</v>
      </c>
      <c r="N26" s="12">
        <f>COUNTIFS(B2:B29,K26,C2:C29,N7)</f>
        <v>0</v>
      </c>
      <c r="O26" s="11">
        <v>0.0</v>
      </c>
      <c r="P26" s="12"/>
    </row>
    <row r="27">
      <c r="A27" s="1" t="s">
        <v>7</v>
      </c>
      <c r="B27" s="1">
        <v>2018.0</v>
      </c>
      <c r="C27" s="1" t="s">
        <v>63</v>
      </c>
      <c r="D27" s="1" t="s">
        <v>60</v>
      </c>
      <c r="E27" s="1" t="s">
        <v>61</v>
      </c>
      <c r="F27" s="1" t="s">
        <v>62</v>
      </c>
      <c r="G27" s="1" t="s">
        <v>32</v>
      </c>
      <c r="K27" s="11">
        <v>2011.0</v>
      </c>
      <c r="L27" s="12">
        <f>COUNTIF(B20:B243,"2011")</f>
        <v>1</v>
      </c>
      <c r="M27" s="12">
        <f>COUNTIFS(B2:B29,K27,C2:C29,M7)</f>
        <v>1</v>
      </c>
      <c r="N27" s="12">
        <f>COUNTIFS(B2:B29,K27,C2:C29,N7)</f>
        <v>0</v>
      </c>
      <c r="O27" s="11">
        <v>0.0</v>
      </c>
      <c r="P27" s="12"/>
    </row>
    <row r="28">
      <c r="A28" s="1" t="s">
        <v>7</v>
      </c>
      <c r="B28" s="1">
        <v>2019.0</v>
      </c>
      <c r="C28" s="1" t="s">
        <v>63</v>
      </c>
      <c r="D28" s="1" t="s">
        <v>60</v>
      </c>
      <c r="E28" s="1" t="s">
        <v>61</v>
      </c>
      <c r="F28" s="1" t="s">
        <v>62</v>
      </c>
      <c r="G28" s="1" t="s">
        <v>32</v>
      </c>
      <c r="K28" s="11">
        <v>2012.0</v>
      </c>
      <c r="L28" s="12">
        <f>COUNTIF(B21:B244,"2012")</f>
        <v>1</v>
      </c>
      <c r="M28" s="12">
        <f>COUNTIFS(B2:B29,K28,C2:C29,M7)</f>
        <v>0</v>
      </c>
      <c r="N28" s="12">
        <f>COUNTIFS(B2:B29,K28,C2:C29,N7)</f>
        <v>1</v>
      </c>
      <c r="O28" s="11">
        <v>0.0</v>
      </c>
      <c r="P28" s="12"/>
    </row>
    <row r="29">
      <c r="A29" s="1" t="s">
        <v>7</v>
      </c>
      <c r="B29" s="1">
        <v>2020.0</v>
      </c>
      <c r="C29" s="1" t="s">
        <v>63</v>
      </c>
      <c r="D29" s="1" t="s">
        <v>60</v>
      </c>
      <c r="E29" s="1" t="s">
        <v>61</v>
      </c>
      <c r="F29" s="1" t="s">
        <v>62</v>
      </c>
      <c r="G29" s="1" t="s">
        <v>27</v>
      </c>
      <c r="K29" s="11">
        <v>2013.0</v>
      </c>
      <c r="L29" s="12">
        <f>COUNTIF(B22:B245,"2013")</f>
        <v>1</v>
      </c>
      <c r="M29" s="12">
        <f>COUNTIFS(B2:B29,K29,C2:C29,M7)</f>
        <v>1</v>
      </c>
      <c r="N29" s="12">
        <f>COUNTIFS(B2:B29,K29,C2:C29,N7)</f>
        <v>0</v>
      </c>
      <c r="O29" s="11">
        <v>0.0</v>
      </c>
      <c r="P29" s="12"/>
    </row>
    <row r="30">
      <c r="K30" s="11">
        <v>2014.0</v>
      </c>
      <c r="L30" s="12">
        <f>COUNTIF(B23:B246,"2014")</f>
        <v>1</v>
      </c>
      <c r="M30" s="12">
        <f>COUNTIFS(B2:B29,K30,C2:C29,M7)</f>
        <v>1</v>
      </c>
      <c r="N30" s="12">
        <f>COUNTIFS(B2:B29,K30,C2:C29,N7)</f>
        <v>0</v>
      </c>
      <c r="O30" s="11">
        <v>0.0</v>
      </c>
      <c r="P30" s="12"/>
    </row>
    <row r="31">
      <c r="K31" s="11">
        <v>2015.0</v>
      </c>
      <c r="L31" s="12">
        <f>COUNTIF(B24:B247,"2015")</f>
        <v>1</v>
      </c>
      <c r="M31" s="12">
        <f>COUNTIFS(B2:B29,K31,C2:C29,M7)</f>
        <v>1</v>
      </c>
      <c r="N31" s="12">
        <f>COUNTIFS(B2:B29,K31,C2:C29,N7)</f>
        <v>0</v>
      </c>
      <c r="O31" s="11">
        <v>0.0</v>
      </c>
      <c r="P31" s="12"/>
    </row>
    <row r="32">
      <c r="K32" s="11">
        <v>2016.0</v>
      </c>
      <c r="L32" s="12">
        <f>COUNTIF(B25:B248,"2016")</f>
        <v>1</v>
      </c>
      <c r="M32" s="12">
        <f>COUNTIFS(B2:B29,K32,C2:C29,M7)</f>
        <v>1</v>
      </c>
      <c r="N32" s="12">
        <f>COUNTIFS(B2:B29,K32,C2:C29,N7)</f>
        <v>0</v>
      </c>
      <c r="O32" s="11">
        <v>0.0</v>
      </c>
      <c r="P32" s="12"/>
    </row>
    <row r="33">
      <c r="K33" s="11">
        <v>2017.0</v>
      </c>
      <c r="L33" s="12">
        <f>COUNTIF(B26:B249,"2017")</f>
        <v>1</v>
      </c>
      <c r="M33" s="12">
        <f>COUNTIFS(B2:B29,K33,C2:C29,M7)</f>
        <v>1</v>
      </c>
      <c r="N33" s="12">
        <f>COUNTIFS(B2:B29,K33,C2:C29,N7)</f>
        <v>0</v>
      </c>
      <c r="O33" s="11">
        <v>0.0</v>
      </c>
      <c r="P33" s="12"/>
    </row>
    <row r="34">
      <c r="K34" s="11">
        <v>2018.0</v>
      </c>
      <c r="L34" s="12">
        <f>COUNTIF(B27:B250,"2018")</f>
        <v>1</v>
      </c>
      <c r="M34" s="12">
        <f>COUNTIFS(B2:B29,K34,C2:C29,M7)</f>
        <v>1</v>
      </c>
      <c r="N34" s="12">
        <f>COUNTIFS(B2:B29,K34,C2:C29,N7)</f>
        <v>0</v>
      </c>
      <c r="O34" s="11">
        <v>0.0</v>
      </c>
      <c r="P34" s="12"/>
    </row>
    <row r="35">
      <c r="K35" s="11">
        <v>2019.0</v>
      </c>
      <c r="L35" s="12">
        <f>COUNTIF(B28:B251,"2019")</f>
        <v>1</v>
      </c>
      <c r="M35" s="12">
        <f>COUNTIFS(B2:B29,K35,C2:C29,M7)</f>
        <v>1</v>
      </c>
      <c r="N35" s="12">
        <f>COUNTIFS(B2:B29,K35,C2:C29,N7)</f>
        <v>0</v>
      </c>
      <c r="O35" s="11">
        <v>0.0</v>
      </c>
      <c r="P35" s="12"/>
    </row>
    <row r="36">
      <c r="K36" s="11">
        <v>2020.0</v>
      </c>
      <c r="L36" s="12">
        <f>COUNTIF(B29:B252,"2020")</f>
        <v>1</v>
      </c>
      <c r="M36" s="12">
        <f>COUNTIFS(B2:B29,K36,C2:C29,M7)</f>
        <v>1</v>
      </c>
      <c r="N36" s="12">
        <f>COUNTIFS(B2:B29,K36,C2:C29,N7)</f>
        <v>0</v>
      </c>
      <c r="O36" s="11">
        <v>0.0</v>
      </c>
      <c r="P36" s="12"/>
    </row>
    <row r="37">
      <c r="J37" s="18" t="s">
        <v>78</v>
      </c>
      <c r="K37" s="29"/>
      <c r="L37" s="19"/>
      <c r="M37" s="19"/>
      <c r="N37" s="19"/>
      <c r="O37" s="19"/>
      <c r="P37" s="20">
        <f>(O4)-(((L38/L4)*(O38)+(L39/L4)*(O39)))</f>
        <v>0.1311815959</v>
      </c>
    </row>
    <row r="38">
      <c r="K38" s="11" t="s">
        <v>58</v>
      </c>
      <c r="L38" s="12">
        <f>COUNTIF(D2:D29,"LUAS")</f>
        <v>5</v>
      </c>
      <c r="M38" s="27">
        <f>COUNTIFS(D2:D29,K38,C2:C29,M7)</f>
        <v>4</v>
      </c>
      <c r="N38" s="12">
        <f>COUNTIFS(D2:D29,K38,C2:C29,N7)</f>
        <v>1</v>
      </c>
      <c r="O38" s="12">
        <f t="shared" ref="O38:O39" si="1">((-M38/L38)*IMLOG2(M38/L38)+(-N38/L38)*IMLOG2(N38/L38))</f>
        <v>0.7219280949</v>
      </c>
      <c r="P38" s="12"/>
    </row>
    <row r="39">
      <c r="K39" s="11" t="s">
        <v>56</v>
      </c>
      <c r="L39" s="12">
        <f>COUNTIF(D2:D29,"SEMPIT")</f>
        <v>23</v>
      </c>
      <c r="M39" s="12">
        <f>COUNTIFS(D2:D29,K39,C2:C29,M7)</f>
        <v>6</v>
      </c>
      <c r="N39" s="12">
        <f>COUNTIFS(D2:D29,K39,C2:C29,N7)</f>
        <v>17</v>
      </c>
      <c r="O39" s="12">
        <f t="shared" si="1"/>
        <v>0.8280557254</v>
      </c>
      <c r="P39" s="12"/>
    </row>
    <row r="40">
      <c r="J40" s="18" t="s">
        <v>4</v>
      </c>
      <c r="K40" s="19"/>
      <c r="L40" s="19"/>
      <c r="M40" s="19"/>
      <c r="N40" s="19"/>
      <c r="O40" s="31"/>
      <c r="P40" s="20">
        <f>(O4)-(((L41/L4)*(O41)+(L42/L4)*(O42)+(L43/L4)*(O43)+(L44/L4)*(O44)))</f>
        <v>0.09860453969</v>
      </c>
    </row>
    <row r="41">
      <c r="K41" s="11" t="s">
        <v>43</v>
      </c>
      <c r="L41" s="12">
        <f>COUNTIF(E2:E29,"RENDAH")</f>
        <v>0</v>
      </c>
      <c r="M41" s="12">
        <f>COUNTIFS(E2:E29,K41,C2:C29,M7)</f>
        <v>0</v>
      </c>
      <c r="N41" s="12">
        <f>COUNTIFS(E2:E29,K41,C2:C29,N7)</f>
        <v>0</v>
      </c>
      <c r="O41" s="11">
        <v>0.0</v>
      </c>
      <c r="P41" s="12"/>
    </row>
    <row r="42">
      <c r="K42" s="11" t="s">
        <v>79</v>
      </c>
      <c r="L42" s="27">
        <f>COUNTIF(E2:E29,"SEDANG")</f>
        <v>2</v>
      </c>
      <c r="M42" s="12">
        <f>COUNTIFS(E2:E29,K42,C2:C29,M7)</f>
        <v>0</v>
      </c>
      <c r="N42" s="12">
        <f>COUNTIFS(E2:E29,K42,C2:C29,N7)</f>
        <v>2</v>
      </c>
      <c r="O42" s="11">
        <v>0.0</v>
      </c>
      <c r="P42" s="12"/>
    </row>
    <row r="43">
      <c r="K43" s="11" t="s">
        <v>51</v>
      </c>
      <c r="L43" s="12">
        <f>COUNTIF(E2:E29,"TINGGI")</f>
        <v>25</v>
      </c>
      <c r="M43" s="12">
        <f>COUNTIFS(E2:E29,K43,C2:C29,M7)</f>
        <v>9</v>
      </c>
      <c r="N43" s="12">
        <f>COUNTIFS(E2:E29,K43,C2:C29,N7)</f>
        <v>16</v>
      </c>
      <c r="O43" s="12">
        <f>((-M43/L43)*IMLOG2(M43/L43)+(-N43/L43)*IMLOG2(N43/L43))</f>
        <v>0.9426831893</v>
      </c>
      <c r="P43" s="12"/>
    </row>
    <row r="44">
      <c r="K44" s="11" t="s">
        <v>53</v>
      </c>
      <c r="L44" s="12">
        <f>COUNTIF(E2:E29,"SANGAT TINGGI")</f>
        <v>1</v>
      </c>
      <c r="M44" s="23">
        <f>COUNTIFS(E2:E29,K44,C2:C29,M7)</f>
        <v>1</v>
      </c>
      <c r="N44" s="23">
        <f>COUNTIFS(E2:E29,K44,C2:C29,N7)</f>
        <v>0</v>
      </c>
      <c r="O44" s="11">
        <v>0.0</v>
      </c>
    </row>
    <row r="45">
      <c r="J45" s="18" t="s">
        <v>5</v>
      </c>
      <c r="K45" s="19"/>
      <c r="L45" s="19"/>
      <c r="M45" s="32"/>
      <c r="N45" s="32"/>
      <c r="O45" s="19"/>
      <c r="P45" s="22">
        <f>(O4)-(((L46/L4)*(O46)+(L47/L4)*(O47)))</f>
        <v>0</v>
      </c>
    </row>
    <row r="46">
      <c r="K46" s="11" t="s">
        <v>24</v>
      </c>
      <c r="L46" s="12">
        <f>COUNTIF(F2:F29,"NORMAL")</f>
        <v>0</v>
      </c>
      <c r="M46" s="23">
        <f>COUNTIFS(F2:F29,K46,C2:C29,M7)</f>
        <v>0</v>
      </c>
      <c r="N46" s="23">
        <f>COUNTIFS(F2:F29,K46,C2:C29,N7)</f>
        <v>0</v>
      </c>
      <c r="O46" s="11">
        <v>0.0</v>
      </c>
    </row>
    <row r="47">
      <c r="K47" s="11" t="s">
        <v>29</v>
      </c>
      <c r="L47" s="27">
        <f>COUNTIF(F2:F29,"HIGH")</f>
        <v>28</v>
      </c>
      <c r="M47" s="27">
        <f>COUNTIFS(F2:F29,K47,C2:C29,M7)</f>
        <v>10</v>
      </c>
      <c r="N47" s="23">
        <f>COUNTIFS(F2:F29,K47,C2:C29,N7)</f>
        <v>18</v>
      </c>
      <c r="O47" s="12">
        <f>((-M47/L47)*IMLOG2(M47/L47)+(-N47/L47)*IMLOG2(N47/L47))</f>
        <v>0.9402859587</v>
      </c>
    </row>
    <row r="48">
      <c r="J48" s="18" t="s">
        <v>6</v>
      </c>
      <c r="K48" s="19"/>
      <c r="L48" s="19"/>
      <c r="M48" s="32"/>
      <c r="N48" s="32"/>
      <c r="O48" s="19"/>
      <c r="P48" s="22">
        <f>(O4)-(((L49/L4)*(O49)+(L50/L4)*(O50)+(L51/L4)*(O51)))</f>
        <v>0.0547864044</v>
      </c>
    </row>
    <row r="49">
      <c r="K49" s="11" t="s">
        <v>80</v>
      </c>
      <c r="L49" s="12">
        <f>COUNTIF(G2:G29,"DINGIN")</f>
        <v>0</v>
      </c>
      <c r="M49" s="23">
        <f>COUNTIFS(G2:G29,K49,C2:C29,M7)</f>
        <v>0</v>
      </c>
      <c r="N49" s="23">
        <f>COUNTIFS(G2:G29,K49,C2:C29,N7)</f>
        <v>0</v>
      </c>
      <c r="O49" s="11">
        <v>0.0</v>
      </c>
    </row>
    <row r="50">
      <c r="K50" s="11" t="s">
        <v>79</v>
      </c>
      <c r="L50" s="12">
        <f>COUNTIF(G2:G29,"SEDANG")</f>
        <v>1</v>
      </c>
      <c r="M50" s="23">
        <f>COUNTIFS(G2:G29,K50,C2:C29,M7)</f>
        <v>1</v>
      </c>
      <c r="N50" s="27">
        <f>COUNTIFS(G2:G29,K50,C2:C29,N7)</f>
        <v>0</v>
      </c>
      <c r="O50" s="11">
        <v>0.0</v>
      </c>
    </row>
    <row r="51">
      <c r="K51" s="11" t="s">
        <v>81</v>
      </c>
      <c r="L51" s="12">
        <f>COUNTIF(G2:G29,"PANAS")</f>
        <v>27</v>
      </c>
      <c r="M51" s="23">
        <f>COUNTIFS(G2:G29,K51,C2:C29,M7)</f>
        <v>9</v>
      </c>
      <c r="N51" s="23">
        <f>COUNTIFS(G2:G29,K51,C2:C29,N7)</f>
        <v>18</v>
      </c>
      <c r="O51" s="12">
        <f>((-M51/L51)*IMLOG2(M51/L51)+(-N51/L51)*IMLOG2(N51/L51))</f>
        <v>0.9182958341</v>
      </c>
    </row>
  </sheetData>
  <mergeCells count="9">
    <mergeCell ref="J45:J47"/>
    <mergeCell ref="J48:J51"/>
    <mergeCell ref="J1:L1"/>
    <mergeCell ref="J3:K3"/>
    <mergeCell ref="J4:K4"/>
    <mergeCell ref="J7:K7"/>
    <mergeCell ref="J8:J36"/>
    <mergeCell ref="J37:J39"/>
    <mergeCell ref="J40:J4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6" t="s">
        <v>2</v>
      </c>
      <c r="D1" s="6" t="s">
        <v>3</v>
      </c>
      <c r="E1" s="9" t="s">
        <v>4</v>
      </c>
      <c r="F1" s="6" t="s">
        <v>5</v>
      </c>
      <c r="G1" s="6" t="s">
        <v>6</v>
      </c>
      <c r="J1" s="5" t="s">
        <v>84</v>
      </c>
    </row>
    <row r="2">
      <c r="A2" s="1" t="s">
        <v>7</v>
      </c>
      <c r="B2" s="1">
        <v>1993.0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32</v>
      </c>
      <c r="J2" s="6" t="s">
        <v>85</v>
      </c>
    </row>
    <row r="3">
      <c r="A3" s="1" t="s">
        <v>7</v>
      </c>
      <c r="B3" s="1">
        <v>1994.0</v>
      </c>
      <c r="C3" s="1" t="s">
        <v>59</v>
      </c>
      <c r="D3" s="1" t="s">
        <v>60</v>
      </c>
      <c r="E3" s="1" t="s">
        <v>61</v>
      </c>
      <c r="F3" s="1" t="s">
        <v>62</v>
      </c>
      <c r="G3" s="1" t="s">
        <v>32</v>
      </c>
      <c r="J3" s="14" t="s">
        <v>69</v>
      </c>
      <c r="L3" s="14" t="s">
        <v>70</v>
      </c>
      <c r="M3" s="14" t="s">
        <v>49</v>
      </c>
      <c r="N3" s="14" t="s">
        <v>45</v>
      </c>
      <c r="O3" s="14" t="s">
        <v>71</v>
      </c>
    </row>
    <row r="4">
      <c r="A4" s="1" t="s">
        <v>7</v>
      </c>
      <c r="B4" s="1">
        <v>1995.0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32</v>
      </c>
      <c r="J4" s="11" t="s">
        <v>72</v>
      </c>
      <c r="L4" s="6">
        <f>COUNTA(C2:C225)</f>
        <v>28</v>
      </c>
      <c r="M4" s="12">
        <f>COUNTIF(C2:C225,"BANYAK")</f>
        <v>10</v>
      </c>
      <c r="N4" s="12">
        <f>COUNTIF(C2:C225,"SEDIKIT")</f>
        <v>18</v>
      </c>
      <c r="O4" s="12">
        <f>((-M4/L4)*IMLOG2(M4/L4)+(-N4/L4)*IMLOG2(N4/L4))</f>
        <v>0.9402859587</v>
      </c>
    </row>
    <row r="5">
      <c r="A5" s="1" t="s">
        <v>7</v>
      </c>
      <c r="B5" s="1">
        <v>1996.0</v>
      </c>
      <c r="C5" s="1" t="s">
        <v>59</v>
      </c>
      <c r="D5" s="1" t="s">
        <v>60</v>
      </c>
      <c r="E5" s="1" t="s">
        <v>61</v>
      </c>
      <c r="F5" s="1" t="s">
        <v>62</v>
      </c>
      <c r="G5" s="1" t="s">
        <v>32</v>
      </c>
    </row>
    <row r="6">
      <c r="A6" s="1" t="s">
        <v>7</v>
      </c>
      <c r="B6" s="1">
        <v>1997.0</v>
      </c>
      <c r="C6" s="1" t="s">
        <v>59</v>
      </c>
      <c r="D6" s="1" t="s">
        <v>60</v>
      </c>
      <c r="E6" s="1" t="s">
        <v>61</v>
      </c>
      <c r="F6" s="1" t="s">
        <v>62</v>
      </c>
      <c r="G6" s="1" t="s">
        <v>32</v>
      </c>
    </row>
    <row r="7">
      <c r="A7" s="1" t="s">
        <v>7</v>
      </c>
      <c r="B7" s="1">
        <v>1998.0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32</v>
      </c>
      <c r="I7" s="34">
        <v>1993.0</v>
      </c>
      <c r="J7" s="14" t="s">
        <v>69</v>
      </c>
      <c r="L7" s="14" t="s">
        <v>70</v>
      </c>
      <c r="M7" s="14" t="s">
        <v>49</v>
      </c>
      <c r="N7" s="14" t="s">
        <v>45</v>
      </c>
      <c r="O7" s="14" t="s">
        <v>71</v>
      </c>
      <c r="P7" s="14" t="s">
        <v>75</v>
      </c>
    </row>
    <row r="8">
      <c r="A8" s="1" t="s">
        <v>7</v>
      </c>
      <c r="B8" s="1">
        <v>1999.0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32</v>
      </c>
      <c r="J8" s="18" t="s">
        <v>78</v>
      </c>
      <c r="K8" s="29"/>
      <c r="L8" s="19"/>
      <c r="M8" s="19"/>
      <c r="N8" s="19"/>
      <c r="O8" s="19"/>
      <c r="P8" s="35">
        <v>0.0</v>
      </c>
    </row>
    <row r="9">
      <c r="A9" s="1" t="s">
        <v>7</v>
      </c>
      <c r="B9" s="1">
        <v>2000.0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32</v>
      </c>
      <c r="K9" s="11" t="s">
        <v>58</v>
      </c>
      <c r="L9" s="11">
        <v>0.0</v>
      </c>
      <c r="M9" s="33">
        <f t="shared" ref="M9:M10" si="1">COUNTIF(C2,"BANYAK")</f>
        <v>0</v>
      </c>
      <c r="N9" s="11">
        <v>0.0</v>
      </c>
      <c r="O9" s="11">
        <v>0.0</v>
      </c>
      <c r="P9" s="12"/>
    </row>
    <row r="10">
      <c r="A10" s="1" t="s">
        <v>7</v>
      </c>
      <c r="B10" s="1">
        <v>2001.0</v>
      </c>
      <c r="C10" s="1" t="s">
        <v>59</v>
      </c>
      <c r="D10" s="1" t="s">
        <v>60</v>
      </c>
      <c r="E10" s="1" t="s">
        <v>61</v>
      </c>
      <c r="F10" s="1" t="s">
        <v>62</v>
      </c>
      <c r="G10" s="1" t="s">
        <v>32</v>
      </c>
      <c r="K10" s="11" t="s">
        <v>56</v>
      </c>
      <c r="L10" s="12">
        <f>COUNTIF(B2,"1993")</f>
        <v>1</v>
      </c>
      <c r="M10" s="33">
        <f t="shared" si="1"/>
        <v>0</v>
      </c>
      <c r="N10" s="11">
        <v>1.0</v>
      </c>
      <c r="O10" s="11">
        <v>0.0</v>
      </c>
      <c r="P10" s="12"/>
    </row>
    <row r="11">
      <c r="A11" s="1" t="s">
        <v>7</v>
      </c>
      <c r="B11" s="1">
        <v>2002.0</v>
      </c>
      <c r="C11" s="1" t="s">
        <v>59</v>
      </c>
      <c r="D11" s="1" t="s">
        <v>60</v>
      </c>
      <c r="E11" s="1" t="s">
        <v>61</v>
      </c>
      <c r="F11" s="1" t="s">
        <v>62</v>
      </c>
      <c r="G11" s="1" t="s">
        <v>32</v>
      </c>
      <c r="J11" s="18" t="s">
        <v>4</v>
      </c>
      <c r="K11" s="19"/>
      <c r="L11" s="19"/>
      <c r="M11" s="19"/>
      <c r="N11" s="19"/>
      <c r="O11" s="31"/>
      <c r="P11" s="35">
        <v>0.0</v>
      </c>
    </row>
    <row r="12">
      <c r="A12" s="1" t="s">
        <v>7</v>
      </c>
      <c r="B12" s="1">
        <v>2003.0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32</v>
      </c>
      <c r="K12" s="11" t="s">
        <v>43</v>
      </c>
      <c r="L12" s="12">
        <f>COUNTIF(#REF!,"RENDAH")</f>
        <v>0</v>
      </c>
      <c r="M12" s="12">
        <f t="shared" ref="M12:M15" si="2">COUNTIFS(#REF!,K12,#REF!,#REF!)</f>
        <v>0</v>
      </c>
      <c r="N12" s="12">
        <f t="shared" ref="N12:N13" si="3">COUNTIFS(#REF!,K12,#REF!,#REF!)</f>
        <v>0</v>
      </c>
      <c r="O12" s="11">
        <v>0.0</v>
      </c>
      <c r="P12" s="12"/>
    </row>
    <row r="13">
      <c r="A13" s="1" t="s">
        <v>7</v>
      </c>
      <c r="B13" s="1">
        <v>2004.0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32</v>
      </c>
      <c r="K13" s="11" t="s">
        <v>79</v>
      </c>
      <c r="L13" s="27">
        <f>COUNTIF(#REF!,"SEDANG")</f>
        <v>0</v>
      </c>
      <c r="M13" s="12">
        <f t="shared" si="2"/>
        <v>0</v>
      </c>
      <c r="N13" s="12">
        <f t="shared" si="3"/>
        <v>0</v>
      </c>
      <c r="O13" s="11">
        <v>0.0</v>
      </c>
      <c r="P13" s="12"/>
    </row>
    <row r="14">
      <c r="A14" s="1" t="s">
        <v>7</v>
      </c>
      <c r="B14" s="1">
        <v>2005.0</v>
      </c>
      <c r="C14" s="1" t="s">
        <v>59</v>
      </c>
      <c r="D14" s="1" t="s">
        <v>60</v>
      </c>
      <c r="E14" s="1" t="s">
        <v>27</v>
      </c>
      <c r="F14" s="1" t="s">
        <v>62</v>
      </c>
      <c r="G14" s="1" t="s">
        <v>32</v>
      </c>
      <c r="K14" s="11" t="s">
        <v>51</v>
      </c>
      <c r="L14" s="11">
        <v>1.0</v>
      </c>
      <c r="M14" s="12">
        <f t="shared" si="2"/>
        <v>0</v>
      </c>
      <c r="N14" s="11">
        <v>1.0</v>
      </c>
      <c r="O14" s="11">
        <v>0.0</v>
      </c>
      <c r="P14" s="12"/>
    </row>
    <row r="15">
      <c r="A15" s="1" t="s">
        <v>7</v>
      </c>
      <c r="B15" s="1">
        <v>2006.0</v>
      </c>
      <c r="C15" s="1" t="s">
        <v>59</v>
      </c>
      <c r="D15" s="1" t="s">
        <v>60</v>
      </c>
      <c r="E15" s="1" t="s">
        <v>27</v>
      </c>
      <c r="F15" s="1" t="s">
        <v>62</v>
      </c>
      <c r="G15" s="1" t="s">
        <v>32</v>
      </c>
      <c r="K15" s="11" t="s">
        <v>53</v>
      </c>
      <c r="L15" s="12">
        <f>COUNTIF(#REF!,"SANGAT TINGGI")</f>
        <v>0</v>
      </c>
      <c r="M15" s="23">
        <f t="shared" si="2"/>
        <v>0</v>
      </c>
      <c r="N15" s="23">
        <f>COUNTIFS(#REF!,K15,#REF!,#REF!)</f>
        <v>0</v>
      </c>
      <c r="O15" s="11">
        <v>0.0</v>
      </c>
    </row>
    <row r="16">
      <c r="A16" s="1" t="s">
        <v>7</v>
      </c>
      <c r="B16" s="1">
        <v>2007.0</v>
      </c>
      <c r="C16" s="1" t="s">
        <v>59</v>
      </c>
      <c r="D16" s="1" t="s">
        <v>60</v>
      </c>
      <c r="E16" s="1" t="s">
        <v>61</v>
      </c>
      <c r="F16" s="1" t="s">
        <v>62</v>
      </c>
      <c r="G16" s="1" t="s">
        <v>32</v>
      </c>
      <c r="J16" s="18" t="s">
        <v>5</v>
      </c>
      <c r="K16" s="19"/>
      <c r="L16" s="19"/>
      <c r="M16" s="32"/>
      <c r="N16" s="32"/>
      <c r="O16" s="19"/>
      <c r="P16" s="36">
        <v>0.0</v>
      </c>
    </row>
    <row r="17">
      <c r="A17" s="1" t="s">
        <v>7</v>
      </c>
      <c r="B17" s="1">
        <v>2008.0</v>
      </c>
      <c r="C17" s="1" t="s">
        <v>59</v>
      </c>
      <c r="D17" s="1" t="s">
        <v>60</v>
      </c>
      <c r="E17" s="1" t="s">
        <v>61</v>
      </c>
      <c r="F17" s="1" t="s">
        <v>62</v>
      </c>
      <c r="G17" s="1" t="s">
        <v>32</v>
      </c>
      <c r="K17" s="11" t="s">
        <v>24</v>
      </c>
      <c r="L17" s="12">
        <f>COUNTIF(#REF!,"NORMAL")</f>
        <v>0</v>
      </c>
      <c r="M17" s="23">
        <f t="shared" ref="M17:M18" si="4">COUNTIFS(#REF!,K17,#REF!,#REF!)</f>
        <v>0</v>
      </c>
      <c r="N17" s="23">
        <f>COUNTIFS(#REF!,K17,#REF!,#REF!)</f>
        <v>0</v>
      </c>
      <c r="O17" s="11">
        <v>0.0</v>
      </c>
    </row>
    <row r="18">
      <c r="A18" s="1" t="s">
        <v>7</v>
      </c>
      <c r="B18" s="1">
        <v>2009.0</v>
      </c>
      <c r="C18" s="1" t="s">
        <v>59</v>
      </c>
      <c r="D18" s="1" t="s">
        <v>60</v>
      </c>
      <c r="E18" s="1" t="s">
        <v>61</v>
      </c>
      <c r="F18" s="1" t="s">
        <v>62</v>
      </c>
      <c r="G18" s="1" t="s">
        <v>32</v>
      </c>
      <c r="K18" s="11" t="s">
        <v>29</v>
      </c>
      <c r="L18" s="33">
        <v>1.0</v>
      </c>
      <c r="M18" s="27">
        <f t="shared" si="4"/>
        <v>0</v>
      </c>
      <c r="N18" s="37">
        <v>1.0</v>
      </c>
      <c r="O18" s="11">
        <v>0.0</v>
      </c>
    </row>
    <row r="19">
      <c r="A19" s="1" t="s">
        <v>7</v>
      </c>
      <c r="B19" s="1">
        <v>2010.0</v>
      </c>
      <c r="C19" s="1" t="s">
        <v>63</v>
      </c>
      <c r="D19" s="1" t="s">
        <v>60</v>
      </c>
      <c r="E19" s="1" t="s">
        <v>61</v>
      </c>
      <c r="F19" s="1" t="s">
        <v>62</v>
      </c>
      <c r="G19" s="1" t="s">
        <v>32</v>
      </c>
      <c r="J19" s="18" t="s">
        <v>6</v>
      </c>
      <c r="K19" s="19"/>
      <c r="L19" s="19"/>
      <c r="M19" s="32"/>
      <c r="N19" s="32"/>
      <c r="O19" s="19"/>
      <c r="P19" s="36">
        <v>0.0</v>
      </c>
    </row>
    <row r="20">
      <c r="A20" s="1" t="s">
        <v>7</v>
      </c>
      <c r="B20" s="1">
        <v>2011.0</v>
      </c>
      <c r="C20" s="1" t="s">
        <v>63</v>
      </c>
      <c r="D20" s="1" t="s">
        <v>64</v>
      </c>
      <c r="E20" s="1" t="s">
        <v>61</v>
      </c>
      <c r="F20" s="1" t="s">
        <v>62</v>
      </c>
      <c r="G20" s="1" t="s">
        <v>32</v>
      </c>
      <c r="K20" s="11" t="s">
        <v>80</v>
      </c>
      <c r="L20" s="12">
        <f>COUNTIF(#REF!,"DINGIN")</f>
        <v>0</v>
      </c>
      <c r="M20" s="23">
        <f t="shared" ref="M20:M22" si="5">COUNTIFS(#REF!,K20,#REF!,#REF!)</f>
        <v>0</v>
      </c>
      <c r="N20" s="23">
        <f t="shared" ref="N20:N21" si="6">COUNTIFS(#REF!,K20,#REF!,#REF!)</f>
        <v>0</v>
      </c>
      <c r="O20" s="11">
        <v>0.0</v>
      </c>
    </row>
    <row r="21">
      <c r="A21" s="1" t="s">
        <v>7</v>
      </c>
      <c r="B21" s="1">
        <v>2012.0</v>
      </c>
      <c r="C21" s="1" t="s">
        <v>59</v>
      </c>
      <c r="D21" s="1" t="s">
        <v>64</v>
      </c>
      <c r="E21" s="1" t="s">
        <v>61</v>
      </c>
      <c r="F21" s="1" t="s">
        <v>62</v>
      </c>
      <c r="G21" s="1" t="s">
        <v>32</v>
      </c>
      <c r="K21" s="11" t="s">
        <v>79</v>
      </c>
      <c r="L21" s="12">
        <f>COUNTIF(#REF!,"SEDANG")</f>
        <v>0</v>
      </c>
      <c r="M21" s="23">
        <f t="shared" si="5"/>
        <v>0</v>
      </c>
      <c r="N21" s="27">
        <f t="shared" si="6"/>
        <v>0</v>
      </c>
      <c r="O21" s="11">
        <v>0.0</v>
      </c>
    </row>
    <row r="22">
      <c r="A22" s="1" t="s">
        <v>7</v>
      </c>
      <c r="B22" s="1">
        <v>2013.0</v>
      </c>
      <c r="C22" s="1" t="s">
        <v>63</v>
      </c>
      <c r="D22" s="1" t="s">
        <v>64</v>
      </c>
      <c r="E22" s="1" t="s">
        <v>61</v>
      </c>
      <c r="F22" s="1" t="s">
        <v>62</v>
      </c>
      <c r="G22" s="1" t="s">
        <v>32</v>
      </c>
      <c r="K22" s="11" t="s">
        <v>81</v>
      </c>
      <c r="L22" s="11">
        <v>1.0</v>
      </c>
      <c r="M22" s="23">
        <f t="shared" si="5"/>
        <v>0</v>
      </c>
      <c r="N22" s="37">
        <v>1.0</v>
      </c>
      <c r="O22" s="11">
        <v>0.0</v>
      </c>
    </row>
    <row r="23">
      <c r="A23" s="1" t="s">
        <v>7</v>
      </c>
      <c r="B23" s="1">
        <v>2014.0</v>
      </c>
      <c r="C23" s="1" t="s">
        <v>63</v>
      </c>
      <c r="D23" s="1" t="s">
        <v>64</v>
      </c>
      <c r="E23" s="1" t="s">
        <v>65</v>
      </c>
      <c r="F23" s="1" t="s">
        <v>62</v>
      </c>
      <c r="G23" s="1" t="s">
        <v>32</v>
      </c>
    </row>
    <row r="24">
      <c r="A24" s="1" t="s">
        <v>7</v>
      </c>
      <c r="B24" s="1">
        <v>2015.0</v>
      </c>
      <c r="C24" s="1" t="s">
        <v>63</v>
      </c>
      <c r="D24" s="1" t="s">
        <v>64</v>
      </c>
      <c r="E24" s="1" t="s">
        <v>61</v>
      </c>
      <c r="F24" s="1" t="s">
        <v>62</v>
      </c>
      <c r="G24" s="1" t="s">
        <v>32</v>
      </c>
    </row>
    <row r="25">
      <c r="A25" s="1" t="s">
        <v>7</v>
      </c>
      <c r="B25" s="1">
        <v>2016.0</v>
      </c>
      <c r="C25" s="1" t="s">
        <v>63</v>
      </c>
      <c r="D25" s="1" t="s">
        <v>60</v>
      </c>
      <c r="E25" s="1" t="s">
        <v>61</v>
      </c>
      <c r="F25" s="1" t="s">
        <v>62</v>
      </c>
      <c r="G25" s="1" t="s">
        <v>32</v>
      </c>
    </row>
    <row r="26">
      <c r="A26" s="1" t="s">
        <v>7</v>
      </c>
      <c r="B26" s="1">
        <v>2017.0</v>
      </c>
      <c r="C26" s="1" t="s">
        <v>63</v>
      </c>
      <c r="D26" s="1" t="s">
        <v>60</v>
      </c>
      <c r="E26" s="1" t="s">
        <v>61</v>
      </c>
      <c r="F26" s="1" t="s">
        <v>62</v>
      </c>
      <c r="G26" s="1" t="s">
        <v>32</v>
      </c>
    </row>
    <row r="27">
      <c r="A27" s="1" t="s">
        <v>7</v>
      </c>
      <c r="B27" s="1">
        <v>2018.0</v>
      </c>
      <c r="C27" s="1" t="s">
        <v>63</v>
      </c>
      <c r="D27" s="1" t="s">
        <v>60</v>
      </c>
      <c r="E27" s="1" t="s">
        <v>61</v>
      </c>
      <c r="F27" s="1" t="s">
        <v>62</v>
      </c>
      <c r="G27" s="1" t="s">
        <v>32</v>
      </c>
    </row>
    <row r="28">
      <c r="A28" s="1" t="s">
        <v>7</v>
      </c>
      <c r="B28" s="1">
        <v>2019.0</v>
      </c>
      <c r="C28" s="1" t="s">
        <v>63</v>
      </c>
      <c r="D28" s="1" t="s">
        <v>60</v>
      </c>
      <c r="E28" s="1" t="s">
        <v>61</v>
      </c>
      <c r="F28" s="1" t="s">
        <v>62</v>
      </c>
      <c r="G28" s="1" t="s">
        <v>32</v>
      </c>
    </row>
    <row r="29">
      <c r="A29" s="1" t="s">
        <v>7</v>
      </c>
      <c r="B29" s="1">
        <v>2020.0</v>
      </c>
      <c r="C29" s="1" t="s">
        <v>63</v>
      </c>
      <c r="D29" s="1" t="s">
        <v>60</v>
      </c>
      <c r="E29" s="1" t="s">
        <v>61</v>
      </c>
      <c r="F29" s="1" t="s">
        <v>62</v>
      </c>
      <c r="G29" s="1" t="s">
        <v>27</v>
      </c>
    </row>
  </sheetData>
  <mergeCells count="8">
    <mergeCell ref="J1:L1"/>
    <mergeCell ref="J3:K3"/>
    <mergeCell ref="J4:K4"/>
    <mergeCell ref="J7:K7"/>
    <mergeCell ref="J8:J10"/>
    <mergeCell ref="J11:J15"/>
    <mergeCell ref="J16:J18"/>
    <mergeCell ref="J19:J2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0.71"/>
    <col customWidth="1" min="4" max="4" width="19.0"/>
    <col customWidth="1" min="5" max="5" width="18.14"/>
    <col customWidth="1" min="6" max="6" width="18.29"/>
  </cols>
  <sheetData>
    <row r="2">
      <c r="D2" s="6" t="s">
        <v>86</v>
      </c>
    </row>
    <row r="3">
      <c r="A3" s="6" t="s">
        <v>87</v>
      </c>
    </row>
    <row r="4">
      <c r="A4" s="38" t="s">
        <v>0</v>
      </c>
      <c r="B4" s="38" t="s">
        <v>1</v>
      </c>
      <c r="C4" s="38" t="s">
        <v>2</v>
      </c>
      <c r="D4" s="38" t="s">
        <v>3</v>
      </c>
      <c r="E4" s="38" t="s">
        <v>4</v>
      </c>
      <c r="F4" s="38" t="s">
        <v>5</v>
      </c>
      <c r="G4" s="38" t="s">
        <v>6</v>
      </c>
      <c r="L4" s="39"/>
      <c r="M4" s="39"/>
      <c r="N4" s="39"/>
    </row>
    <row r="5">
      <c r="A5" s="40" t="s">
        <v>7</v>
      </c>
      <c r="B5" s="40">
        <v>1993.0</v>
      </c>
      <c r="C5" s="40">
        <v>1329536.0</v>
      </c>
      <c r="D5" s="40">
        <v>323589.0</v>
      </c>
      <c r="E5" s="40">
        <v>1627.0</v>
      </c>
      <c r="F5" s="40">
        <v>82.0</v>
      </c>
      <c r="G5" s="40">
        <v>26.06</v>
      </c>
    </row>
    <row r="6">
      <c r="A6" s="40" t="s">
        <v>7</v>
      </c>
      <c r="B6" s="40">
        <v>1994.0</v>
      </c>
      <c r="C6" s="40">
        <v>1299699.0</v>
      </c>
      <c r="D6" s="40">
        <v>329041.0</v>
      </c>
      <c r="E6" s="40">
        <v>1521.0</v>
      </c>
      <c r="F6" s="40">
        <v>82.12</v>
      </c>
      <c r="G6" s="40">
        <v>26.92</v>
      </c>
    </row>
    <row r="7">
      <c r="A7" s="40" t="s">
        <v>7</v>
      </c>
      <c r="B7" s="40">
        <v>1995.0</v>
      </c>
      <c r="C7" s="40">
        <v>1382905.0</v>
      </c>
      <c r="D7" s="40">
        <v>339253.0</v>
      </c>
      <c r="E7" s="40">
        <v>1476.0</v>
      </c>
      <c r="F7" s="40">
        <v>82.72</v>
      </c>
      <c r="G7" s="40">
        <v>26.27</v>
      </c>
    </row>
    <row r="8">
      <c r="A8" s="40" t="s">
        <v>7</v>
      </c>
      <c r="B8" s="40">
        <v>1996.0</v>
      </c>
      <c r="C8" s="40">
        <v>1419128.0</v>
      </c>
      <c r="D8" s="40">
        <v>348223.0</v>
      </c>
      <c r="E8" s="40">
        <v>1557.0</v>
      </c>
      <c r="F8" s="40">
        <v>83.0</v>
      </c>
      <c r="G8" s="40">
        <v>26.08</v>
      </c>
    </row>
    <row r="9">
      <c r="A9" s="40" t="s">
        <v>7</v>
      </c>
      <c r="B9" s="40">
        <v>1997.0</v>
      </c>
      <c r="C9" s="40">
        <v>1368074.0</v>
      </c>
      <c r="D9" s="40">
        <v>337561.0</v>
      </c>
      <c r="E9" s="40">
        <v>1339.0</v>
      </c>
      <c r="F9" s="40">
        <v>82.46</v>
      </c>
      <c r="G9" s="40">
        <v>26.31</v>
      </c>
    </row>
    <row r="10">
      <c r="A10" s="40" t="s">
        <v>7</v>
      </c>
      <c r="B10" s="40">
        <v>1998.0</v>
      </c>
      <c r="C10" s="40">
        <v>1404580.0</v>
      </c>
      <c r="D10" s="40">
        <v>365892.0</v>
      </c>
      <c r="E10" s="40">
        <v>1465.0</v>
      </c>
      <c r="F10" s="40">
        <v>82.6</v>
      </c>
      <c r="G10" s="40">
        <v>26.84</v>
      </c>
    </row>
    <row r="11">
      <c r="A11" s="40" t="s">
        <v>7</v>
      </c>
      <c r="B11" s="40">
        <v>1999.0</v>
      </c>
      <c r="C11" s="40">
        <v>1478712.0</v>
      </c>
      <c r="D11" s="40">
        <v>359817.0</v>
      </c>
      <c r="E11" s="40">
        <v>1778.0</v>
      </c>
      <c r="F11" s="40">
        <v>82.79</v>
      </c>
      <c r="G11" s="40">
        <v>26.14</v>
      </c>
    </row>
    <row r="12">
      <c r="A12" s="40" t="s">
        <v>7</v>
      </c>
      <c r="B12" s="40">
        <v>2000.0</v>
      </c>
      <c r="C12" s="40">
        <v>1486909.0</v>
      </c>
      <c r="D12" s="40">
        <v>336765.0</v>
      </c>
      <c r="E12" s="40">
        <v>1974.7</v>
      </c>
      <c r="F12" s="40">
        <v>90.6</v>
      </c>
      <c r="G12" s="40">
        <v>27.1</v>
      </c>
    </row>
    <row r="13">
      <c r="A13" s="40" t="s">
        <v>7</v>
      </c>
      <c r="B13" s="40">
        <v>2001.0</v>
      </c>
      <c r="C13" s="40">
        <v>1547499.0</v>
      </c>
      <c r="D13" s="40">
        <v>295212.0</v>
      </c>
      <c r="E13" s="40">
        <v>1688.7</v>
      </c>
      <c r="F13" s="40">
        <v>69.48</v>
      </c>
      <c r="G13" s="40">
        <v>28.9</v>
      </c>
    </row>
    <row r="14">
      <c r="A14" s="40" t="s">
        <v>7</v>
      </c>
      <c r="B14" s="40">
        <v>2002.0</v>
      </c>
      <c r="C14" s="40">
        <v>1314165.0</v>
      </c>
      <c r="D14" s="40">
        <v>315131.0</v>
      </c>
      <c r="E14" s="40">
        <v>1296.8</v>
      </c>
      <c r="F14" s="40">
        <v>68.75</v>
      </c>
      <c r="G14" s="40">
        <v>29.2</v>
      </c>
    </row>
    <row r="15">
      <c r="A15" s="40" t="s">
        <v>7</v>
      </c>
      <c r="B15" s="40">
        <v>2003.0</v>
      </c>
      <c r="C15" s="40">
        <v>1246614.0</v>
      </c>
      <c r="D15" s="40">
        <v>367636.0</v>
      </c>
      <c r="E15" s="40">
        <v>1507.2</v>
      </c>
      <c r="F15" s="40">
        <v>70.66</v>
      </c>
      <c r="G15" s="40">
        <v>29.4</v>
      </c>
    </row>
    <row r="16">
      <c r="A16" s="40" t="s">
        <v>7</v>
      </c>
      <c r="B16" s="40">
        <v>2004.0</v>
      </c>
      <c r="C16" s="40">
        <v>1350748.0</v>
      </c>
      <c r="D16" s="40">
        <v>370966.0</v>
      </c>
      <c r="E16" s="40">
        <v>1097.0</v>
      </c>
      <c r="F16" s="40">
        <v>80.84</v>
      </c>
      <c r="G16" s="40">
        <v>29.4</v>
      </c>
    </row>
    <row r="17">
      <c r="A17" s="40" t="s">
        <v>7</v>
      </c>
      <c r="B17" s="40">
        <v>2005.0</v>
      </c>
      <c r="C17" s="40">
        <v>1411650.0</v>
      </c>
      <c r="D17" s="40">
        <v>337893.0</v>
      </c>
      <c r="E17" s="40">
        <v>710.5</v>
      </c>
      <c r="F17" s="40">
        <v>79.5</v>
      </c>
      <c r="G17" s="40">
        <v>26.8</v>
      </c>
    </row>
    <row r="18">
      <c r="A18" s="40" t="s">
        <v>7</v>
      </c>
      <c r="B18" s="40">
        <v>2006.0</v>
      </c>
      <c r="C18" s="40">
        <v>1552078.0</v>
      </c>
      <c r="D18" s="40">
        <v>320789.0</v>
      </c>
      <c r="E18" s="40">
        <v>506.5</v>
      </c>
      <c r="F18" s="40">
        <v>80.8</v>
      </c>
      <c r="G18" s="40">
        <v>26.73</v>
      </c>
    </row>
    <row r="19">
      <c r="A19" s="40" t="s">
        <v>7</v>
      </c>
      <c r="B19" s="40">
        <v>2007.0</v>
      </c>
      <c r="C19" s="40">
        <v>1556858.0</v>
      </c>
      <c r="D19" s="40">
        <v>360717.0</v>
      </c>
      <c r="E19" s="40">
        <v>1414.0</v>
      </c>
      <c r="F19" s="40">
        <v>81.5</v>
      </c>
      <c r="G19" s="40">
        <v>26.38</v>
      </c>
    </row>
    <row r="20">
      <c r="A20" s="40" t="s">
        <v>7</v>
      </c>
      <c r="B20" s="40">
        <v>2008.0</v>
      </c>
      <c r="C20" s="40">
        <v>1402287.0</v>
      </c>
      <c r="D20" s="40">
        <v>329109.0</v>
      </c>
      <c r="E20" s="40">
        <v>1270.4</v>
      </c>
      <c r="F20" s="40">
        <v>78.5</v>
      </c>
      <c r="G20" s="40">
        <v>27.0</v>
      </c>
    </row>
    <row r="21">
      <c r="A21" s="40" t="s">
        <v>7</v>
      </c>
      <c r="B21" s="40">
        <v>2009.0</v>
      </c>
      <c r="C21" s="40">
        <v>1533369.0</v>
      </c>
      <c r="D21" s="40">
        <v>359375.0</v>
      </c>
      <c r="E21" s="40">
        <v>1577.0</v>
      </c>
      <c r="F21" s="40">
        <v>78.7</v>
      </c>
      <c r="G21" s="40">
        <v>26.9</v>
      </c>
    </row>
    <row r="22">
      <c r="A22" s="40" t="s">
        <v>7</v>
      </c>
      <c r="B22" s="40">
        <v>2010.0</v>
      </c>
      <c r="C22" s="40">
        <v>1788738.0</v>
      </c>
      <c r="D22" s="40">
        <v>352281.0</v>
      </c>
      <c r="E22" s="40">
        <v>1986.0</v>
      </c>
      <c r="F22" s="40">
        <v>81.4</v>
      </c>
      <c r="G22" s="40">
        <v>27.1</v>
      </c>
    </row>
    <row r="23">
      <c r="A23" s="40" t="s">
        <v>7</v>
      </c>
      <c r="B23" s="40">
        <v>2011.0</v>
      </c>
      <c r="C23" s="40">
        <v>1772962.0</v>
      </c>
      <c r="D23" s="40">
        <v>380686.0</v>
      </c>
      <c r="E23" s="40">
        <v>1268.0</v>
      </c>
      <c r="F23" s="40">
        <v>79.4</v>
      </c>
      <c r="G23" s="40">
        <v>27.1</v>
      </c>
    </row>
    <row r="24">
      <c r="A24" s="40" t="s">
        <v>7</v>
      </c>
      <c r="B24" s="40">
        <v>2012.0</v>
      </c>
      <c r="C24" s="40">
        <v>1582393.0</v>
      </c>
      <c r="D24" s="40">
        <v>387803.0</v>
      </c>
      <c r="E24" s="40">
        <v>1098.0</v>
      </c>
      <c r="F24" s="40">
        <v>79.6</v>
      </c>
      <c r="G24" s="40">
        <v>26.9</v>
      </c>
    </row>
    <row r="25">
      <c r="A25" s="40" t="s">
        <v>7</v>
      </c>
      <c r="B25" s="40">
        <v>2013.0</v>
      </c>
      <c r="C25" s="40">
        <v>2331046.0</v>
      </c>
      <c r="D25" s="40">
        <v>419183.0</v>
      </c>
      <c r="E25" s="40">
        <v>1623.6</v>
      </c>
      <c r="F25" s="40">
        <v>80.7</v>
      </c>
      <c r="G25" s="40">
        <v>27.0</v>
      </c>
    </row>
    <row r="26">
      <c r="A26" s="40" t="s">
        <v>7</v>
      </c>
      <c r="B26" s="40">
        <v>2014.0</v>
      </c>
      <c r="C26" s="40">
        <v>1820062.0</v>
      </c>
      <c r="D26" s="40">
        <v>376137.0</v>
      </c>
      <c r="E26" s="40">
        <v>2264.4</v>
      </c>
      <c r="F26" s="40">
        <v>78.3</v>
      </c>
      <c r="G26" s="40">
        <v>27.1</v>
      </c>
    </row>
    <row r="27">
      <c r="A27" s="40" t="s">
        <v>7</v>
      </c>
      <c r="B27" s="40">
        <v>2015.0</v>
      </c>
      <c r="C27" s="40">
        <v>1956940.0</v>
      </c>
      <c r="D27" s="40">
        <v>461060.0</v>
      </c>
      <c r="E27" s="40">
        <v>1575.0</v>
      </c>
      <c r="F27" s="40">
        <v>80.0</v>
      </c>
      <c r="G27" s="40">
        <v>27.1</v>
      </c>
    </row>
    <row r="28">
      <c r="A28" s="40" t="s">
        <v>7</v>
      </c>
      <c r="B28" s="40">
        <v>2016.0</v>
      </c>
      <c r="C28" s="40">
        <v>2180754.0</v>
      </c>
      <c r="D28" s="40">
        <v>293067.0</v>
      </c>
      <c r="E28" s="40">
        <v>1096.0</v>
      </c>
      <c r="F28" s="40">
        <v>83.32</v>
      </c>
      <c r="G28" s="40">
        <v>27.12</v>
      </c>
    </row>
    <row r="29">
      <c r="A29" s="40" t="s">
        <v>7</v>
      </c>
      <c r="B29" s="40">
        <v>2017.0</v>
      </c>
      <c r="C29" s="40">
        <v>2478922.0</v>
      </c>
      <c r="D29" s="40">
        <v>294483.0</v>
      </c>
      <c r="E29" s="40">
        <v>1905.9</v>
      </c>
      <c r="F29" s="40">
        <v>85.57</v>
      </c>
      <c r="G29" s="40">
        <v>26.51</v>
      </c>
    </row>
    <row r="30">
      <c r="A30" s="40" t="s">
        <v>7</v>
      </c>
      <c r="B30" s="40">
        <v>2018.0</v>
      </c>
      <c r="C30" s="40">
        <v>1751996.94</v>
      </c>
      <c r="D30" s="40">
        <v>329515.78</v>
      </c>
      <c r="E30" s="40">
        <v>1427.8</v>
      </c>
      <c r="F30" s="40">
        <v>83.98</v>
      </c>
      <c r="G30" s="40">
        <v>26.48</v>
      </c>
    </row>
    <row r="31">
      <c r="A31" s="40" t="s">
        <v>7</v>
      </c>
      <c r="B31" s="40">
        <v>2019.0</v>
      </c>
      <c r="C31" s="40">
        <v>1714437.6</v>
      </c>
      <c r="D31" s="40">
        <v>310012.46</v>
      </c>
      <c r="E31" s="40">
        <v>1931.4</v>
      </c>
      <c r="F31" s="40">
        <v>83.9</v>
      </c>
      <c r="G31" s="40">
        <v>26.65</v>
      </c>
    </row>
    <row r="33">
      <c r="A33" s="6" t="s">
        <v>88</v>
      </c>
    </row>
    <row r="35">
      <c r="A35" s="41" t="s">
        <v>1</v>
      </c>
      <c r="B35" s="42">
        <v>1993.0</v>
      </c>
      <c r="C35" s="42">
        <v>1994.0</v>
      </c>
      <c r="D35" s="42">
        <v>1995.0</v>
      </c>
      <c r="E35" s="42">
        <v>1996.0</v>
      </c>
      <c r="F35" s="42">
        <v>1997.0</v>
      </c>
      <c r="G35" s="42">
        <v>1998.0</v>
      </c>
      <c r="H35" s="42">
        <v>1999.0</v>
      </c>
      <c r="I35" s="42">
        <v>2000.0</v>
      </c>
      <c r="J35" s="42">
        <v>2001.0</v>
      </c>
      <c r="K35" s="42">
        <v>2002.0</v>
      </c>
      <c r="L35" s="42">
        <v>2003.0</v>
      </c>
      <c r="M35" s="42">
        <v>2004.0</v>
      </c>
      <c r="N35" s="42">
        <v>2005.0</v>
      </c>
      <c r="O35" s="42">
        <v>2006.0</v>
      </c>
      <c r="P35" s="42">
        <v>2007.0</v>
      </c>
      <c r="Q35" s="42">
        <v>2008.0</v>
      </c>
      <c r="R35" s="42">
        <v>2009.0</v>
      </c>
      <c r="S35" s="42">
        <v>2010.0</v>
      </c>
      <c r="T35" s="42">
        <v>2011.0</v>
      </c>
      <c r="U35" s="42">
        <v>2012.0</v>
      </c>
      <c r="V35" s="42">
        <v>2013.0</v>
      </c>
      <c r="W35" s="42">
        <v>2014.0</v>
      </c>
      <c r="X35" s="42">
        <v>2015.0</v>
      </c>
      <c r="Y35" s="42">
        <v>2016.0</v>
      </c>
      <c r="Z35" s="42">
        <v>2017.0</v>
      </c>
      <c r="AA35" s="42">
        <v>2018.0</v>
      </c>
      <c r="AB35" s="42">
        <v>2019.0</v>
      </c>
      <c r="AC35" s="39"/>
    </row>
    <row r="36">
      <c r="A36" s="43" t="s">
        <v>2</v>
      </c>
      <c r="B36" s="40">
        <v>1329536.0</v>
      </c>
      <c r="C36" s="40">
        <v>1299699.0</v>
      </c>
      <c r="D36" s="40">
        <v>1382905.0</v>
      </c>
      <c r="E36" s="40">
        <v>1419128.0</v>
      </c>
      <c r="F36" s="40">
        <v>1368074.0</v>
      </c>
      <c r="G36" s="40">
        <v>1404580.0</v>
      </c>
      <c r="H36" s="40">
        <v>1478712.0</v>
      </c>
      <c r="I36" s="40">
        <v>1486909.0</v>
      </c>
      <c r="J36" s="40">
        <v>1547499.0</v>
      </c>
      <c r="K36" s="40">
        <v>1314165.0</v>
      </c>
      <c r="L36" s="40">
        <v>1246614.0</v>
      </c>
      <c r="M36" s="40">
        <v>1350748.0</v>
      </c>
      <c r="N36" s="40">
        <v>1411650.0</v>
      </c>
      <c r="O36" s="40">
        <v>1552078.0</v>
      </c>
      <c r="P36" s="40">
        <v>1556858.0</v>
      </c>
      <c r="Q36" s="40">
        <v>1402287.0</v>
      </c>
      <c r="R36" s="40">
        <v>1533369.0</v>
      </c>
      <c r="S36" s="40">
        <v>1788738.0</v>
      </c>
      <c r="T36" s="40">
        <v>1772962.0</v>
      </c>
      <c r="U36" s="40">
        <v>1582393.0</v>
      </c>
      <c r="V36" s="40">
        <v>2331046.0</v>
      </c>
      <c r="W36" s="40">
        <v>1820062.0</v>
      </c>
      <c r="X36" s="40">
        <v>1956940.0</v>
      </c>
      <c r="Y36" s="40">
        <v>2180754.0</v>
      </c>
      <c r="Z36" s="40">
        <v>2478922.0</v>
      </c>
      <c r="AA36" s="40">
        <v>1751996.94</v>
      </c>
      <c r="AB36" s="40">
        <v>1714437.6</v>
      </c>
      <c r="AC36" s="39"/>
    </row>
    <row r="38">
      <c r="A38" s="6" t="s">
        <v>89</v>
      </c>
    </row>
    <row r="40">
      <c r="B40" s="44" t="s">
        <v>90</v>
      </c>
      <c r="C40" s="44" t="s">
        <v>91</v>
      </c>
      <c r="D40" s="44" t="s">
        <v>92</v>
      </c>
      <c r="E40" s="44" t="s">
        <v>93</v>
      </c>
    </row>
    <row r="41">
      <c r="B41" s="45">
        <v>1.0</v>
      </c>
      <c r="C41" s="46">
        <v>1329536.0</v>
      </c>
      <c r="D41" s="46">
        <v>1299699.0</v>
      </c>
      <c r="E41" s="46">
        <v>1382905.0</v>
      </c>
    </row>
    <row r="42">
      <c r="B42" s="45">
        <v>2.0</v>
      </c>
      <c r="C42" s="46">
        <v>1419128.0</v>
      </c>
      <c r="D42" s="46">
        <v>1368074.0</v>
      </c>
      <c r="E42" s="46">
        <v>1404580.0</v>
      </c>
    </row>
    <row r="43">
      <c r="B43" s="45">
        <v>3.0</v>
      </c>
      <c r="C43" s="46">
        <v>1478712.0</v>
      </c>
      <c r="D43" s="46">
        <v>1486909.0</v>
      </c>
      <c r="E43" s="46">
        <v>1547499.0</v>
      </c>
      <c r="F43" s="6" t="s">
        <v>94</v>
      </c>
    </row>
    <row r="44">
      <c r="B44" s="45">
        <v>4.0</v>
      </c>
      <c r="C44" s="46">
        <v>1314165.0</v>
      </c>
      <c r="D44" s="46">
        <v>1246614.0</v>
      </c>
      <c r="E44" s="46">
        <v>1350748.0</v>
      </c>
    </row>
    <row r="45">
      <c r="B45" s="45">
        <v>5.0</v>
      </c>
      <c r="C45" s="46">
        <v>1411650.0</v>
      </c>
      <c r="D45" s="46">
        <v>1552078.0</v>
      </c>
      <c r="E45" s="46">
        <v>1556858.0</v>
      </c>
    </row>
    <row r="46">
      <c r="B46" s="45">
        <v>6.0</v>
      </c>
      <c r="C46" s="46">
        <v>1402287.0</v>
      </c>
      <c r="D46" s="46">
        <v>1533369.0</v>
      </c>
      <c r="E46" s="46">
        <v>1788738.0</v>
      </c>
    </row>
    <row r="47">
      <c r="B47" s="45">
        <v>7.0</v>
      </c>
      <c r="C47" s="47">
        <v>1772962.0</v>
      </c>
      <c r="D47" s="47">
        <v>1582393.0</v>
      </c>
      <c r="E47" s="47">
        <v>2331046.0</v>
      </c>
      <c r="F47" s="6" t="s">
        <v>95</v>
      </c>
    </row>
    <row r="48">
      <c r="B48" s="45">
        <v>8.0</v>
      </c>
      <c r="C48" s="47">
        <v>1820062.0</v>
      </c>
      <c r="D48" s="47">
        <v>1956940.0</v>
      </c>
      <c r="E48" s="47">
        <v>2180754.0</v>
      </c>
    </row>
    <row r="49">
      <c r="B49" s="45">
        <v>9.0</v>
      </c>
      <c r="C49" s="48">
        <v>2478922.0</v>
      </c>
      <c r="D49" s="49">
        <v>1751996.0</v>
      </c>
      <c r="E49" s="49" t="s">
        <v>96</v>
      </c>
      <c r="F49" s="6" t="s">
        <v>97</v>
      </c>
    </row>
    <row r="52">
      <c r="A52" s="6" t="s">
        <v>98</v>
      </c>
    </row>
    <row r="58">
      <c r="B58" s="50" t="s">
        <v>90</v>
      </c>
      <c r="C58" s="50" t="s">
        <v>91</v>
      </c>
      <c r="D58" s="50" t="s">
        <v>92</v>
      </c>
      <c r="E58" s="50" t="s">
        <v>93</v>
      </c>
    </row>
    <row r="59">
      <c r="B59" s="51">
        <v>1.0</v>
      </c>
      <c r="C59" s="52">
        <f>C71*(C41-C70)/(C69-C70)+C71</f>
        <v>0.8538319965</v>
      </c>
      <c r="D59" s="52">
        <f>C71*(D41-C70)/(C69-C70)+C71</f>
        <v>0.8344621637</v>
      </c>
      <c r="E59" s="52">
        <f>C71*(E41-C70)/(C69-C70)+C71</f>
        <v>0.8884785297</v>
      </c>
    </row>
    <row r="60">
      <c r="B60" s="51">
        <v>2.0</v>
      </c>
      <c r="C60" s="52">
        <f>C71*(C42-C70)/(C69-C70)+C71</f>
        <v>0.9119940794</v>
      </c>
      <c r="D60" s="52">
        <f>C71*(D42-C70)/(C69-C70)+C71</f>
        <v>0.8788504173</v>
      </c>
      <c r="E60" s="52">
        <f>C71*(E42-C70)/(C69-C70)+C71</f>
        <v>0.9025496873</v>
      </c>
    </row>
    <row r="61">
      <c r="B61" s="51">
        <v>3.0</v>
      </c>
      <c r="C61" s="52">
        <f>C71*(C43-C70)/(C69-C70)+C71</f>
        <v>0.9506753182</v>
      </c>
      <c r="D61" s="52">
        <f>C71*(D43-C70)/(C69-C70)+C71</f>
        <v>0.9559967151</v>
      </c>
      <c r="E61" s="52">
        <f>C71*(E43-C70)/(C69-C70)+C71</f>
        <v>0.9953310374</v>
      </c>
    </row>
    <row r="62">
      <c r="B62" s="51">
        <v>4.0</v>
      </c>
      <c r="C62" s="52">
        <f>C71*(C44-C70)/(C69-C70)+C71</f>
        <v>0.8438533224</v>
      </c>
      <c r="D62" s="52">
        <f>C71*(D44-C70)/(C69-C70)+C71</f>
        <v>0.8</v>
      </c>
      <c r="E62" s="52">
        <f>C71*(E44-C70)/(C69-C70)+C71</f>
        <v>0.8676025799</v>
      </c>
    </row>
    <row r="63">
      <c r="B63" s="51">
        <v>5.0</v>
      </c>
      <c r="C63" s="52">
        <f>C71*(C45-C70)/(C69-C70)+C71</f>
        <v>0.9071394489</v>
      </c>
      <c r="D63" s="52">
        <f>C71*(D45-C70)/(C69-C70)+C71</f>
        <v>0.9983036708</v>
      </c>
      <c r="E63" s="52">
        <f>C71*(E45-C70)/(C69-C70)+C71</f>
        <v>1.001406791</v>
      </c>
    </row>
    <row r="64">
      <c r="B64" s="51">
        <v>6.0</v>
      </c>
      <c r="C64" s="52">
        <f>C71*(C46-C70)/(C69-C70)+C71</f>
        <v>0.9010610984</v>
      </c>
      <c r="D64" s="52">
        <f>C71*(D46-C70)/(C69-C70)+C71</f>
        <v>0.986158006</v>
      </c>
      <c r="E64" s="52">
        <f>C71*(E46-C70)/(C69-C70)+C71</f>
        <v>1.151940586</v>
      </c>
    </row>
    <row r="65">
      <c r="B65" s="51">
        <v>7.0</v>
      </c>
      <c r="C65" s="52">
        <f>C71*(C47-C70)/(C69-C70)+C71</f>
        <v>1.141698991</v>
      </c>
      <c r="D65" s="53">
        <f>C71*(D47-C70)/(C69-C70)+C71</f>
        <v>1.017983816</v>
      </c>
      <c r="E65" s="53">
        <f>C71*(E47-C70)/(C69-C70)+C71</f>
        <v>1.504000623</v>
      </c>
    </row>
    <row r="66">
      <c r="B66" s="51">
        <v>8.0</v>
      </c>
      <c r="C66" s="52">
        <f>C71*(C48-C70)/(C69-C70)+C71</f>
        <v>1.172275762</v>
      </c>
      <c r="D66" s="53">
        <f>C71*(D48-C70)/(C69-C70)+C71</f>
        <v>1.261135366</v>
      </c>
      <c r="E66" s="53">
        <f>C71*(E48-C70)/(C69-C70)+C71</f>
        <v>1.406432807</v>
      </c>
    </row>
    <row r="67">
      <c r="B67" s="51">
        <v>9.0</v>
      </c>
      <c r="C67" s="52">
        <f>C71*(C49-C70)/(C69-C70)+C71</f>
        <v>1.6</v>
      </c>
      <c r="D67" s="53">
        <f>C71*(D49-C70)/(C69-C70)+C71</f>
        <v>1.128088108</v>
      </c>
      <c r="E67" s="52">
        <f>C71*(0-0)/(C69-0)+C71</f>
        <v>0.8</v>
      </c>
    </row>
    <row r="69">
      <c r="A69" s="6" t="s">
        <v>99</v>
      </c>
      <c r="B69" s="6" t="s">
        <v>100</v>
      </c>
      <c r="C69" s="6">
        <f>MAX(C41:E49)</f>
        <v>2478922</v>
      </c>
      <c r="D69" s="1">
        <f>MAX(C41:E49)</f>
        <v>2478922</v>
      </c>
      <c r="E69" s="1">
        <f>MAX(C41:E49)</f>
        <v>2478922</v>
      </c>
    </row>
    <row r="70">
      <c r="A70" s="6" t="s">
        <v>101</v>
      </c>
      <c r="B70" s="6" t="s">
        <v>102</v>
      </c>
      <c r="C70" s="6">
        <f>MIN(C41:E49)</f>
        <v>1246614</v>
      </c>
      <c r="D70" s="6">
        <f>MIN(C41:E49)</f>
        <v>1246614</v>
      </c>
      <c r="E70" s="6">
        <f>MIN(C41:E49)</f>
        <v>1246614</v>
      </c>
    </row>
    <row r="71">
      <c r="B71" s="6" t="s">
        <v>103</v>
      </c>
      <c r="C71" s="6">
        <v>0.8</v>
      </c>
      <c r="D71" s="6">
        <v>0.8</v>
      </c>
      <c r="E71" s="6">
        <v>0.8</v>
      </c>
    </row>
    <row r="72">
      <c r="B72" s="6" t="s">
        <v>103</v>
      </c>
      <c r="C72" s="6">
        <v>0.1</v>
      </c>
      <c r="D72" s="6">
        <v>0.1</v>
      </c>
      <c r="E72" s="6">
        <v>0.1</v>
      </c>
    </row>
    <row r="77">
      <c r="A77" s="6" t="s">
        <v>104</v>
      </c>
    </row>
    <row r="79">
      <c r="A79" s="6" t="s">
        <v>105</v>
      </c>
    </row>
    <row r="80">
      <c r="B80" s="54" t="s">
        <v>90</v>
      </c>
      <c r="C80" s="54" t="s">
        <v>91</v>
      </c>
      <c r="D80" s="54" t="s">
        <v>92</v>
      </c>
      <c r="E80" s="54" t="s">
        <v>93</v>
      </c>
    </row>
    <row r="81">
      <c r="B81" s="55">
        <v>1.0</v>
      </c>
      <c r="C81" s="56">
        <v>0.853831996546318</v>
      </c>
      <c r="D81" s="56">
        <v>0.8344621636798593</v>
      </c>
      <c r="E81" s="56">
        <v>0.8884785297182198</v>
      </c>
    </row>
    <row r="84">
      <c r="A84" s="6" t="s">
        <v>106</v>
      </c>
    </row>
    <row r="86">
      <c r="B86" s="57" t="s">
        <v>107</v>
      </c>
      <c r="C86" s="57">
        <v>2.0</v>
      </c>
    </row>
    <row r="87">
      <c r="B87" s="58" t="s">
        <v>108</v>
      </c>
      <c r="C87" s="58">
        <v>4.0</v>
      </c>
    </row>
    <row r="88">
      <c r="B88" s="59" t="s">
        <v>109</v>
      </c>
      <c r="C88" s="59">
        <v>1.0</v>
      </c>
    </row>
    <row r="90">
      <c r="B90" s="60" t="s">
        <v>110</v>
      </c>
      <c r="C90" s="61"/>
      <c r="D90" s="61"/>
    </row>
    <row r="91">
      <c r="B91" s="62" t="s">
        <v>111</v>
      </c>
      <c r="C91" s="62" t="s">
        <v>112</v>
      </c>
      <c r="D91" s="62" t="s">
        <v>113</v>
      </c>
    </row>
    <row r="92">
      <c r="B92" s="63" t="s">
        <v>114</v>
      </c>
      <c r="C92" s="52">
        <v>0.853831996546318</v>
      </c>
      <c r="D92" s="52">
        <v>0.8344621636798593</v>
      </c>
    </row>
    <row r="93">
      <c r="B93" s="63" t="s">
        <v>115</v>
      </c>
      <c r="C93" s="52">
        <v>0.9119940794022274</v>
      </c>
      <c r="D93" s="52">
        <v>0.8788504172658135</v>
      </c>
    </row>
    <row r="94">
      <c r="B94" s="63" t="s">
        <v>116</v>
      </c>
      <c r="C94" s="52">
        <v>0.9506753181834412</v>
      </c>
      <c r="D94" s="52">
        <v>0.9559967151069376</v>
      </c>
    </row>
    <row r="95">
      <c r="B95" s="63" t="s">
        <v>117</v>
      </c>
      <c r="C95" s="52">
        <v>0.8438533223836898</v>
      </c>
      <c r="D95" s="52">
        <v>0.8</v>
      </c>
    </row>
    <row r="98">
      <c r="B98" s="64" t="s">
        <v>118</v>
      </c>
      <c r="C98" s="65"/>
      <c r="D98" s="65"/>
      <c r="E98" s="65"/>
      <c r="F98" s="65"/>
    </row>
    <row r="99">
      <c r="B99" s="63" t="s">
        <v>111</v>
      </c>
      <c r="C99" s="63" t="s">
        <v>119</v>
      </c>
      <c r="D99" s="63" t="s">
        <v>120</v>
      </c>
      <c r="E99" s="63" t="s">
        <v>121</v>
      </c>
      <c r="F99" s="63" t="s">
        <v>122</v>
      </c>
    </row>
    <row r="100">
      <c r="B100" s="63" t="s">
        <v>123</v>
      </c>
      <c r="C100" s="66">
        <v>0.89</v>
      </c>
      <c r="D100" s="66">
        <v>0.9</v>
      </c>
      <c r="E100" s="66">
        <v>1.0</v>
      </c>
      <c r="F100" s="66">
        <v>0.87</v>
      </c>
    </row>
    <row r="103">
      <c r="B103" s="64" t="s">
        <v>124</v>
      </c>
      <c r="C103" s="65"/>
      <c r="D103" s="65"/>
      <c r="E103" s="65"/>
      <c r="F103" s="65"/>
    </row>
    <row r="104">
      <c r="B104" s="67" t="s">
        <v>125</v>
      </c>
      <c r="C104" s="67">
        <v>1.0</v>
      </c>
      <c r="D104" s="67">
        <v>2.0</v>
      </c>
      <c r="E104" s="67">
        <v>3.0</v>
      </c>
      <c r="F104" s="67">
        <v>4.0</v>
      </c>
    </row>
    <row r="105">
      <c r="B105" s="67" t="s">
        <v>114</v>
      </c>
      <c r="C105" s="67">
        <v>0.9</v>
      </c>
      <c r="D105" s="67">
        <v>0.99</v>
      </c>
      <c r="E105" s="67">
        <v>0.91</v>
      </c>
      <c r="F105" s="67">
        <v>0.8</v>
      </c>
    </row>
    <row r="108">
      <c r="B108" s="64" t="s">
        <v>126</v>
      </c>
      <c r="C108" s="65"/>
    </row>
    <row r="109">
      <c r="B109" s="67" t="s">
        <v>127</v>
      </c>
      <c r="C109" s="67">
        <v>1.0</v>
      </c>
    </row>
    <row r="110">
      <c r="B110" s="67" t="s">
        <v>119</v>
      </c>
      <c r="C110" s="67">
        <v>0.8</v>
      </c>
    </row>
    <row r="114">
      <c r="A114" s="6" t="s">
        <v>128</v>
      </c>
    </row>
    <row r="116">
      <c r="A116" s="6" t="s">
        <v>129</v>
      </c>
      <c r="B116" s="6">
        <v>0.1</v>
      </c>
    </row>
    <row r="118">
      <c r="A118" s="6" t="s">
        <v>130</v>
      </c>
    </row>
    <row r="119">
      <c r="B119" s="6" t="s">
        <v>131</v>
      </c>
    </row>
    <row r="120">
      <c r="B120" s="6" t="s">
        <v>132</v>
      </c>
      <c r="E120" s="6" t="s">
        <v>133</v>
      </c>
    </row>
    <row r="128">
      <c r="B128" s="6" t="s">
        <v>134</v>
      </c>
    </row>
    <row r="130">
      <c r="B130" s="67" t="s">
        <v>135</v>
      </c>
      <c r="C130" s="40">
        <f t="shared" ref="C130:C133" si="1"> C105+($C$81*C92)+($D$81*D92)</f>
        <v>2.325356181</v>
      </c>
    </row>
    <row r="131">
      <c r="B131" s="67" t="s">
        <v>136</v>
      </c>
      <c r="C131" s="40">
        <f t="shared" si="1"/>
        <v>1.512057146</v>
      </c>
    </row>
    <row r="132">
      <c r="B132" s="67" t="s">
        <v>137</v>
      </c>
      <c r="C132" s="40">
        <f t="shared" si="1"/>
        <v>1.609460092</v>
      </c>
    </row>
    <row r="133">
      <c r="B133" s="67" t="s">
        <v>138</v>
      </c>
      <c r="C133" s="40">
        <f t="shared" si="1"/>
        <v>1.388078698</v>
      </c>
    </row>
    <row r="136">
      <c r="B136" s="6" t="s">
        <v>139</v>
      </c>
    </row>
    <row r="138">
      <c r="B138" s="67" t="s">
        <v>112</v>
      </c>
      <c r="C138" s="40">
        <f t="shared" ref="C138:C141" si="2">1/(1+EXP(-(C130)))</f>
        <v>0.9109553684</v>
      </c>
    </row>
    <row r="139">
      <c r="B139" s="67" t="s">
        <v>113</v>
      </c>
      <c r="C139" s="40">
        <f t="shared" si="2"/>
        <v>0.8193658758</v>
      </c>
    </row>
    <row r="140">
      <c r="B140" s="67" t="s">
        <v>140</v>
      </c>
      <c r="C140" s="40">
        <f t="shared" si="2"/>
        <v>0.8333364139</v>
      </c>
    </row>
    <row r="141">
      <c r="B141" s="67" t="s">
        <v>141</v>
      </c>
      <c r="C141" s="40">
        <f t="shared" si="2"/>
        <v>0.8002853411</v>
      </c>
    </row>
    <row r="144">
      <c r="B144" s="6" t="s">
        <v>142</v>
      </c>
    </row>
    <row r="146">
      <c r="B146" s="6" t="s">
        <v>143</v>
      </c>
      <c r="E146" s="6" t="s">
        <v>144</v>
      </c>
    </row>
    <row r="151">
      <c r="B151" s="6" t="s">
        <v>145</v>
      </c>
    </row>
    <row r="152">
      <c r="B152" s="67" t="s">
        <v>146</v>
      </c>
      <c r="C152" s="40">
        <f>C110+((C138*C100)+(C139*D100)+(C140*E100)+(C141*F100))</f>
        <v>3.877764227</v>
      </c>
    </row>
    <row r="155">
      <c r="B155" s="6" t="s">
        <v>147</v>
      </c>
    </row>
    <row r="156">
      <c r="B156" s="67" t="s">
        <v>148</v>
      </c>
      <c r="C156" s="40">
        <f>1*(1+EXP(-(C152)))</f>
        <v>1.020697047</v>
      </c>
    </row>
    <row r="159">
      <c r="B159" s="6" t="s">
        <v>149</v>
      </c>
    </row>
    <row r="160">
      <c r="B160" s="6" t="s">
        <v>150</v>
      </c>
    </row>
    <row r="162">
      <c r="B162" s="6" t="s">
        <v>151</v>
      </c>
      <c r="D162" s="68">
        <f>E81-C156</f>
        <v>-0.1322185177</v>
      </c>
    </row>
    <row r="163">
      <c r="B163" s="6" t="s">
        <v>152</v>
      </c>
      <c r="D163" s="1">
        <f>(E81-C156)*(E81-C156)</f>
        <v>0.01748173642</v>
      </c>
    </row>
    <row r="164">
      <c r="B164" s="6" t="s">
        <v>153</v>
      </c>
      <c r="D164" s="1">
        <f>(D162)*(C156)*(1-C156)</f>
        <v>0.002793171079</v>
      </c>
    </row>
    <row r="166">
      <c r="B166" s="6" t="s">
        <v>154</v>
      </c>
    </row>
    <row r="168">
      <c r="B168" s="67" t="s">
        <v>155</v>
      </c>
      <c r="C168" s="40">
        <f>(0.1)*(D164)</f>
        <v>0.0002793171079</v>
      </c>
    </row>
    <row r="169">
      <c r="B169" s="67" t="s">
        <v>156</v>
      </c>
      <c r="C169" s="40">
        <f>(0.1)*(D164)*(C138)</f>
        <v>0.0002544454189</v>
      </c>
    </row>
    <row r="170">
      <c r="B170" s="67" t="s">
        <v>157</v>
      </c>
      <c r="C170" s="40">
        <f>(0.1)*(D164)*(C139)</f>
        <v>0.0002288629067</v>
      </c>
    </row>
    <row r="171">
      <c r="B171" s="67" t="s">
        <v>158</v>
      </c>
      <c r="C171" s="40">
        <f>(0.1)*(D164)*(C140)</f>
        <v>0.000232765117</v>
      </c>
    </row>
    <row r="172">
      <c r="B172" s="67" t="s">
        <v>159</v>
      </c>
      <c r="C172" s="40">
        <f>(0.1)*(D164)*(C141)</f>
        <v>0.000223533387</v>
      </c>
    </row>
    <row r="175">
      <c r="B175" s="6" t="s">
        <v>160</v>
      </c>
    </row>
    <row r="176">
      <c r="B176" s="67" t="s">
        <v>161</v>
      </c>
      <c r="C176" s="40">
        <f>(D164)*(C100)</f>
        <v>0.00248592226</v>
      </c>
    </row>
    <row r="177">
      <c r="B177" s="67" t="s">
        <v>162</v>
      </c>
      <c r="C177" s="40">
        <f>(D164)*(D100)</f>
        <v>0.002513853971</v>
      </c>
    </row>
    <row r="178">
      <c r="B178" s="67" t="s">
        <v>163</v>
      </c>
      <c r="C178" s="40">
        <f>(D164)*(E100)</f>
        <v>0.002793171079</v>
      </c>
    </row>
    <row r="179">
      <c r="B179" s="67" t="s">
        <v>164</v>
      </c>
      <c r="C179" s="40">
        <f>(D164)*(F100)</f>
        <v>0.002430058839</v>
      </c>
    </row>
    <row r="182">
      <c r="B182" s="67" t="s">
        <v>165</v>
      </c>
      <c r="C182" s="40">
        <f t="shared" ref="C182:C185" si="3">C176*C138*(1-(C138))</f>
        <v>0.0002016472876</v>
      </c>
    </row>
    <row r="183">
      <c r="B183" s="67" t="s">
        <v>166</v>
      </c>
      <c r="C183" s="40">
        <f t="shared" si="3"/>
        <v>0.0003720640566</v>
      </c>
    </row>
    <row r="184">
      <c r="B184" s="67" t="s">
        <v>167</v>
      </c>
      <c r="C184" s="40">
        <f t="shared" si="3"/>
        <v>0.0003879346914</v>
      </c>
    </row>
    <row r="185">
      <c r="B185" s="67" t="s">
        <v>168</v>
      </c>
      <c r="C185" s="40">
        <f t="shared" si="3"/>
        <v>0.000388393179</v>
      </c>
    </row>
    <row r="188">
      <c r="B188" s="6" t="s">
        <v>169</v>
      </c>
    </row>
    <row r="189">
      <c r="B189" s="40"/>
      <c r="C189" s="67" t="s">
        <v>170</v>
      </c>
      <c r="D189" s="67" t="s">
        <v>171</v>
      </c>
      <c r="E189" s="67" t="s">
        <v>172</v>
      </c>
      <c r="F189" s="67" t="s">
        <v>173</v>
      </c>
    </row>
    <row r="190">
      <c r="B190" s="67">
        <v>1.0</v>
      </c>
      <c r="C190" s="40">
        <f>0.1*C182*C81</f>
        <v>0.00001721729061</v>
      </c>
      <c r="D190" s="40">
        <f>0.1*C183*C81</f>
        <v>0.00003176801963</v>
      </c>
      <c r="E190" s="40">
        <f>0.1*C184*C81</f>
        <v>0.00003312310521</v>
      </c>
      <c r="F190" s="40">
        <f>0.1*C185*C81</f>
        <v>0.00003316225235</v>
      </c>
    </row>
    <row r="191">
      <c r="B191" s="67">
        <v>2.0</v>
      </c>
      <c r="C191" s="40">
        <f>0.1*C182*D81</f>
        <v>0.00001682670319</v>
      </c>
      <c r="D191" s="40">
        <f>0.1*C183*D81</f>
        <v>0.00003104733777</v>
      </c>
      <c r="E191" s="40">
        <f>0.1*C184*D81</f>
        <v>0.00003237168219</v>
      </c>
      <c r="F191" s="40">
        <f>0.1*C185*D81</f>
        <v>0.00003240994125</v>
      </c>
    </row>
    <row r="194">
      <c r="B194" s="6" t="s">
        <v>174</v>
      </c>
    </row>
    <row r="195">
      <c r="B195" s="40"/>
      <c r="C195" s="67" t="s">
        <v>170</v>
      </c>
    </row>
    <row r="196">
      <c r="B196" s="67">
        <v>1.0</v>
      </c>
      <c r="C196" s="40">
        <f t="shared" ref="C196:C199" si="4">0.1*(C182)</f>
        <v>0.00002016472876</v>
      </c>
    </row>
    <row r="197">
      <c r="B197" s="67">
        <v>2.0</v>
      </c>
      <c r="C197" s="40">
        <f t="shared" si="4"/>
        <v>0.00003720640566</v>
      </c>
    </row>
    <row r="198">
      <c r="B198" s="67">
        <v>3.0</v>
      </c>
      <c r="C198" s="40">
        <f t="shared" si="4"/>
        <v>0.00003879346914</v>
      </c>
    </row>
    <row r="199">
      <c r="B199" s="67">
        <v>4.0</v>
      </c>
      <c r="C199" s="40">
        <f t="shared" si="4"/>
        <v>0.0000388393179</v>
      </c>
    </row>
    <row r="202">
      <c r="B202" s="6" t="s">
        <v>175</v>
      </c>
    </row>
    <row r="203">
      <c r="B203" s="6" t="s">
        <v>176</v>
      </c>
    </row>
    <row r="204">
      <c r="B204" s="40"/>
      <c r="C204" s="67" t="s">
        <v>112</v>
      </c>
      <c r="D204" s="67" t="s">
        <v>113</v>
      </c>
    </row>
    <row r="205">
      <c r="B205" s="67" t="s">
        <v>177</v>
      </c>
      <c r="C205" s="40">
        <f>C105+C190</f>
        <v>0.9000172173</v>
      </c>
      <c r="D205" s="40">
        <f>C105+C191</f>
        <v>0.9000168267</v>
      </c>
    </row>
    <row r="206">
      <c r="B206" s="67" t="s">
        <v>178</v>
      </c>
      <c r="C206" s="40">
        <f>D105+D190</f>
        <v>0.990031768</v>
      </c>
      <c r="D206" s="40">
        <f>D105+D191</f>
        <v>0.9900310473</v>
      </c>
    </row>
    <row r="207">
      <c r="B207" s="67" t="s">
        <v>179</v>
      </c>
      <c r="C207" s="40">
        <f>E105+E190</f>
        <v>0.9100331231</v>
      </c>
      <c r="D207" s="40">
        <f>E105+E191</f>
        <v>0.9100323717</v>
      </c>
    </row>
    <row r="208">
      <c r="B208" s="67" t="s">
        <v>180</v>
      </c>
      <c r="C208" s="40">
        <f>F105+F190</f>
        <v>0.8000331623</v>
      </c>
      <c r="D208" s="40">
        <f>E105+F191</f>
        <v>0.9100324099</v>
      </c>
    </row>
    <row r="211">
      <c r="B211" s="6" t="s">
        <v>181</v>
      </c>
    </row>
    <row r="212">
      <c r="B212" s="40"/>
      <c r="C212" s="67" t="s">
        <v>119</v>
      </c>
      <c r="D212" s="67" t="s">
        <v>120</v>
      </c>
      <c r="E212" s="67" t="s">
        <v>121</v>
      </c>
      <c r="F212" s="67" t="s">
        <v>122</v>
      </c>
    </row>
    <row r="213">
      <c r="B213" s="67" t="s">
        <v>182</v>
      </c>
      <c r="C213" s="40">
        <f>C110+C169</f>
        <v>0.8002544454</v>
      </c>
      <c r="D213" s="40">
        <f>C110+C170</f>
        <v>0.8002288629</v>
      </c>
      <c r="E213" s="40">
        <f>C110+C171</f>
        <v>0.8002327651</v>
      </c>
      <c r="F213" s="40">
        <f>C110+C172</f>
        <v>0.8002235334</v>
      </c>
    </row>
    <row r="216">
      <c r="B216" s="6" t="s">
        <v>183</v>
      </c>
    </row>
    <row r="217">
      <c r="B217" s="40"/>
      <c r="C217" s="67" t="s">
        <v>119</v>
      </c>
      <c r="D217" s="67" t="s">
        <v>120</v>
      </c>
      <c r="E217" s="67" t="s">
        <v>121</v>
      </c>
      <c r="F217" s="67" t="s">
        <v>122</v>
      </c>
    </row>
    <row r="218">
      <c r="B218" s="67" t="s">
        <v>114</v>
      </c>
      <c r="C218" s="40">
        <f>C105+C196</f>
        <v>0.9000201647</v>
      </c>
      <c r="D218" s="40">
        <f>D105+C197</f>
        <v>0.9900372064</v>
      </c>
      <c r="E218" s="40">
        <f>E105+C198</f>
        <v>0.9100387935</v>
      </c>
      <c r="F218" s="40">
        <f>F105+C199</f>
        <v>0.8000388393</v>
      </c>
    </row>
    <row r="219">
      <c r="B219" s="6"/>
    </row>
    <row r="220">
      <c r="B220" s="67" t="s">
        <v>184</v>
      </c>
      <c r="C220" s="40"/>
    </row>
    <row r="221">
      <c r="B221" s="67" t="s">
        <v>185</v>
      </c>
      <c r="C221" s="40">
        <f>C110+C168</f>
        <v>0.8002793171</v>
      </c>
    </row>
    <row r="224">
      <c r="A224" s="6" t="s">
        <v>186</v>
      </c>
    </row>
    <row r="225">
      <c r="B225" s="6" t="s">
        <v>187</v>
      </c>
    </row>
    <row r="226">
      <c r="B226" s="67" t="s">
        <v>188</v>
      </c>
      <c r="C226" s="40"/>
      <c r="D226" s="40"/>
    </row>
    <row r="227">
      <c r="B227" s="67" t="s">
        <v>111</v>
      </c>
      <c r="C227" s="67" t="s">
        <v>112</v>
      </c>
      <c r="D227" s="67" t="s">
        <v>113</v>
      </c>
      <c r="H227" s="69" t="s">
        <v>90</v>
      </c>
      <c r="I227" s="69" t="s">
        <v>91</v>
      </c>
      <c r="J227" s="69" t="s">
        <v>92</v>
      </c>
      <c r="K227" s="69" t="s">
        <v>93</v>
      </c>
    </row>
    <row r="228">
      <c r="B228" s="67" t="s">
        <v>114</v>
      </c>
      <c r="C228" s="40">
        <v>0.9000172172906139</v>
      </c>
      <c r="D228" s="40">
        <v>0.900016826703188</v>
      </c>
      <c r="H228" s="70">
        <v>1.0</v>
      </c>
      <c r="I228" s="52">
        <v>0.853831996546318</v>
      </c>
      <c r="J228" s="52">
        <v>0.8344621636798593</v>
      </c>
      <c r="K228" s="52">
        <v>0.8884785297182198</v>
      </c>
    </row>
    <row r="229">
      <c r="B229" s="67" t="s">
        <v>115</v>
      </c>
      <c r="C229" s="40">
        <v>0.9900317680196278</v>
      </c>
      <c r="D229" s="40">
        <v>0.9900310473377686</v>
      </c>
      <c r="H229" s="70">
        <v>7.0</v>
      </c>
      <c r="I229" s="52">
        <v>1.1416989908367063</v>
      </c>
      <c r="J229" s="52">
        <v>1.0179838157343781</v>
      </c>
      <c r="K229" s="52">
        <v>1.5040006232208183</v>
      </c>
    </row>
    <row r="230">
      <c r="B230" s="67" t="s">
        <v>116</v>
      </c>
      <c r="C230" s="40">
        <v>0.9100331231052051</v>
      </c>
      <c r="D230" s="40">
        <v>0.9100323716821916</v>
      </c>
      <c r="H230" s="70">
        <v>8.0</v>
      </c>
      <c r="I230" s="52">
        <v>1.1722757622282742</v>
      </c>
      <c r="J230" s="52">
        <v>1.261135365509272</v>
      </c>
      <c r="K230" s="52">
        <v>1.40643280738257</v>
      </c>
    </row>
    <row r="231">
      <c r="B231" s="67" t="s">
        <v>117</v>
      </c>
      <c r="C231" s="40">
        <v>0.8000331622523472</v>
      </c>
      <c r="D231" s="40">
        <v>0.9100324099412508</v>
      </c>
      <c r="H231" s="70">
        <v>9.0</v>
      </c>
      <c r="I231" s="52">
        <v>1.6</v>
      </c>
      <c r="J231" s="52">
        <v>1.128088107843169</v>
      </c>
      <c r="K231" s="52">
        <v>0.8</v>
      </c>
    </row>
    <row r="233">
      <c r="B233" s="40"/>
      <c r="C233" s="67" t="s">
        <v>189</v>
      </c>
      <c r="D233" s="40"/>
      <c r="E233" s="40"/>
      <c r="F233" s="40"/>
    </row>
    <row r="234">
      <c r="B234" s="67" t="s">
        <v>111</v>
      </c>
      <c r="C234" s="67" t="s">
        <v>119</v>
      </c>
      <c r="D234" s="67" t="s">
        <v>120</v>
      </c>
      <c r="E234" s="67" t="s">
        <v>121</v>
      </c>
      <c r="F234" s="67" t="s">
        <v>122</v>
      </c>
    </row>
    <row r="235">
      <c r="B235" s="67" t="s">
        <v>182</v>
      </c>
      <c r="C235" s="40">
        <v>0.8002544454189322</v>
      </c>
      <c r="D235" s="40">
        <v>0.8002288629067434</v>
      </c>
      <c r="E235" s="40">
        <v>0.8002327651170414</v>
      </c>
      <c r="F235" s="40">
        <v>0.8002235333869804</v>
      </c>
    </row>
    <row r="237">
      <c r="B237" s="40"/>
      <c r="C237" s="67" t="s">
        <v>190</v>
      </c>
      <c r="D237" s="40"/>
      <c r="E237" s="40"/>
      <c r="F237" s="40"/>
    </row>
    <row r="238">
      <c r="B238" s="67" t="s">
        <v>127</v>
      </c>
      <c r="C238" s="67" t="s">
        <v>119</v>
      </c>
      <c r="D238" s="67" t="s">
        <v>120</v>
      </c>
      <c r="E238" s="67" t="s">
        <v>121</v>
      </c>
      <c r="F238" s="67" t="s">
        <v>122</v>
      </c>
    </row>
    <row r="239">
      <c r="B239" s="67" t="s">
        <v>114</v>
      </c>
      <c r="C239" s="40">
        <v>0.9000201647287563</v>
      </c>
      <c r="D239" s="40">
        <v>0.9900372064056586</v>
      </c>
      <c r="E239" s="40">
        <v>0.9100387934691357</v>
      </c>
      <c r="F239" s="40">
        <v>0.8000388393179002</v>
      </c>
    </row>
    <row r="242">
      <c r="B242" s="67" t="s">
        <v>191</v>
      </c>
      <c r="C242" s="40"/>
    </row>
    <row r="243">
      <c r="B243" s="67" t="s">
        <v>185</v>
      </c>
      <c r="C243" s="40">
        <v>0.800279317107919</v>
      </c>
    </row>
    <row r="246">
      <c r="B246" s="6" t="s">
        <v>192</v>
      </c>
    </row>
    <row r="248">
      <c r="B248" s="6" t="s">
        <v>193</v>
      </c>
      <c r="H248" s="6" t="s">
        <v>194</v>
      </c>
      <c r="N248" s="6" t="s">
        <v>195</v>
      </c>
    </row>
    <row r="249">
      <c r="B249" s="71" t="s">
        <v>196</v>
      </c>
      <c r="C249" s="71" t="s">
        <v>91</v>
      </c>
      <c r="D249" s="71" t="s">
        <v>92</v>
      </c>
      <c r="E249" s="72" t="s">
        <v>93</v>
      </c>
      <c r="H249" s="71" t="s">
        <v>196</v>
      </c>
      <c r="I249" s="71" t="s">
        <v>91</v>
      </c>
      <c r="J249" s="71" t="s">
        <v>92</v>
      </c>
      <c r="K249" s="72" t="s">
        <v>93</v>
      </c>
      <c r="N249" s="71" t="s">
        <v>196</v>
      </c>
      <c r="O249" s="71" t="s">
        <v>91</v>
      </c>
      <c r="P249" s="71" t="s">
        <v>92</v>
      </c>
      <c r="Q249" s="72" t="s">
        <v>93</v>
      </c>
    </row>
    <row r="250">
      <c r="B250" s="63">
        <v>7.0</v>
      </c>
      <c r="C250" s="52">
        <v>1.1416989908367063</v>
      </c>
      <c r="D250" s="52">
        <v>1.0179838157343781</v>
      </c>
      <c r="E250" s="52">
        <v>1.5040006232208183</v>
      </c>
      <c r="H250" s="63">
        <v>8.0</v>
      </c>
      <c r="I250" s="52">
        <v>1.1722757622282742</v>
      </c>
      <c r="J250" s="52">
        <v>1.261135365509272</v>
      </c>
      <c r="K250" s="52">
        <v>1.40643280738257</v>
      </c>
      <c r="N250" s="63">
        <v>9.0</v>
      </c>
      <c r="O250" s="52">
        <v>1.6</v>
      </c>
      <c r="P250" s="52">
        <v>1.128088107843169</v>
      </c>
      <c r="Q250" s="52">
        <v>0.8</v>
      </c>
    </row>
    <row r="252">
      <c r="B252" s="6" t="s">
        <v>197</v>
      </c>
      <c r="H252" s="6" t="s">
        <v>197</v>
      </c>
      <c r="N252" s="6" t="s">
        <v>197</v>
      </c>
    </row>
    <row r="254">
      <c r="B254" s="67" t="s">
        <v>198</v>
      </c>
      <c r="C254" s="40">
        <f>C239+(C250*C228)+(D250*D228)</f>
        <v>2.843771477</v>
      </c>
      <c r="H254" s="67" t="s">
        <v>198</v>
      </c>
      <c r="I254" s="40">
        <f>C239+(I250*C228)+(J250*D228)</f>
        <v>3.090131584</v>
      </c>
      <c r="N254" s="67" t="s">
        <v>198</v>
      </c>
      <c r="O254" s="40">
        <f>C239+(O250*C228)+(P250*D228)</f>
        <v>3.355345991</v>
      </c>
    </row>
    <row r="255">
      <c r="B255" s="67" t="s">
        <v>199</v>
      </c>
      <c r="C255" s="40">
        <f>$D$239+($C$250*C229)+($D$250*D229)</f>
        <v>3.12819106</v>
      </c>
      <c r="H255" s="67" t="s">
        <v>199</v>
      </c>
      <c r="I255" s="40">
        <f>D239+(I250*C229)+(J250*D229)</f>
        <v>3.399190619</v>
      </c>
      <c r="N255" s="67" t="s">
        <v>199</v>
      </c>
      <c r="O255" s="40">
        <f>D239+(O250*C229)+(P250*D229)</f>
        <v>3.690930286</v>
      </c>
    </row>
    <row r="256">
      <c r="B256" s="67" t="s">
        <v>200</v>
      </c>
      <c r="C256" s="40">
        <f>$E$239+($C$250*C230)+($D$250*D230)</f>
        <v>2.875420918</v>
      </c>
      <c r="H256" s="67" t="s">
        <v>200</v>
      </c>
      <c r="I256" s="40">
        <f>E239+(I250*C230)+(J250*D230)</f>
        <v>3.124522574</v>
      </c>
      <c r="N256" s="67" t="s">
        <v>200</v>
      </c>
      <c r="O256" s="40">
        <f>E239+(O250*C230)+(P250*D230)</f>
        <v>3.392688487</v>
      </c>
    </row>
    <row r="257">
      <c r="B257" s="67" t="s">
        <v>201</v>
      </c>
      <c r="C257" s="40">
        <f>$F$239+($C$250*C231)+($D$250*D231)</f>
        <v>2.639834158</v>
      </c>
      <c r="H257" s="67" t="s">
        <v>201</v>
      </c>
      <c r="I257" s="40">
        <f>F239+(I250*C231)+(J250*D231)</f>
        <v>2.88557238</v>
      </c>
      <c r="N257" s="67" t="s">
        <v>201</v>
      </c>
      <c r="O257" s="40">
        <f>F239+(O250*C231)+(P250*D231)</f>
        <v>3.106688638</v>
      </c>
    </row>
    <row r="259">
      <c r="B259" s="6" t="s">
        <v>202</v>
      </c>
      <c r="H259" s="6" t="s">
        <v>202</v>
      </c>
      <c r="N259" s="6" t="s">
        <v>202</v>
      </c>
    </row>
    <row r="261">
      <c r="B261" s="67" t="s">
        <v>112</v>
      </c>
      <c r="C261" s="40">
        <f t="shared" ref="C261:C264" si="5">1/(1+EXP(-(C254)))</f>
        <v>0.9449958281</v>
      </c>
      <c r="H261" s="67" t="s">
        <v>112</v>
      </c>
      <c r="I261" s="40">
        <f t="shared" ref="I261:I264" si="6">1/(1+EXP(-(I254)))</f>
        <v>0.9564838422</v>
      </c>
      <c r="N261" s="67" t="s">
        <v>112</v>
      </c>
      <c r="O261" s="40">
        <f t="shared" ref="O261:O264" si="7">1/(1+EXP(-(O254)))</f>
        <v>0.9662794616</v>
      </c>
    </row>
    <row r="262">
      <c r="B262" s="67" t="s">
        <v>113</v>
      </c>
      <c r="C262" s="40">
        <f t="shared" si="5"/>
        <v>0.9580407362</v>
      </c>
      <c r="H262" s="67" t="s">
        <v>113</v>
      </c>
      <c r="I262" s="40">
        <f t="shared" si="6"/>
        <v>0.9676792306</v>
      </c>
      <c r="N262" s="67" t="s">
        <v>113</v>
      </c>
      <c r="O262" s="40">
        <f t="shared" si="7"/>
        <v>0.9756585088</v>
      </c>
    </row>
    <row r="263">
      <c r="B263" s="67" t="s">
        <v>140</v>
      </c>
      <c r="C263" s="40">
        <f t="shared" si="5"/>
        <v>0.9466179442</v>
      </c>
      <c r="H263" s="67" t="s">
        <v>140</v>
      </c>
      <c r="I263" s="40">
        <f t="shared" si="6"/>
        <v>0.9578930198</v>
      </c>
      <c r="N263" s="67" t="s">
        <v>140</v>
      </c>
      <c r="O263" s="40">
        <f t="shared" si="7"/>
        <v>0.9674752494</v>
      </c>
    </row>
    <row r="264">
      <c r="B264" s="67" t="s">
        <v>141</v>
      </c>
      <c r="C264" s="40">
        <f t="shared" si="5"/>
        <v>0.9333816531</v>
      </c>
      <c r="H264" s="67" t="s">
        <v>141</v>
      </c>
      <c r="I264" s="40">
        <f t="shared" si="6"/>
        <v>0.9471286025</v>
      </c>
      <c r="N264" s="67" t="s">
        <v>141</v>
      </c>
      <c r="O264" s="40">
        <f t="shared" si="7"/>
        <v>0.9571678032</v>
      </c>
    </row>
    <row r="266">
      <c r="B266" s="6" t="s">
        <v>203</v>
      </c>
      <c r="H266" s="6" t="s">
        <v>203</v>
      </c>
      <c r="N266" s="6" t="s">
        <v>203</v>
      </c>
    </row>
    <row r="267">
      <c r="B267" s="67" t="s">
        <v>204</v>
      </c>
      <c r="C267" s="40">
        <f>C243+(C261*C235)+(C262*D235)+(C263*E235)+(C264*F235)</f>
        <v>3.827596938</v>
      </c>
      <c r="H267" s="67" t="s">
        <v>204</v>
      </c>
      <c r="I267" s="40">
        <f>C243+(I261*C235)+(I262*D235)+(I263*E235)+(I264*F235)</f>
        <v>3.864526591</v>
      </c>
      <c r="N267" s="67" t="s">
        <v>204</v>
      </c>
      <c r="O267" s="40">
        <f>C243+(O261*C235)+(O262*D235)+(O263*E235)+(O264*F235)</f>
        <v>3.894452446</v>
      </c>
    </row>
    <row r="269">
      <c r="B269" s="6" t="s">
        <v>202</v>
      </c>
      <c r="H269" s="6" t="s">
        <v>202</v>
      </c>
      <c r="N269" s="6" t="s">
        <v>202</v>
      </c>
    </row>
    <row r="270">
      <c r="B270" s="67" t="s">
        <v>148</v>
      </c>
      <c r="C270" s="40">
        <f>1/1+EXP(-(C267))</f>
        <v>1.021761848</v>
      </c>
      <c r="H270" s="67" t="s">
        <v>148</v>
      </c>
      <c r="I270" s="40">
        <f>1/1+EXP(-(I267))</f>
        <v>1.020972849</v>
      </c>
      <c r="N270" s="67" t="s">
        <v>148</v>
      </c>
      <c r="O270" s="40">
        <f>1/1+EXP(-(O267))</f>
        <v>1.020354517</v>
      </c>
    </row>
    <row r="272">
      <c r="B272" s="6" t="s">
        <v>205</v>
      </c>
      <c r="H272" s="6" t="s">
        <v>205</v>
      </c>
      <c r="N272" s="6" t="s">
        <v>205</v>
      </c>
    </row>
    <row r="273">
      <c r="B273" s="67" t="s">
        <v>206</v>
      </c>
      <c r="C273" s="40">
        <f>(C270-0.1)*(C69-C70)/(0.8)+C70</f>
        <v>2666482.124</v>
      </c>
      <c r="H273" s="67" t="s">
        <v>206</v>
      </c>
      <c r="I273" s="40">
        <f>(I270-0.1)*(C69-C70)/(0.8)+C70</f>
        <v>2665266.762</v>
      </c>
      <c r="N273" s="67" t="s">
        <v>206</v>
      </c>
      <c r="O273" s="40">
        <f>(O270-0.1)*(C69-C70)/(0.8)+C70</f>
        <v>2664314.292</v>
      </c>
    </row>
    <row r="277">
      <c r="A277" s="67" t="s">
        <v>207</v>
      </c>
      <c r="B277" s="40"/>
      <c r="C277" s="40"/>
      <c r="D277" s="40"/>
      <c r="E277" s="40"/>
      <c r="F277" s="40"/>
      <c r="G277" s="40"/>
      <c r="H277" s="40"/>
    </row>
    <row r="278">
      <c r="A278" s="67" t="s">
        <v>196</v>
      </c>
      <c r="B278" s="67" t="s">
        <v>208</v>
      </c>
      <c r="C278" s="67" t="s">
        <v>109</v>
      </c>
      <c r="D278" s="67" t="s">
        <v>209</v>
      </c>
      <c r="E278" s="67" t="s">
        <v>210</v>
      </c>
      <c r="F278" s="67" t="s">
        <v>211</v>
      </c>
      <c r="G278" s="67" t="s">
        <v>212</v>
      </c>
      <c r="H278" s="67" t="s">
        <v>213</v>
      </c>
    </row>
    <row r="279">
      <c r="A279" s="67">
        <v>7.0</v>
      </c>
      <c r="B279" s="73">
        <v>1.5040006232208183</v>
      </c>
      <c r="C279" s="73">
        <v>1.0217618479212114</v>
      </c>
      <c r="D279" s="73">
        <f t="shared" ref="D279:D281" si="8">B279-C279</f>
        <v>0.4822387753</v>
      </c>
      <c r="E279" s="40">
        <v>2666482.1241101148</v>
      </c>
      <c r="F279" s="73">
        <v>1.5040006232208183</v>
      </c>
      <c r="G279" s="74">
        <f t="shared" ref="G279:G281" si="9">E279-F279</f>
        <v>2666480.62</v>
      </c>
      <c r="H279" s="75">
        <f t="shared" ref="H279:H281" si="10">F279/E279</f>
        <v>0.0000005640392672</v>
      </c>
    </row>
    <row r="280">
      <c r="A280" s="67">
        <v>8.0</v>
      </c>
      <c r="B280" s="73">
        <v>1.40643280738257</v>
      </c>
      <c r="C280" s="73">
        <v>1.0209728488246188</v>
      </c>
      <c r="D280" s="73">
        <f t="shared" si="8"/>
        <v>0.3854599586</v>
      </c>
      <c r="E280" s="40">
        <v>2665266.7617367106</v>
      </c>
      <c r="F280" s="73">
        <v>1.40643280738257</v>
      </c>
      <c r="G280" s="74">
        <f t="shared" si="9"/>
        <v>2665265.355</v>
      </c>
      <c r="H280" s="75">
        <f t="shared" si="10"/>
        <v>0.0000005276893208</v>
      </c>
    </row>
    <row r="281">
      <c r="A281" s="67">
        <v>9.0</v>
      </c>
      <c r="B281" s="73">
        <v>0.8</v>
      </c>
      <c r="C281" s="73">
        <v>1.0203545165859815</v>
      </c>
      <c r="D281" s="73">
        <f t="shared" si="8"/>
        <v>-0.2203545166</v>
      </c>
      <c r="E281" s="40">
        <v>2664314.2920312975</v>
      </c>
      <c r="F281" s="40"/>
      <c r="G281" s="74">
        <f t="shared" si="9"/>
        <v>2664314.292</v>
      </c>
      <c r="H281" s="40">
        <f t="shared" si="10"/>
        <v>0</v>
      </c>
    </row>
    <row r="282">
      <c r="A282" s="40"/>
      <c r="B282" s="40"/>
      <c r="C282" s="67" t="s">
        <v>214</v>
      </c>
      <c r="D282" s="73">
        <f>((D279^2)+(D280^2)+(D281^2))</f>
        <v>0.429689729</v>
      </c>
      <c r="E282" s="40"/>
      <c r="F282" s="40"/>
      <c r="G282" s="40"/>
      <c r="H282" s="40"/>
    </row>
    <row r="286">
      <c r="A286" s="76" t="s">
        <v>215</v>
      </c>
    </row>
    <row r="287">
      <c r="A287" s="77" t="s">
        <v>196</v>
      </c>
      <c r="B287" s="77" t="s">
        <v>208</v>
      </c>
      <c r="C287" s="77" t="s">
        <v>109</v>
      </c>
      <c r="D287" s="77" t="s">
        <v>209</v>
      </c>
      <c r="E287" s="77" t="s">
        <v>210</v>
      </c>
      <c r="F287" s="77" t="s">
        <v>211</v>
      </c>
      <c r="G287" s="77" t="s">
        <v>212</v>
      </c>
      <c r="H287" s="77" t="s">
        <v>213</v>
      </c>
    </row>
    <row r="288">
      <c r="A288" s="43">
        <v>7.0</v>
      </c>
      <c r="B288" s="73">
        <v>1.5040006232208183</v>
      </c>
      <c r="C288" s="78">
        <v>1.38</v>
      </c>
      <c r="D288" s="73">
        <f t="shared" ref="D288:D290" si="11">B288-C288</f>
        <v>0.1240006232</v>
      </c>
      <c r="E288" s="67">
        <v>2.897</v>
      </c>
      <c r="F288" s="73">
        <v>1.5040006232208183</v>
      </c>
      <c r="G288" s="74">
        <f t="shared" ref="G288:G290" si="12">E288-F288</f>
        <v>1.392999377</v>
      </c>
      <c r="H288" s="79">
        <f t="shared" ref="H288:H290" si="13">F288/E288</f>
        <v>0.5191579645</v>
      </c>
    </row>
    <row r="289">
      <c r="A289" s="43">
        <v>8.0</v>
      </c>
      <c r="B289" s="73">
        <v>1.40643280738257</v>
      </c>
      <c r="C289" s="78">
        <v>1.29</v>
      </c>
      <c r="D289" s="73">
        <f t="shared" si="11"/>
        <v>0.1164328074</v>
      </c>
      <c r="E289" s="67">
        <v>3.178</v>
      </c>
      <c r="F289" s="73">
        <v>1.40643280738257</v>
      </c>
      <c r="G289" s="74">
        <f t="shared" si="12"/>
        <v>1.771567193</v>
      </c>
      <c r="H289" s="79">
        <f t="shared" si="13"/>
        <v>0.4425528028</v>
      </c>
    </row>
    <row r="290">
      <c r="A290" s="43">
        <v>9.0</v>
      </c>
      <c r="B290" s="73">
        <v>0.8</v>
      </c>
      <c r="C290" s="78">
        <v>0.5</v>
      </c>
      <c r="D290" s="73">
        <f t="shared" si="11"/>
        <v>0.3</v>
      </c>
      <c r="E290" s="67">
        <v>4.156</v>
      </c>
      <c r="F290" s="40"/>
      <c r="G290" s="74">
        <f t="shared" si="12"/>
        <v>4.156</v>
      </c>
      <c r="H290" s="80">
        <f t="shared" si="13"/>
        <v>0</v>
      </c>
    </row>
    <row r="291">
      <c r="A291" s="40"/>
      <c r="B291" s="40"/>
      <c r="C291" s="81" t="s">
        <v>214</v>
      </c>
      <c r="D291" s="82">
        <f>((D288^2)+(D289^2)+(D290^2))</f>
        <v>0.1189327532</v>
      </c>
      <c r="E291" s="40"/>
      <c r="F291" s="40"/>
      <c r="G291" s="40"/>
      <c r="H291" s="40"/>
    </row>
  </sheetData>
  <drawing r:id="rId1"/>
</worksheet>
</file>