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webextensions/webextension1.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Céleste\Downloads\"/>
    </mc:Choice>
  </mc:AlternateContent>
  <bookViews>
    <workbookView xWindow="0" yWindow="0" windowWidth="12585" windowHeight="11910" tabRatio="500"/>
  </bookViews>
  <sheets>
    <sheet name="Graphite Listings-8" sheetId="1" r:id="rId1"/>
    <sheet name="TreeMap" sheetId="2" r:id="rId2"/>
  </sheets>
  <definedNames>
    <definedName name="_xlchart.0" hidden="1">'Graphite Listings-8'!$A$2:$C$35</definedName>
    <definedName name="_xlchart.1" hidden="1">'Graphite Listings-8'!$D$1</definedName>
    <definedName name="_xlchart.10" hidden="1">'Graphite Listings-8'!$E$1</definedName>
    <definedName name="_xlchart.11" hidden="1">'Graphite Listings-8'!$E$2:$E$35</definedName>
    <definedName name="_xlchart.12" hidden="1">'Graphite Listings-8'!#REF!</definedName>
    <definedName name="_xlchart.13" hidden="1">'Graphite Listings-8'!#REF!</definedName>
    <definedName name="_xlchart.14" hidden="1">'Graphite Listings-8'!$A$2:$C$35</definedName>
    <definedName name="_xlchart.15" hidden="1">'Graphite Listings-8'!$D$1</definedName>
    <definedName name="_xlchart.16" hidden="1">'Graphite Listings-8'!$D$2:$D$35</definedName>
    <definedName name="_xlchart.17" hidden="1">'Graphite Listings-8'!$E$1</definedName>
    <definedName name="_xlchart.18" hidden="1">'Graphite Listings-8'!$E$2:$E$35</definedName>
    <definedName name="_xlchart.19" hidden="1">'Graphite Listings-8'!#REF!</definedName>
    <definedName name="_xlchart.2" hidden="1">'Graphite Listings-8'!$D$2:$D$35</definedName>
    <definedName name="_xlchart.20" hidden="1">'Graphite Listings-8'!#REF!</definedName>
    <definedName name="_xlchart.21" hidden="1">'Graphite Listings-8'!$A$2:$C$35</definedName>
    <definedName name="_xlchart.22" hidden="1">'Graphite Listings-8'!$A$2:$C$35</definedName>
    <definedName name="_xlchart.23" hidden="1">'Graphite Listings-8'!$A$2:$C$35</definedName>
    <definedName name="_xlchart.24" hidden="1">'Graphite Listings-8'!$D$1</definedName>
    <definedName name="_xlchart.25" hidden="1">'Graphite Listings-8'!$D$2:$D$35</definedName>
    <definedName name="_xlchart.26" hidden="1">'Graphite Listings-8'!$E$1</definedName>
    <definedName name="_xlchart.27" hidden="1">'Graphite Listings-8'!$E$2:$E$35</definedName>
    <definedName name="_xlchart.28" hidden="1">'Graphite Listings-8'!#REF!</definedName>
    <definedName name="_xlchart.29" hidden="1">'Graphite Listings-8'!#REF!</definedName>
    <definedName name="_xlchart.3" hidden="1">'Graphite Listings-8'!$E$1</definedName>
    <definedName name="_xlchart.30" hidden="1">'Graphite Listings-8'!$A$2:$C$35</definedName>
    <definedName name="_xlchart.31" hidden="1">'Graphite Listings-8'!$A$2:$C$35</definedName>
    <definedName name="_xlchart.32" hidden="1">'Graphite Listings-8'!$A$2:$C$35</definedName>
    <definedName name="_xlchart.33" hidden="1">'Graphite Listings-8'!$D$1</definedName>
    <definedName name="_xlchart.34" hidden="1">'Graphite Listings-8'!$D$2:$D$35</definedName>
    <definedName name="_xlchart.35" hidden="1">'Graphite Listings-8'!$E$1</definedName>
    <definedName name="_xlchart.36" hidden="1">'Graphite Listings-8'!$E$2:$E$35</definedName>
    <definedName name="_xlchart.37" hidden="1">'Graphite Listings-8'!#REF!</definedName>
    <definedName name="_xlchart.38" hidden="1">'Graphite Listings-8'!#REF!</definedName>
    <definedName name="_xlchart.4" hidden="1">'Graphite Listings-8'!$E$2:$E$35</definedName>
    <definedName name="_xlchart.5" hidden="1">'Graphite Listings-8'!#REF!</definedName>
    <definedName name="_xlchart.6" hidden="1">'Graphite Listings-8'!#REF!</definedName>
    <definedName name="_xlchart.7" hidden="1">'Graphite Listings-8'!$A$2:$C$35</definedName>
    <definedName name="_xlchart.8" hidden="1">'Graphite Listings-8'!$D$1</definedName>
    <definedName name="_xlchart.9" hidden="1">'Graphite Listings-8'!$D$2:$D$35</definedName>
  </definedNames>
  <calcPr calcId="152511" concurrentCalc="0"/>
</workbook>
</file>

<file path=xl/calcChain.xml><?xml version="1.0" encoding="utf-8"?>
<calcChain xmlns="http://schemas.openxmlformats.org/spreadsheetml/2006/main">
  <c r="G11" i="1" l="1"/>
  <c r="G10" i="1"/>
  <c r="G9" i="1"/>
  <c r="G8" i="1"/>
  <c r="G7" i="1"/>
  <c r="G6" i="1"/>
  <c r="G5" i="1"/>
  <c r="G4" i="1"/>
  <c r="G3" i="1"/>
  <c r="G2" i="1"/>
  <c r="G12" i="1"/>
  <c r="G13" i="1"/>
  <c r="G14" i="1"/>
  <c r="G15" i="1"/>
  <c r="G16" i="1"/>
  <c r="G17" i="1"/>
  <c r="G18" i="1"/>
  <c r="G19" i="1"/>
  <c r="G20" i="1"/>
  <c r="G21" i="1"/>
  <c r="G22" i="1"/>
  <c r="G23" i="1"/>
  <c r="G24" i="1"/>
  <c r="G25" i="1"/>
  <c r="G26" i="1"/>
  <c r="G27" i="1"/>
  <c r="G28" i="1"/>
  <c r="G29" i="1"/>
  <c r="G30" i="1"/>
  <c r="G31" i="1"/>
  <c r="G32" i="1"/>
  <c r="G33" i="1"/>
  <c r="M22" i="1"/>
  <c r="L22" i="1"/>
  <c r="L20" i="1"/>
  <c r="M19" i="1"/>
  <c r="L19" i="1"/>
  <c r="L37" i="1"/>
  <c r="L41" i="1"/>
  <c r="M41" i="1"/>
  <c r="L42" i="1"/>
  <c r="M42" i="1"/>
  <c r="K18" i="1"/>
  <c r="M15" i="1"/>
  <c r="L15" i="1"/>
  <c r="L3" i="1"/>
  <c r="M3" i="1"/>
  <c r="C21" i="2"/>
  <c r="C5" i="2"/>
  <c r="C4" i="2"/>
  <c r="M14" i="1"/>
  <c r="L14" i="1"/>
  <c r="M13" i="1"/>
  <c r="L13" i="1"/>
  <c r="H12" i="1"/>
  <c r="L12" i="1"/>
  <c r="M12" i="1"/>
  <c r="M10" i="1"/>
  <c r="L10" i="1"/>
  <c r="M5" i="1"/>
  <c r="L5" i="1"/>
  <c r="K4" i="1"/>
  <c r="K3" i="1"/>
  <c r="L2" i="1"/>
</calcChain>
</file>

<file path=xl/comments1.xml><?xml version="1.0" encoding="utf-8"?>
<comments xmlns="http://schemas.openxmlformats.org/spreadsheetml/2006/main">
  <authors>
    <author>Céleste Bouchard</author>
  </authors>
  <commentList>
    <comment ref="K2" authorId="0" shapeId="0">
      <text>
        <r>
          <rPr>
            <b/>
            <sz val="9"/>
            <color indexed="81"/>
            <rFont val="Tahoma"/>
            <family val="2"/>
          </rPr>
          <t>Céleste Bouchard:</t>
        </r>
        <r>
          <rPr>
            <sz val="9"/>
            <color indexed="81"/>
            <rFont val="Tahoma"/>
            <family val="2"/>
          </rPr>
          <t xml:space="preserve">
250,000 tpa mine and process plant</t>
        </r>
      </text>
    </comment>
    <comment ref="L2" authorId="0" shapeId="0">
      <text>
        <r>
          <rPr>
            <b/>
            <sz val="9"/>
            <color indexed="81"/>
            <rFont val="Tahoma"/>
            <family val="2"/>
          </rPr>
          <t>Céleste Bouchard:</t>
        </r>
        <r>
          <rPr>
            <sz val="9"/>
            <color indexed="81"/>
            <rFont val="Tahoma"/>
            <family val="2"/>
          </rPr>
          <t xml:space="preserve">
331,778 tonnes at Kookaburra Gully and Koppio Graphite contained 219,293 tonnes.  Current combined total is 497,890 tonnes </t>
        </r>
      </text>
    </comment>
    <comment ref="K4" authorId="0" shapeId="0">
      <text>
        <r>
          <rPr>
            <b/>
            <sz val="9"/>
            <color indexed="81"/>
            <rFont val="Tahoma"/>
            <family val="2"/>
          </rPr>
          <t>Céleste Bouchard:</t>
        </r>
        <r>
          <rPr>
            <sz val="9"/>
            <color indexed="81"/>
            <rFont val="Tahoma"/>
            <family val="2"/>
          </rPr>
          <t xml:space="preserve">
Has currently produced 250 tonnes of graphite since June 2015</t>
        </r>
      </text>
    </comment>
    <comment ref="H5" authorId="0" shapeId="0">
      <text>
        <r>
          <rPr>
            <b/>
            <sz val="9"/>
            <color indexed="81"/>
            <rFont val="Tahoma"/>
            <family val="2"/>
          </rPr>
          <t>Céleste Bouchard:</t>
        </r>
        <r>
          <rPr>
            <sz val="9"/>
            <color indexed="81"/>
            <rFont val="Tahoma"/>
            <family val="2"/>
          </rPr>
          <t xml:space="preserve">
PEA coming out at the end of the year
</t>
        </r>
      </text>
    </comment>
    <comment ref="K10" authorId="0" shapeId="0">
      <text>
        <r>
          <rPr>
            <b/>
            <sz val="9"/>
            <color indexed="81"/>
            <rFont val="Tahoma"/>
            <family val="2"/>
          </rPr>
          <t>Céleste Bouchard:</t>
        </r>
        <r>
          <rPr>
            <sz val="9"/>
            <color indexed="81"/>
            <rFont val="Tahoma"/>
            <family val="2"/>
          </rPr>
          <t xml:space="preserve">
Will ramp up to 7,500 tonnes in 2017. Based on the 2014 report, it is 4,000tpa</t>
        </r>
      </text>
    </comment>
    <comment ref="B11" authorId="0" shapeId="0">
      <text>
        <r>
          <rPr>
            <b/>
            <sz val="9"/>
            <color indexed="81"/>
            <rFont val="Tahoma"/>
            <family val="2"/>
          </rPr>
          <t>Céleste Bouchard:</t>
        </r>
        <r>
          <rPr>
            <sz val="9"/>
            <color indexed="81"/>
            <rFont val="Tahoma"/>
            <family val="2"/>
          </rPr>
          <t xml:space="preserve">
Formerly Elcora Resources</t>
        </r>
      </text>
    </comment>
    <comment ref="K11" authorId="0" shapeId="0">
      <text>
        <r>
          <rPr>
            <b/>
            <sz val="9"/>
            <color indexed="81"/>
            <rFont val="Tahoma"/>
            <family val="2"/>
          </rPr>
          <t>Céleste Bouchard:</t>
        </r>
        <r>
          <rPr>
            <sz val="9"/>
            <color indexed="81"/>
            <rFont val="Tahoma"/>
            <family val="2"/>
          </rPr>
          <t xml:space="preserve">
Currently operating at 1,000tpa but plans to increase it to 5000tpa by end of first year and 12,500 by end of year 2.  The hgraphte physical separation mill is being designed n production modules of 2,500 tpa</t>
        </r>
      </text>
    </comment>
    <comment ref="K12" authorId="0" shapeId="0">
      <text>
        <r>
          <rPr>
            <b/>
            <sz val="9"/>
            <color indexed="81"/>
            <rFont val="Tahoma"/>
            <family val="2"/>
          </rPr>
          <t>Céleste Bouchard:</t>
        </r>
        <r>
          <rPr>
            <sz val="9"/>
            <color indexed="81"/>
            <rFont val="Tahoma"/>
            <family val="2"/>
          </rPr>
          <t xml:space="preserve">
1.16Mtpa plant production at concentrate grade of 88%</t>
        </r>
      </text>
    </comment>
    <comment ref="B21" authorId="0" shapeId="0">
      <text>
        <r>
          <rPr>
            <b/>
            <sz val="9"/>
            <color indexed="81"/>
            <rFont val="Tahoma"/>
            <family val="2"/>
          </rPr>
          <t>Céleste Bouchard:</t>
        </r>
        <r>
          <rPr>
            <sz val="9"/>
            <color indexed="81"/>
            <rFont val="Tahoma"/>
            <family val="2"/>
          </rPr>
          <t xml:space="preserve">
Formerly Malagasy Minerals</t>
        </r>
      </text>
    </comment>
    <comment ref="B35" authorId="0" shapeId="0">
      <text>
        <r>
          <rPr>
            <b/>
            <sz val="9"/>
            <color indexed="81"/>
            <rFont val="Tahoma"/>
            <family val="2"/>
          </rPr>
          <t>Céleste Bouchard:</t>
        </r>
        <r>
          <rPr>
            <sz val="9"/>
            <color indexed="81"/>
            <rFont val="Tahoma"/>
            <family val="2"/>
          </rPr>
          <t xml:space="preserve">
Formerly MRL Corporation</t>
        </r>
      </text>
    </comment>
    <comment ref="B37" authorId="0" shapeId="0">
      <text>
        <r>
          <rPr>
            <b/>
            <sz val="9"/>
            <color indexed="81"/>
            <rFont val="Tahoma"/>
            <charset val="1"/>
          </rPr>
          <t>Céleste Bouchard:</t>
        </r>
        <r>
          <rPr>
            <sz val="9"/>
            <color indexed="81"/>
            <rFont val="Tahoma"/>
            <charset val="1"/>
          </rPr>
          <t xml:space="preserve">
Formerly Mozambi Resources</t>
        </r>
      </text>
    </comment>
  </commentList>
</comments>
</file>

<file path=xl/comments2.xml><?xml version="1.0" encoding="utf-8"?>
<comments xmlns="http://schemas.openxmlformats.org/spreadsheetml/2006/main">
  <authors>
    <author>Céleste Bouchard</author>
  </authors>
  <commentList>
    <comment ref="C3" authorId="0" shapeId="0">
      <text>
        <r>
          <rPr>
            <b/>
            <sz val="9"/>
            <color indexed="81"/>
            <rFont val="Tahoma"/>
            <family val="2"/>
          </rPr>
          <t>Céleste Bouchard:</t>
        </r>
        <r>
          <rPr>
            <sz val="9"/>
            <color indexed="81"/>
            <rFont val="Tahoma"/>
            <family val="2"/>
          </rPr>
          <t xml:space="preserve">
250,000 tpa mine and process plant</t>
        </r>
      </text>
    </comment>
    <comment ref="J3" authorId="0" shapeId="0">
      <text>
        <r>
          <rPr>
            <b/>
            <sz val="9"/>
            <color indexed="81"/>
            <rFont val="Tahoma"/>
            <family val="2"/>
          </rPr>
          <t>Céleste Bouchard:</t>
        </r>
        <r>
          <rPr>
            <sz val="9"/>
            <color indexed="81"/>
            <rFont val="Tahoma"/>
            <family val="2"/>
          </rPr>
          <t xml:space="preserve">
331,778 tonnes at Kookaburra Gully and Koppio Graphite contained 219,293 tonnes.  Current combined total is 497,890 tonnes </t>
        </r>
      </text>
    </comment>
    <comment ref="C5" authorId="0" shapeId="0">
      <text>
        <r>
          <rPr>
            <b/>
            <sz val="9"/>
            <color indexed="81"/>
            <rFont val="Tahoma"/>
            <family val="2"/>
          </rPr>
          <t>Céleste Bouchard:</t>
        </r>
        <r>
          <rPr>
            <sz val="9"/>
            <color indexed="81"/>
            <rFont val="Tahoma"/>
            <family val="2"/>
          </rPr>
          <t xml:space="preserve">
Has currently produced 250 tonnes of graphite since June 2015</t>
        </r>
      </text>
    </comment>
    <comment ref="F6" authorId="0" shapeId="0">
      <text>
        <r>
          <rPr>
            <b/>
            <sz val="9"/>
            <color indexed="81"/>
            <rFont val="Tahoma"/>
            <family val="2"/>
          </rPr>
          <t>Céleste Bouchard:</t>
        </r>
        <r>
          <rPr>
            <sz val="9"/>
            <color indexed="81"/>
            <rFont val="Tahoma"/>
            <family val="2"/>
          </rPr>
          <t xml:space="preserve">
PEA coming out at the end of the year
</t>
        </r>
      </text>
    </comment>
    <comment ref="C11" authorId="0" shapeId="0">
      <text>
        <r>
          <rPr>
            <b/>
            <sz val="9"/>
            <color indexed="81"/>
            <rFont val="Tahoma"/>
            <family val="2"/>
          </rPr>
          <t>Céleste Bouchard:</t>
        </r>
        <r>
          <rPr>
            <sz val="9"/>
            <color indexed="81"/>
            <rFont val="Tahoma"/>
            <family val="2"/>
          </rPr>
          <t xml:space="preserve">
Will ramp up to 7,500 tonnes in 2017. Based on the 2014 report, it is 4,000tpa</t>
        </r>
      </text>
    </comment>
    <comment ref="C12" authorId="0" shapeId="0">
      <text>
        <r>
          <rPr>
            <b/>
            <sz val="9"/>
            <color indexed="81"/>
            <rFont val="Tahoma"/>
            <family val="2"/>
          </rPr>
          <t>Céleste Bouchard:</t>
        </r>
        <r>
          <rPr>
            <sz val="9"/>
            <color indexed="81"/>
            <rFont val="Tahoma"/>
            <family val="2"/>
          </rPr>
          <t xml:space="preserve">
Currently operating at 1,000tpa but plans to increase it to 5000tpa by end of first year and 12,500 by end of year 2.  The hgraphte physical separation mill is being designed n production modules of 2,500 tpa</t>
        </r>
      </text>
    </comment>
    <comment ref="C13" authorId="0" shapeId="0">
      <text>
        <r>
          <rPr>
            <b/>
            <sz val="9"/>
            <color indexed="81"/>
            <rFont val="Tahoma"/>
            <family val="2"/>
          </rPr>
          <t>Céleste Bouchard:</t>
        </r>
        <r>
          <rPr>
            <sz val="9"/>
            <color indexed="81"/>
            <rFont val="Tahoma"/>
            <family val="2"/>
          </rPr>
          <t xml:space="preserve">
1.16Mtpa plant production at concentrate grade of 88%</t>
        </r>
      </text>
    </comment>
  </commentList>
</comments>
</file>

<file path=xl/sharedStrings.xml><?xml version="1.0" encoding="utf-8"?>
<sst xmlns="http://schemas.openxmlformats.org/spreadsheetml/2006/main" count="307" uniqueCount="127">
  <si>
    <t>Name</t>
  </si>
  <si>
    <t>Symbol</t>
  </si>
  <si>
    <t>Last price</t>
  </si>
  <si>
    <t>Syrah Resources Ltd</t>
  </si>
  <si>
    <t>SYR</t>
  </si>
  <si>
    <t>Triton Minerals Ltd</t>
  </si>
  <si>
    <t>TON</t>
  </si>
  <si>
    <t>Zenyatta Ventures Ltd</t>
  </si>
  <si>
    <t>ZEN</t>
  </si>
  <si>
    <t>Magnis Resources Ltd</t>
  </si>
  <si>
    <t>MNS</t>
  </si>
  <si>
    <t>Talga Resources Ltd</t>
  </si>
  <si>
    <t>TLG</t>
  </si>
  <si>
    <t>Valence Industries Ltd</t>
  </si>
  <si>
    <t>VXL</t>
  </si>
  <si>
    <t>Mason Graphite Inc</t>
  </si>
  <si>
    <t>LLG</t>
  </si>
  <si>
    <t>ENERGIZER RESOURCES INC</t>
  </si>
  <si>
    <t>EGZ</t>
  </si>
  <si>
    <t>Focus Graphite Inc</t>
  </si>
  <si>
    <t>FCSMF</t>
  </si>
  <si>
    <t>Northern Graphite Corp</t>
  </si>
  <si>
    <t>NGC</t>
  </si>
  <si>
    <t>Kibaran Resources Ltd</t>
  </si>
  <si>
    <t>KNL</t>
  </si>
  <si>
    <t>Alabama Graphite Corp</t>
  </si>
  <si>
    <t>ALP</t>
  </si>
  <si>
    <t>Graphite One Resources Inc</t>
  </si>
  <si>
    <t>GPH</t>
  </si>
  <si>
    <t>Flinders Resources Ltd</t>
  </si>
  <si>
    <t>FDR</t>
  </si>
  <si>
    <t>Lamboo Resources Ltd</t>
  </si>
  <si>
    <t>LMB</t>
  </si>
  <si>
    <t>Eagle Graphite Inc</t>
  </si>
  <si>
    <t>EGA</t>
  </si>
  <si>
    <t>Elcora Resources Corp</t>
  </si>
  <si>
    <t>ERA</t>
  </si>
  <si>
    <t>Great Lakes Graphite Inc</t>
  </si>
  <si>
    <t>GLK</t>
  </si>
  <si>
    <t>Venus Metals Corporation Limited</t>
  </si>
  <si>
    <t>VMC</t>
  </si>
  <si>
    <t>Lincoln Minerals Ltd</t>
  </si>
  <si>
    <t>LML</t>
  </si>
  <si>
    <t>MRL Corporation Ltd</t>
  </si>
  <si>
    <t>Archer Exploration Limited</t>
  </si>
  <si>
    <t>AXE</t>
  </si>
  <si>
    <t>Lomiko Metals Inc</t>
  </si>
  <si>
    <t>LMR</t>
  </si>
  <si>
    <t>Sovereign Metals Limited</t>
  </si>
  <si>
    <t>SVM</t>
  </si>
  <si>
    <t>Bora Bora Resources Ltd</t>
  </si>
  <si>
    <t>BBR</t>
  </si>
  <si>
    <t>Malagasy Minerals Limited</t>
  </si>
  <si>
    <t>Graphite Corp</t>
  </si>
  <si>
    <t>National Graphite Corp</t>
  </si>
  <si>
    <t>NGRC</t>
  </si>
  <si>
    <t>Saint Jean Carbon Inc</t>
  </si>
  <si>
    <t>SJL</t>
  </si>
  <si>
    <t>Next Graphite Inc</t>
  </si>
  <si>
    <t>GPNE</t>
  </si>
  <si>
    <t>Global Copper Group Inc</t>
  </si>
  <si>
    <t>Standard Graphite Corp</t>
  </si>
  <si>
    <t>SGH</t>
  </si>
  <si>
    <t>Stratmin Global Resources PLC</t>
  </si>
  <si>
    <t>STGR</t>
  </si>
  <si>
    <t>Caribou King Resources Ltd.</t>
  </si>
  <si>
    <t>CKR</t>
  </si>
  <si>
    <t>Cavan Ventures Inc.</t>
  </si>
  <si>
    <t>CVN</t>
  </si>
  <si>
    <t>ASX</t>
  </si>
  <si>
    <t>Exchange</t>
  </si>
  <si>
    <t>CVE</t>
  </si>
  <si>
    <t>TSE</t>
  </si>
  <si>
    <t>OTCMKTS</t>
  </si>
  <si>
    <t>LON</t>
  </si>
  <si>
    <t>Mining Stage</t>
  </si>
  <si>
    <t>Year Production Started/Will Start</t>
  </si>
  <si>
    <t>Grade (%)</t>
  </si>
  <si>
    <t>Exploration</t>
  </si>
  <si>
    <t>Amount of Graphite Produced/Expected (tpa)</t>
  </si>
  <si>
    <t>Development</t>
  </si>
  <si>
    <t>40-50</t>
  </si>
  <si>
    <t>Producer</t>
  </si>
  <si>
    <t>x</t>
  </si>
  <si>
    <t>Flagship Project Capital Cost (Million $)</t>
  </si>
  <si>
    <t>Contained Graphite of Flagship Project (Tonnes)</t>
  </si>
  <si>
    <t>Flake</t>
  </si>
  <si>
    <t>Vein</t>
  </si>
  <si>
    <t>Amorphous</t>
  </si>
  <si>
    <t>CKR Carbon</t>
  </si>
  <si>
    <t>Hexagon Resources Ltd</t>
  </si>
  <si>
    <t>AMG Advanced Metallurgical Group N.V.</t>
  </si>
  <si>
    <t>First Graphite Limited</t>
  </si>
  <si>
    <t>Walkabout Resources</t>
  </si>
  <si>
    <t>Black Rock Mining</t>
  </si>
  <si>
    <t>IMX Resources Limited</t>
  </si>
  <si>
    <t>Q3 2017</t>
  </si>
  <si>
    <t>Renascor Resources Ltd</t>
  </si>
  <si>
    <t>Nouveau Monde Mining Enterprises</t>
  </si>
  <si>
    <t>Canada Carbon</t>
  </si>
  <si>
    <t>DNI Metals</t>
  </si>
  <si>
    <t>Sayona Mining Limited</t>
  </si>
  <si>
    <t>Metals of Africa</t>
  </si>
  <si>
    <t>Comet Resources</t>
  </si>
  <si>
    <t>WKT</t>
  </si>
  <si>
    <t>Volt Resources</t>
  </si>
  <si>
    <t>VRC</t>
  </si>
  <si>
    <t>Type of  Graphite</t>
  </si>
  <si>
    <t>BKT</t>
  </si>
  <si>
    <t>IXR</t>
  </si>
  <si>
    <t>Mkt cap (Million $)</t>
  </si>
  <si>
    <t>RNU</t>
  </si>
  <si>
    <t>NOU</t>
  </si>
  <si>
    <t>DNI</t>
  </si>
  <si>
    <t>CCB</t>
  </si>
  <si>
    <t>SYA</t>
  </si>
  <si>
    <t>MTA</t>
  </si>
  <si>
    <t>CRL</t>
  </si>
  <si>
    <t>FGR</t>
  </si>
  <si>
    <t>AMS</t>
  </si>
  <si>
    <t>AMG</t>
  </si>
  <si>
    <t>Capricorn Metals Ltd</t>
  </si>
  <si>
    <t>CMM</t>
  </si>
  <si>
    <t>Elcora Advanced Materials Corp</t>
  </si>
  <si>
    <t>Change in Mkt Cap since Version 2.0 (October 14, 2015)</t>
  </si>
  <si>
    <t>Mkt Cap on October 14, 2015 (Version 2.0)</t>
  </si>
  <si>
    <t>No Longer Listed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</si>
</sst>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_-;\-* #,##0_-;_-* &quot;-&quot;??_-;_-@_-"/>
    <numFmt numFmtId="165" formatCode="0.0%"/>
  </numFmts>
  <fonts count="10" x14ac:knownFonts="1">
    <font>
      <sz val="12"/>
      <color theme="1"/>
      <name val="Calibri"/>
      <family val="2"/>
      <scheme val="minor"/>
    </font>
    <font>
      <sz val="12"/>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2"/>
      <color theme="1"/>
      <name val="Calibri"/>
      <family val="2"/>
      <scheme val="minor"/>
    </font>
    <font>
      <sz val="12"/>
      <color rgb="FFFF0000"/>
      <name val="Calibri"/>
      <family val="2"/>
      <scheme val="minor"/>
    </font>
    <font>
      <b/>
      <sz val="12"/>
      <color rgb="FF00B050"/>
      <name val="Calibri"/>
      <family val="2"/>
      <scheme val="minor"/>
    </font>
    <font>
      <b/>
      <sz val="12"/>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3" fontId="0" fillId="0" borderId="0" xfId="0" applyNumberFormat="1"/>
    <xf numFmtId="164" fontId="0" fillId="0" borderId="0" xfId="1" applyNumberFormat="1" applyFont="1"/>
    <xf numFmtId="43" fontId="0" fillId="0" borderId="0" xfId="0" applyNumberFormat="1"/>
    <xf numFmtId="43" fontId="0" fillId="0" borderId="0" xfId="1" applyFont="1"/>
    <xf numFmtId="164" fontId="0" fillId="0" borderId="0" xfId="0" applyNumberFormat="1"/>
    <xf numFmtId="9" fontId="0" fillId="0" borderId="0" xfId="0" applyNumberFormat="1"/>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xf>
    <xf numFmtId="0" fontId="0" fillId="0" borderId="4" xfId="0" applyBorder="1"/>
    <xf numFmtId="0" fontId="0" fillId="0" borderId="5" xfId="0" applyBorder="1"/>
    <xf numFmtId="164" fontId="0" fillId="0" borderId="5" xfId="1" applyNumberFormat="1" applyFont="1" applyBorder="1"/>
    <xf numFmtId="10" fontId="0" fillId="0" borderId="5" xfId="0" applyNumberFormat="1" applyBorder="1"/>
    <xf numFmtId="0" fontId="0" fillId="0" borderId="6" xfId="0" applyBorder="1"/>
    <xf numFmtId="10" fontId="0" fillId="0" borderId="5" xfId="2" applyNumberFormat="1" applyFont="1" applyBorder="1"/>
    <xf numFmtId="165" fontId="0" fillId="0" borderId="5" xfId="2" applyNumberFormat="1" applyFont="1" applyBorder="1"/>
    <xf numFmtId="43" fontId="0" fillId="0" borderId="5" xfId="1" applyFont="1" applyBorder="1"/>
    <xf numFmtId="0" fontId="0" fillId="0" borderId="0" xfId="0" applyFill="1" applyBorder="1"/>
    <xf numFmtId="0" fontId="0" fillId="0" borderId="0" xfId="0" applyBorder="1"/>
    <xf numFmtId="43" fontId="0" fillId="0" borderId="0" xfId="0" applyNumberFormat="1" applyBorder="1"/>
    <xf numFmtId="164" fontId="0" fillId="0" borderId="0" xfId="1" applyNumberFormat="1" applyFont="1" applyBorder="1"/>
    <xf numFmtId="10" fontId="0" fillId="0" borderId="0" xfId="0" applyNumberFormat="1" applyBorder="1"/>
    <xf numFmtId="3" fontId="0" fillId="0" borderId="0" xfId="0" applyNumberFormat="1" applyBorder="1"/>
    <xf numFmtId="9" fontId="0" fillId="0" borderId="0" xfId="2" applyFont="1" applyBorder="1"/>
    <xf numFmtId="10" fontId="0" fillId="0" borderId="0" xfId="2" applyNumberFormat="1" applyFont="1" applyBorder="1"/>
    <xf numFmtId="9" fontId="0" fillId="0" borderId="0" xfId="0" applyNumberFormat="1" applyBorder="1"/>
    <xf numFmtId="2" fontId="0" fillId="0" borderId="0" xfId="0" applyNumberFormat="1" applyBorder="1"/>
    <xf numFmtId="164" fontId="0" fillId="0" borderId="0" xfId="0" applyNumberFormat="1" applyBorder="1"/>
    <xf numFmtId="17" fontId="0" fillId="0" borderId="0" xfId="0" applyNumberFormat="1" applyBorder="1"/>
    <xf numFmtId="0" fontId="0" fillId="0" borderId="5" xfId="0" applyFill="1" applyBorder="1"/>
    <xf numFmtId="0" fontId="0" fillId="0" borderId="4" xfId="0" applyFill="1" applyBorder="1"/>
    <xf numFmtId="0" fontId="0" fillId="0" borderId="6" xfId="0" applyFill="1" applyBorder="1"/>
    <xf numFmtId="9" fontId="8" fillId="0" borderId="0" xfId="2" applyFont="1"/>
    <xf numFmtId="9" fontId="9" fillId="0" borderId="0" xfId="2" applyFont="1"/>
    <xf numFmtId="9" fontId="8" fillId="0" borderId="5" xfId="2" applyFont="1" applyBorder="1"/>
    <xf numFmtId="9" fontId="9" fillId="0" borderId="5" xfId="2" applyFont="1" applyBorder="1"/>
    <xf numFmtId="9" fontId="7" fillId="0" borderId="5" xfId="2" applyFont="1" applyBorder="1"/>
    <xf numFmtId="0" fontId="6" fillId="2" borderId="7" xfId="0" applyFont="1" applyFill="1" applyBorder="1" applyAlignment="1">
      <alignment horizontal="center" vertical="center" wrapText="1"/>
    </xf>
    <xf numFmtId="9" fontId="6" fillId="0" borderId="0" xfId="2" applyFont="1"/>
  </cellXfs>
  <cellStyles count="3">
    <cellStyle name="Comma" xfId="1" builtinId="3"/>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xdr:from>
      <xdr:col>0</xdr:col>
      <xdr:colOff>200022</xdr:colOff>
      <xdr:row>38</xdr:row>
      <xdr:rowOff>147634</xdr:rowOff>
    </xdr:from>
    <xdr:to>
      <xdr:col>4</xdr:col>
      <xdr:colOff>314322</xdr:colOff>
      <xdr:row>86</xdr:row>
      <xdr:rowOff>71434</xdr:rowOff>
    </xdr:to>
    <mc:AlternateContent xmlns:mc="http://schemas.openxmlformats.org/markup-compatibility/2006">
      <mc:Choice xmlns:we="http://schemas.microsoft.com/office/webextensions/webextension/2010/11" Requires="we">
        <xdr:graphicFrame macro="">
          <xdr:nvGraphicFramePr>
            <xdr:cNvPr id="2" name="App 1"/>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pp 1"/>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EED50C6E-E18B-4DB2-B652-3B5E27F6C174}">
  <we:reference id="wa104067194" version="4.0.0.0" store="en-US" storeType="OMEX"/>
  <we:alternateReferences>
    <we:reference id="WA104067194" version="4.0.0.0" store="WA104067194" storeType="OMEX"/>
  </we:alternateReferences>
  <we:properties>
    <we:property name="chartId" value="&quot;chartId_1446498768932_0.7671280654699097&quot;"/>
    <we:property name="usingNameList" value="true"/>
    <we:property name="primaryBinding" value="&quot;primaryBinding&quot;"/>
    <we:property name="sizeBindingId" value="&quot;sizeBindingId&quot;"/>
    <we:property name="colorBindingId" value="&quot;colorBindingId&quot;"/>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9"/>
  <sheetViews>
    <sheetView tabSelected="1" topLeftCell="E1" zoomScale="55" zoomScaleNormal="55" zoomScalePageLayoutView="55" workbookViewId="0">
      <pane ySplit="1" topLeftCell="A20" activePane="bottomLeft" state="frozen"/>
      <selection activeCell="J1" sqref="J1"/>
      <selection pane="bottomLeft" activeCell="L48" sqref="L48"/>
    </sheetView>
  </sheetViews>
  <sheetFormatPr defaultColWidth="11" defaultRowHeight="15.75" x14ac:dyDescent="0.25"/>
  <cols>
    <col min="1" max="1" width="18.125" customWidth="1"/>
    <col min="2" max="2" width="35.125" customWidth="1"/>
    <col min="4" max="4" width="15.5" customWidth="1"/>
    <col min="5" max="5" width="13.5" customWidth="1"/>
    <col min="6" max="6" width="20.125" customWidth="1"/>
    <col min="7" max="7" width="24" customWidth="1"/>
    <col min="8" max="8" width="20.5" customWidth="1"/>
    <col min="9" max="9" width="17.25" customWidth="1"/>
    <col min="10" max="10" width="22.625" customWidth="1"/>
    <col min="11" max="11" width="26.875" customWidth="1"/>
    <col min="12" max="12" width="14.375" customWidth="1"/>
    <col min="13" max="13" width="16.5" customWidth="1"/>
    <col min="14" max="14" width="16" customWidth="1"/>
    <col min="17" max="17" width="50.5" customWidth="1"/>
    <col min="19" max="19" width="19.25" customWidth="1"/>
  </cols>
  <sheetData>
    <row r="1" spans="1:17" ht="79.5" thickBot="1" x14ac:dyDescent="0.3">
      <c r="A1" s="7" t="s">
        <v>70</v>
      </c>
      <c r="B1" s="8" t="s">
        <v>0</v>
      </c>
      <c r="C1" s="8" t="s">
        <v>1</v>
      </c>
      <c r="D1" s="9" t="s">
        <v>110</v>
      </c>
      <c r="E1" s="8" t="s">
        <v>2</v>
      </c>
      <c r="F1" s="39" t="s">
        <v>125</v>
      </c>
      <c r="G1" s="39" t="s">
        <v>124</v>
      </c>
      <c r="H1" s="9" t="s">
        <v>84</v>
      </c>
      <c r="I1" s="9" t="s">
        <v>75</v>
      </c>
      <c r="J1" s="9" t="s">
        <v>76</v>
      </c>
      <c r="K1" s="9" t="s">
        <v>79</v>
      </c>
      <c r="L1" s="9" t="s">
        <v>85</v>
      </c>
      <c r="M1" s="8" t="s">
        <v>77</v>
      </c>
      <c r="N1" s="10" t="s">
        <v>107</v>
      </c>
    </row>
    <row r="2" spans="1:17" x14ac:dyDescent="0.25">
      <c r="A2" s="20" t="s">
        <v>69</v>
      </c>
      <c r="B2" s="20" t="s">
        <v>41</v>
      </c>
      <c r="C2" s="20" t="s">
        <v>42</v>
      </c>
      <c r="D2" s="20">
        <v>12.08</v>
      </c>
      <c r="E2" s="20">
        <v>4.4999999999999998E-2</v>
      </c>
      <c r="F2">
        <v>12.08</v>
      </c>
      <c r="G2" s="35">
        <f>(D2/F2)-1</f>
        <v>0</v>
      </c>
      <c r="H2" s="20" t="s">
        <v>81</v>
      </c>
      <c r="I2" s="20" t="s">
        <v>78</v>
      </c>
      <c r="J2" s="20">
        <v>2016</v>
      </c>
      <c r="K2" s="22">
        <v>34229</v>
      </c>
      <c r="L2" s="24">
        <f>331778</f>
        <v>331778</v>
      </c>
      <c r="M2" s="25">
        <v>0.15</v>
      </c>
      <c r="N2" s="20" t="s">
        <v>86</v>
      </c>
      <c r="Q2" s="2"/>
    </row>
    <row r="3" spans="1:17" x14ac:dyDescent="0.25">
      <c r="A3" s="11" t="s">
        <v>69</v>
      </c>
      <c r="B3" s="12" t="s">
        <v>3</v>
      </c>
      <c r="C3" s="12" t="s">
        <v>4</v>
      </c>
      <c r="D3" s="12">
        <v>997.09</v>
      </c>
      <c r="E3" s="12">
        <v>4.3099999999999996</v>
      </c>
      <c r="F3" s="12">
        <v>610.72</v>
      </c>
      <c r="G3" s="34">
        <f t="shared" ref="G3:G10" si="0">(D3/F3)-1</f>
        <v>0.63264671207754786</v>
      </c>
      <c r="H3" s="12">
        <v>137.80000000000001</v>
      </c>
      <c r="I3" s="12" t="s">
        <v>80</v>
      </c>
      <c r="J3" s="12">
        <v>2017</v>
      </c>
      <c r="K3" s="13">
        <f>313000</f>
        <v>313000</v>
      </c>
      <c r="L3" s="13">
        <f>10200000+34320000</f>
        <v>44520000</v>
      </c>
      <c r="M3" s="14">
        <f>(19.9%*10.2)/44.52+(16%*34.32)/44.52</f>
        <v>0.16893530997304582</v>
      </c>
      <c r="N3" s="15" t="s">
        <v>86</v>
      </c>
      <c r="Q3" s="2"/>
    </row>
    <row r="4" spans="1:17" x14ac:dyDescent="0.25">
      <c r="A4" s="20" t="s">
        <v>69</v>
      </c>
      <c r="B4" s="20" t="s">
        <v>13</v>
      </c>
      <c r="C4" s="20" t="s">
        <v>14</v>
      </c>
      <c r="D4" s="20" t="s">
        <v>126</v>
      </c>
      <c r="E4" s="20">
        <v>0.115</v>
      </c>
      <c r="F4">
        <v>21.61</v>
      </c>
      <c r="G4" s="35" t="e">
        <f t="shared" si="0"/>
        <v>#VALUE!</v>
      </c>
      <c r="H4" s="20">
        <v>20</v>
      </c>
      <c r="I4" s="20" t="s">
        <v>82</v>
      </c>
      <c r="J4" s="20">
        <v>2015</v>
      </c>
      <c r="K4" s="22">
        <f>14000</f>
        <v>14000</v>
      </c>
      <c r="L4" s="24">
        <v>353618</v>
      </c>
      <c r="M4" s="23">
        <v>0.121</v>
      </c>
      <c r="N4" s="20" t="s">
        <v>86</v>
      </c>
      <c r="Q4" s="2"/>
    </row>
    <row r="5" spans="1:17" x14ac:dyDescent="0.25">
      <c r="A5" s="11" t="s">
        <v>71</v>
      </c>
      <c r="B5" s="12" t="s">
        <v>25</v>
      </c>
      <c r="C5" s="12" t="s">
        <v>26</v>
      </c>
      <c r="D5" s="12">
        <v>20.8</v>
      </c>
      <c r="E5" s="12">
        <v>0.18</v>
      </c>
      <c r="F5" s="12">
        <v>18.57</v>
      </c>
      <c r="G5" s="34">
        <f t="shared" si="0"/>
        <v>0.12008616047388254</v>
      </c>
      <c r="H5" s="12">
        <v>57.7</v>
      </c>
      <c r="I5" s="12" t="s">
        <v>78</v>
      </c>
      <c r="J5" s="12"/>
      <c r="K5" s="13"/>
      <c r="L5" s="13">
        <f>(78.488*0.0239+79.443*0.0256)*1000000</f>
        <v>3909604</v>
      </c>
      <c r="M5" s="16">
        <f>(2.39*(78.488/(79.443+78.488))+2.56*(79.443/(79.443+78.488)))/100</f>
        <v>2.4755139902868976E-2</v>
      </c>
      <c r="N5" s="15" t="s">
        <v>86</v>
      </c>
      <c r="Q5" s="2"/>
    </row>
    <row r="6" spans="1:17" x14ac:dyDescent="0.25">
      <c r="A6" s="20" t="s">
        <v>69</v>
      </c>
      <c r="B6" s="20" t="s">
        <v>44</v>
      </c>
      <c r="C6" s="20" t="s">
        <v>45</v>
      </c>
      <c r="D6" s="20">
        <v>636</v>
      </c>
      <c r="E6" s="20">
        <v>7.4999999999999997E-2</v>
      </c>
      <c r="F6">
        <v>8.0500000000000007</v>
      </c>
      <c r="G6" s="35">
        <f t="shared" si="0"/>
        <v>78.006211180124211</v>
      </c>
      <c r="H6" s="20" t="s">
        <v>83</v>
      </c>
      <c r="I6" s="20" t="s">
        <v>78</v>
      </c>
      <c r="J6" s="20"/>
      <c r="K6" s="22">
        <v>10000</v>
      </c>
      <c r="L6" s="24">
        <v>397600</v>
      </c>
      <c r="M6" s="27">
        <v>0.09</v>
      </c>
      <c r="N6" s="20" t="s">
        <v>86</v>
      </c>
      <c r="Q6" s="2"/>
    </row>
    <row r="7" spans="1:17" x14ac:dyDescent="0.25">
      <c r="A7" s="11" t="s">
        <v>69</v>
      </c>
      <c r="B7" s="12" t="s">
        <v>50</v>
      </c>
      <c r="C7" s="12" t="s">
        <v>51</v>
      </c>
      <c r="D7" s="31">
        <v>2.16</v>
      </c>
      <c r="E7" s="31">
        <v>0.06</v>
      </c>
      <c r="F7" s="12">
        <v>2.7</v>
      </c>
      <c r="G7" s="35">
        <f t="shared" si="0"/>
        <v>-0.19999999999999996</v>
      </c>
      <c r="H7" s="12" t="s">
        <v>83</v>
      </c>
      <c r="I7" s="12" t="s">
        <v>78</v>
      </c>
      <c r="J7" s="12"/>
      <c r="K7" s="13"/>
      <c r="L7" s="12"/>
      <c r="M7" s="12"/>
      <c r="N7" s="15"/>
      <c r="Q7" s="2"/>
    </row>
    <row r="8" spans="1:17" x14ac:dyDescent="0.25">
      <c r="A8" s="20" t="s">
        <v>71</v>
      </c>
      <c r="B8" s="20" t="s">
        <v>89</v>
      </c>
      <c r="C8" s="20" t="s">
        <v>66</v>
      </c>
      <c r="D8" s="19">
        <v>1.96</v>
      </c>
      <c r="E8" s="19">
        <v>7.4999999999999997E-2</v>
      </c>
      <c r="F8">
        <v>2.15</v>
      </c>
      <c r="G8" s="35">
        <f t="shared" si="0"/>
        <v>-8.8372093023255771E-2</v>
      </c>
      <c r="H8" s="20">
        <v>1.1000000000000001</v>
      </c>
      <c r="I8" s="20" t="s">
        <v>78</v>
      </c>
      <c r="J8" s="20">
        <v>2016</v>
      </c>
      <c r="K8" s="22">
        <v>5700</v>
      </c>
      <c r="L8" s="21"/>
      <c r="M8" s="20"/>
      <c r="N8" s="19" t="s">
        <v>87</v>
      </c>
      <c r="Q8" s="2"/>
    </row>
    <row r="9" spans="1:17" x14ac:dyDescent="0.25">
      <c r="A9" s="11" t="s">
        <v>71</v>
      </c>
      <c r="B9" s="12" t="s">
        <v>67</v>
      </c>
      <c r="C9" s="12" t="s">
        <v>68</v>
      </c>
      <c r="D9" s="31" t="s">
        <v>126</v>
      </c>
      <c r="E9" s="31">
        <v>0.02</v>
      </c>
      <c r="F9" s="12">
        <v>1.48</v>
      </c>
      <c r="G9" s="40" t="e">
        <f t="shared" si="0"/>
        <v>#VALUE!</v>
      </c>
      <c r="H9" s="12" t="s">
        <v>83</v>
      </c>
      <c r="I9" s="12" t="s">
        <v>78</v>
      </c>
      <c r="J9" s="12"/>
      <c r="K9" s="13"/>
      <c r="L9" s="12"/>
      <c r="M9" s="12"/>
      <c r="N9" s="15"/>
      <c r="Q9" s="2"/>
    </row>
    <row r="10" spans="1:17" x14ac:dyDescent="0.25">
      <c r="A10" s="20" t="s">
        <v>71</v>
      </c>
      <c r="B10" s="20" t="s">
        <v>33</v>
      </c>
      <c r="C10" s="20" t="s">
        <v>34</v>
      </c>
      <c r="D10" s="19">
        <v>8.11</v>
      </c>
      <c r="E10" s="19">
        <v>0.03</v>
      </c>
      <c r="F10">
        <v>12.16</v>
      </c>
      <c r="G10" s="35">
        <f t="shared" si="0"/>
        <v>-0.33305921052631582</v>
      </c>
      <c r="H10" s="20" t="s">
        <v>83</v>
      </c>
      <c r="I10" s="20" t="s">
        <v>82</v>
      </c>
      <c r="J10" s="20">
        <v>2015</v>
      </c>
      <c r="K10" s="22">
        <v>2100</v>
      </c>
      <c r="L10" s="22">
        <f>292000*0.0195+356000*0.0171+516000*0.0169+4763000*0.0121+4591000*0.0124</f>
        <v>135062.69999999998</v>
      </c>
      <c r="M10" s="28">
        <f>(292*1.95/(292+356+516+476.3+459.1))+(1.71*356/(292+356+516+476.3+459.1))+1.69*516/(292+356+516+476.3+459.1)+1.24*459.1/(292+356+516+476.3+459.1)+476.3*1.21/(292+356+516+476.3+459.1)</f>
        <v>1.5222477850814515</v>
      </c>
      <c r="N10" s="20" t="s">
        <v>86</v>
      </c>
      <c r="Q10" s="2"/>
    </row>
    <row r="11" spans="1:17" x14ac:dyDescent="0.25">
      <c r="A11" s="11" t="s">
        <v>71</v>
      </c>
      <c r="B11" s="12" t="s">
        <v>123</v>
      </c>
      <c r="C11" s="12" t="s">
        <v>36</v>
      </c>
      <c r="D11" s="31">
        <v>36.090000000000003</v>
      </c>
      <c r="E11" s="31">
        <v>0.5</v>
      </c>
      <c r="F11" s="12">
        <v>8.5399999999999991</v>
      </c>
      <c r="G11" s="36">
        <f>(D11/F11)-1</f>
        <v>3.2259953161592518</v>
      </c>
      <c r="H11" s="12"/>
      <c r="I11" s="12" t="s">
        <v>78</v>
      </c>
      <c r="J11" s="12"/>
      <c r="K11" s="13">
        <v>1000</v>
      </c>
      <c r="L11" s="12"/>
      <c r="M11" s="12"/>
      <c r="N11" s="15" t="s">
        <v>87</v>
      </c>
      <c r="Q11" s="2"/>
    </row>
    <row r="12" spans="1:17" x14ac:dyDescent="0.25">
      <c r="A12" s="20" t="s">
        <v>72</v>
      </c>
      <c r="B12" s="20" t="s">
        <v>17</v>
      </c>
      <c r="C12" s="20" t="s">
        <v>18</v>
      </c>
      <c r="D12" s="19">
        <v>33.299999999999997</v>
      </c>
      <c r="E12" s="19">
        <v>0.1</v>
      </c>
      <c r="F12">
        <v>14.85</v>
      </c>
      <c r="G12" s="34">
        <f t="shared" ref="G12:G33" si="1">(D12/F12)-1</f>
        <v>1.2424242424242422</v>
      </c>
      <c r="H12" s="20">
        <f>24.3+137.7</f>
        <v>162</v>
      </c>
      <c r="I12" s="20" t="s">
        <v>80</v>
      </c>
      <c r="J12" s="20">
        <v>2015</v>
      </c>
      <c r="K12" s="22">
        <v>50000</v>
      </c>
      <c r="L12" s="22">
        <f>2476157+3813101+1574456+2365716</f>
        <v>10229430</v>
      </c>
      <c r="M12" s="26">
        <f>(4.71*(2.476*1000000/L12)+7.98*(3.813*1000000)/L12)/100+(7.02*1574456/L12)/100+(5.78*2365716/L12)/100</f>
        <v>6.5317637053090932E-2</v>
      </c>
      <c r="N12" s="20" t="s">
        <v>86</v>
      </c>
      <c r="Q12" s="2"/>
    </row>
    <row r="13" spans="1:17" x14ac:dyDescent="0.25">
      <c r="A13" s="11" t="s">
        <v>71</v>
      </c>
      <c r="B13" s="12" t="s">
        <v>29</v>
      </c>
      <c r="C13" s="12" t="s">
        <v>30</v>
      </c>
      <c r="D13" s="31">
        <v>15.23</v>
      </c>
      <c r="E13" s="31">
        <v>0.34</v>
      </c>
      <c r="F13" s="12">
        <v>11</v>
      </c>
      <c r="G13" s="36">
        <f t="shared" si="1"/>
        <v>0.38454545454545452</v>
      </c>
      <c r="H13" s="12">
        <v>16.7</v>
      </c>
      <c r="I13" s="12" t="s">
        <v>82</v>
      </c>
      <c r="J13" s="12">
        <v>2014</v>
      </c>
      <c r="K13" s="13">
        <v>13000</v>
      </c>
      <c r="L13" s="13">
        <f>7700000*0.093+1900000*0.085</f>
        <v>877600</v>
      </c>
      <c r="M13" s="17">
        <f>0.093*7.7/(7.7+1.9)+0.085*1.9/(7.7+1.9)</f>
        <v>9.1416666666666674E-2</v>
      </c>
      <c r="N13" s="15" t="s">
        <v>86</v>
      </c>
      <c r="Q13" s="2"/>
    </row>
    <row r="14" spans="1:17" x14ac:dyDescent="0.25">
      <c r="A14" s="20" t="s">
        <v>73</v>
      </c>
      <c r="B14" s="20" t="s">
        <v>19</v>
      </c>
      <c r="C14" s="20" t="s">
        <v>20</v>
      </c>
      <c r="D14" s="19">
        <v>32.700000000000003</v>
      </c>
      <c r="E14" s="19">
        <v>0.16</v>
      </c>
      <c r="F14">
        <v>13.63</v>
      </c>
      <c r="G14" s="34">
        <f t="shared" si="1"/>
        <v>1.3991195891415993</v>
      </c>
      <c r="H14" s="20">
        <v>165.55</v>
      </c>
      <c r="I14" s="20" t="s">
        <v>80</v>
      </c>
      <c r="J14" s="20">
        <v>2017</v>
      </c>
      <c r="K14" s="22">
        <v>44300</v>
      </c>
      <c r="L14" s="22">
        <f>9576000*0.1477+3102000*0.1325+7857000*0.1513</f>
        <v>3014154.3</v>
      </c>
      <c r="M14" s="23">
        <f>(0.1477*9576000/(9576000+3102000+7857000*0.1513))+(0.1325*3102000/(9576000+3102000+7857000*0.1513))+7857000*0.1513*0.1513/(9576000+3102000+7857000*0.1513)</f>
        <v>0.14460837394140136</v>
      </c>
      <c r="N14" s="20" t="s">
        <v>86</v>
      </c>
      <c r="Q14" s="2"/>
    </row>
    <row r="15" spans="1:17" x14ac:dyDescent="0.25">
      <c r="A15" s="11" t="s">
        <v>71</v>
      </c>
      <c r="B15" s="12" t="s">
        <v>27</v>
      </c>
      <c r="C15" s="12" t="s">
        <v>28</v>
      </c>
      <c r="D15" s="31">
        <v>33.729999999999997</v>
      </c>
      <c r="E15" s="31">
        <v>0.14499999999999999</v>
      </c>
      <c r="F15" s="12">
        <v>12.8</v>
      </c>
      <c r="G15" s="36">
        <f t="shared" si="1"/>
        <v>1.6351562499999996</v>
      </c>
      <c r="H15" s="12"/>
      <c r="I15" s="12" t="s">
        <v>78</v>
      </c>
      <c r="J15" s="12"/>
      <c r="K15" s="13"/>
      <c r="L15" s="13">
        <f>17950000*0.063+154300000*0.057</f>
        <v>9925950</v>
      </c>
      <c r="M15" s="16">
        <f>(6.3*17950000/(17950000+154300000)+154300000*(5.7/(17950000+154300000)))/100</f>
        <v>5.7625253991291724E-2</v>
      </c>
      <c r="N15" s="15" t="s">
        <v>86</v>
      </c>
      <c r="Q15" s="2"/>
    </row>
    <row r="16" spans="1:17" x14ac:dyDescent="0.25">
      <c r="A16" s="20" t="s">
        <v>71</v>
      </c>
      <c r="B16" s="20" t="s">
        <v>37</v>
      </c>
      <c r="C16" s="20" t="s">
        <v>38</v>
      </c>
      <c r="D16" s="19">
        <v>8.1300000000000008</v>
      </c>
      <c r="E16" s="19">
        <v>0.75</v>
      </c>
      <c r="F16">
        <v>6.86</v>
      </c>
      <c r="G16" s="34">
        <f t="shared" si="1"/>
        <v>0.185131195335277</v>
      </c>
      <c r="H16" s="20"/>
      <c r="I16" s="20" t="s">
        <v>78</v>
      </c>
      <c r="J16" s="20"/>
      <c r="K16" s="22"/>
      <c r="L16" s="22">
        <v>160000</v>
      </c>
      <c r="M16" s="26">
        <v>4.0099999999999997E-2</v>
      </c>
      <c r="N16" s="20" t="s">
        <v>86</v>
      </c>
      <c r="Q16" s="2"/>
    </row>
    <row r="17" spans="1:17" x14ac:dyDescent="0.25">
      <c r="A17" s="11" t="s">
        <v>69</v>
      </c>
      <c r="B17" s="12" t="s">
        <v>23</v>
      </c>
      <c r="C17" s="12" t="s">
        <v>24</v>
      </c>
      <c r="D17" s="31">
        <v>29.24</v>
      </c>
      <c r="E17" s="31">
        <v>0.16</v>
      </c>
      <c r="F17" s="12">
        <v>32.69</v>
      </c>
      <c r="G17" s="38">
        <f t="shared" si="1"/>
        <v>-0.10553686142551233</v>
      </c>
      <c r="H17" s="12">
        <v>77.5</v>
      </c>
      <c r="I17" s="12" t="s">
        <v>80</v>
      </c>
      <c r="J17" s="12">
        <v>2017</v>
      </c>
      <c r="K17" s="13">
        <v>40000</v>
      </c>
      <c r="L17" s="13">
        <v>937400</v>
      </c>
      <c r="M17" s="16">
        <v>8.5999999999999993E-2</v>
      </c>
      <c r="N17" s="15" t="s">
        <v>86</v>
      </c>
      <c r="Q17" s="2"/>
    </row>
    <row r="18" spans="1:17" x14ac:dyDescent="0.25">
      <c r="A18" s="20" t="s">
        <v>69</v>
      </c>
      <c r="B18" s="20" t="s">
        <v>90</v>
      </c>
      <c r="C18" s="20" t="s">
        <v>32</v>
      </c>
      <c r="D18" s="19">
        <v>18.11</v>
      </c>
      <c r="E18" s="19">
        <v>0.78</v>
      </c>
      <c r="F18">
        <v>13.79</v>
      </c>
      <c r="G18" s="34">
        <f t="shared" si="1"/>
        <v>0.31327048585931849</v>
      </c>
      <c r="H18" s="20">
        <v>123</v>
      </c>
      <c r="I18" s="20" t="s">
        <v>78</v>
      </c>
      <c r="J18" s="20" t="s">
        <v>96</v>
      </c>
      <c r="K18" s="22">
        <f>2400000*0.0473</f>
        <v>113520</v>
      </c>
      <c r="L18" s="22">
        <v>797200</v>
      </c>
      <c r="M18" s="26">
        <v>4.6300000000000001E-2</v>
      </c>
      <c r="N18" s="20" t="s">
        <v>86</v>
      </c>
      <c r="Q18" s="2"/>
    </row>
    <row r="19" spans="1:17" x14ac:dyDescent="0.25">
      <c r="A19" s="11" t="s">
        <v>71</v>
      </c>
      <c r="B19" s="12" t="s">
        <v>46</v>
      </c>
      <c r="C19" s="12" t="s">
        <v>47</v>
      </c>
      <c r="D19" s="31">
        <v>6.86</v>
      </c>
      <c r="E19" s="31">
        <v>0.04</v>
      </c>
      <c r="F19" s="12">
        <v>4.66</v>
      </c>
      <c r="G19" s="36">
        <f t="shared" si="1"/>
        <v>0.47210300429184548</v>
      </c>
      <c r="H19" s="12"/>
      <c r="I19" s="12" t="s">
        <v>78</v>
      </c>
      <c r="J19" s="12"/>
      <c r="K19" s="13"/>
      <c r="L19" s="13">
        <f>18400000*3.19%+16700000*3.75%</f>
        <v>1213210</v>
      </c>
      <c r="M19" s="16">
        <f>(3.19*(18.4/(18.4+16.7))+3.75*(16.7/(18.4+16.7)))/100</f>
        <v>3.4564387464387475E-2</v>
      </c>
      <c r="N19" s="15" t="s">
        <v>86</v>
      </c>
      <c r="Q19" s="2"/>
    </row>
    <row r="20" spans="1:17" x14ac:dyDescent="0.25">
      <c r="A20" s="20" t="s">
        <v>69</v>
      </c>
      <c r="B20" s="20" t="s">
        <v>9</v>
      </c>
      <c r="C20" s="20" t="s">
        <v>10</v>
      </c>
      <c r="D20" s="19">
        <v>180.19</v>
      </c>
      <c r="E20" s="19">
        <v>0.5</v>
      </c>
      <c r="F20">
        <v>139.02000000000001</v>
      </c>
      <c r="G20" s="34">
        <f t="shared" si="1"/>
        <v>0.29614443964897119</v>
      </c>
      <c r="H20" s="20">
        <v>269</v>
      </c>
      <c r="I20" s="20" t="s">
        <v>80</v>
      </c>
      <c r="J20" s="20">
        <v>2017</v>
      </c>
      <c r="K20" s="22">
        <v>240000</v>
      </c>
      <c r="L20" s="24">
        <f>174000000*5.4%</f>
        <v>9396000.0000000019</v>
      </c>
      <c r="M20" s="26">
        <v>5.3999999999999999E-2</v>
      </c>
      <c r="N20" s="20" t="s">
        <v>86</v>
      </c>
      <c r="Q20" s="2"/>
    </row>
    <row r="21" spans="1:17" x14ac:dyDescent="0.25">
      <c r="A21" s="11" t="s">
        <v>69</v>
      </c>
      <c r="B21" s="12" t="s">
        <v>121</v>
      </c>
      <c r="C21" s="12" t="s">
        <v>122</v>
      </c>
      <c r="D21" s="31">
        <v>31.48</v>
      </c>
      <c r="E21" s="31">
        <v>0.14499999999999999</v>
      </c>
      <c r="F21" s="12">
        <v>2.15</v>
      </c>
      <c r="G21" s="36">
        <f t="shared" si="1"/>
        <v>13.641860465116279</v>
      </c>
      <c r="H21" s="12"/>
      <c r="I21" s="12" t="s">
        <v>78</v>
      </c>
      <c r="J21" s="12"/>
      <c r="K21" s="13"/>
      <c r="L21" s="12"/>
      <c r="M21" s="16"/>
      <c r="N21" s="15"/>
      <c r="Q21" s="2"/>
    </row>
    <row r="22" spans="1:17" x14ac:dyDescent="0.25">
      <c r="A22" s="20" t="s">
        <v>71</v>
      </c>
      <c r="B22" s="20" t="s">
        <v>15</v>
      </c>
      <c r="C22" s="20" t="s">
        <v>16</v>
      </c>
      <c r="D22" s="19">
        <v>60.11</v>
      </c>
      <c r="E22" s="19">
        <v>0.64</v>
      </c>
      <c r="F22">
        <v>37.07</v>
      </c>
      <c r="G22" s="34">
        <f t="shared" si="1"/>
        <v>0.62152684111141077</v>
      </c>
      <c r="H22" s="20">
        <v>165.9</v>
      </c>
      <c r="I22" s="20" t="s">
        <v>80</v>
      </c>
      <c r="J22" s="20">
        <v>2016</v>
      </c>
      <c r="K22" s="22">
        <v>51900</v>
      </c>
      <c r="L22" s="24">
        <f>9478000+17651000*17.24%</f>
        <v>12521032.4</v>
      </c>
      <c r="M22" s="26">
        <f>(16.3*(65693000/(65693000+17651000))+17.24*(17651000/(65693000+17651000)))/100</f>
        <v>0.16499077798041853</v>
      </c>
      <c r="N22" s="20" t="s">
        <v>86</v>
      </c>
      <c r="Q22" s="2"/>
    </row>
    <row r="23" spans="1:17" x14ac:dyDescent="0.25">
      <c r="A23" s="11" t="s">
        <v>73</v>
      </c>
      <c r="B23" s="12" t="s">
        <v>54</v>
      </c>
      <c r="C23" s="12" t="s">
        <v>55</v>
      </c>
      <c r="D23" s="31">
        <v>7.44</v>
      </c>
      <c r="E23" s="31">
        <v>0.70099999999999996</v>
      </c>
      <c r="F23" s="12">
        <v>6.35</v>
      </c>
      <c r="G23" s="37">
        <f t="shared" si="1"/>
        <v>0.17165354330708671</v>
      </c>
      <c r="H23" s="12"/>
      <c r="I23" s="12" t="s">
        <v>78</v>
      </c>
      <c r="J23" s="12"/>
      <c r="K23" s="13"/>
      <c r="L23" s="12"/>
      <c r="M23" s="12"/>
      <c r="N23" s="15"/>
      <c r="Q23" s="2"/>
    </row>
    <row r="24" spans="1:17" x14ac:dyDescent="0.25">
      <c r="A24" s="20" t="s">
        <v>71</v>
      </c>
      <c r="B24" s="20" t="s">
        <v>21</v>
      </c>
      <c r="C24" s="20" t="s">
        <v>22</v>
      </c>
      <c r="D24" s="19">
        <v>28.67</v>
      </c>
      <c r="E24" s="19">
        <v>0.52</v>
      </c>
      <c r="F24" s="20">
        <v>14.51</v>
      </c>
      <c r="G24" s="34">
        <f t="shared" si="1"/>
        <v>0.97587870434183333</v>
      </c>
      <c r="H24" s="20"/>
      <c r="I24" s="20" t="s">
        <v>78</v>
      </c>
      <c r="J24" s="20"/>
      <c r="K24" s="22">
        <v>44200</v>
      </c>
      <c r="L24" s="24">
        <v>582980</v>
      </c>
      <c r="M24" s="26">
        <v>2.06E-2</v>
      </c>
      <c r="N24" s="20" t="s">
        <v>86</v>
      </c>
      <c r="Q24" s="2"/>
    </row>
    <row r="25" spans="1:17" x14ac:dyDescent="0.25">
      <c r="A25" s="11" t="s">
        <v>71</v>
      </c>
      <c r="B25" s="12" t="s">
        <v>56</v>
      </c>
      <c r="C25" s="12" t="s">
        <v>57</v>
      </c>
      <c r="D25" s="31">
        <v>5.57</v>
      </c>
      <c r="E25" s="31">
        <v>0.05</v>
      </c>
      <c r="F25" s="12">
        <v>3.54</v>
      </c>
      <c r="G25" s="36">
        <f t="shared" si="1"/>
        <v>0.57344632768361592</v>
      </c>
      <c r="H25" s="12"/>
      <c r="I25" s="12" t="s">
        <v>78</v>
      </c>
      <c r="J25" s="12"/>
      <c r="K25" s="13"/>
      <c r="L25" s="12"/>
      <c r="M25" s="16"/>
      <c r="N25" s="15"/>
      <c r="Q25" s="2"/>
    </row>
    <row r="26" spans="1:17" x14ac:dyDescent="0.25">
      <c r="A26" s="20" t="s">
        <v>69</v>
      </c>
      <c r="B26" s="20" t="s">
        <v>48</v>
      </c>
      <c r="C26" s="20" t="s">
        <v>49</v>
      </c>
      <c r="D26" s="19">
        <v>7.12</v>
      </c>
      <c r="E26" s="19">
        <v>0.05</v>
      </c>
      <c r="F26" s="20">
        <v>10.63</v>
      </c>
      <c r="G26" s="35">
        <f t="shared" si="1"/>
        <v>-0.33019755409219198</v>
      </c>
      <c r="H26" s="20"/>
      <c r="I26" s="20" t="s">
        <v>78</v>
      </c>
      <c r="J26" s="20"/>
      <c r="K26" s="22"/>
      <c r="L26" s="20"/>
      <c r="M26" s="26"/>
      <c r="N26" s="20"/>
      <c r="Q26" s="2"/>
    </row>
    <row r="27" spans="1:17" x14ac:dyDescent="0.25">
      <c r="A27" s="11" t="s">
        <v>71</v>
      </c>
      <c r="B27" s="12" t="s">
        <v>61</v>
      </c>
      <c r="C27" s="12" t="s">
        <v>62</v>
      </c>
      <c r="D27" s="31">
        <v>1.85</v>
      </c>
      <c r="E27" s="31">
        <v>3.5000000000000003E-2</v>
      </c>
      <c r="F27" s="12">
        <v>0.68</v>
      </c>
      <c r="G27" s="36">
        <f t="shared" si="1"/>
        <v>1.7205882352941178</v>
      </c>
      <c r="H27" s="12"/>
      <c r="I27" s="12" t="s">
        <v>78</v>
      </c>
      <c r="J27" s="12"/>
      <c r="K27" s="13"/>
      <c r="L27" s="12"/>
      <c r="M27" s="16"/>
      <c r="N27" s="15"/>
      <c r="Q27" s="2"/>
    </row>
    <row r="28" spans="1:17" x14ac:dyDescent="0.25">
      <c r="A28" s="20" t="s">
        <v>74</v>
      </c>
      <c r="B28" s="20" t="s">
        <v>63</v>
      </c>
      <c r="C28" s="20" t="s">
        <v>64</v>
      </c>
      <c r="D28" s="19">
        <v>3.15</v>
      </c>
      <c r="E28" s="19">
        <v>1.8</v>
      </c>
      <c r="F28" s="20">
        <v>7.75</v>
      </c>
      <c r="G28" s="35">
        <f t="shared" si="1"/>
        <v>-0.59354838709677415</v>
      </c>
      <c r="H28" s="20"/>
      <c r="I28" s="20" t="s">
        <v>82</v>
      </c>
      <c r="J28" s="20">
        <v>2014</v>
      </c>
      <c r="K28" s="22">
        <v>3600</v>
      </c>
      <c r="L28" s="24">
        <v>234710</v>
      </c>
      <c r="M28" s="26">
        <v>4.1399999999999999E-2</v>
      </c>
      <c r="N28" s="20" t="s">
        <v>86</v>
      </c>
      <c r="Q28" s="2"/>
    </row>
    <row r="29" spans="1:17" x14ac:dyDescent="0.25">
      <c r="A29" s="11" t="s">
        <v>69</v>
      </c>
      <c r="B29" s="12" t="s">
        <v>11</v>
      </c>
      <c r="C29" s="12" t="s">
        <v>12</v>
      </c>
      <c r="D29" s="31">
        <v>44.62</v>
      </c>
      <c r="E29" s="31">
        <v>0.30499999999999999</v>
      </c>
      <c r="F29" s="12">
        <v>51.96</v>
      </c>
      <c r="G29" s="37">
        <f t="shared" si="1"/>
        <v>-0.14126250962278686</v>
      </c>
      <c r="H29" s="12">
        <v>29.3</v>
      </c>
      <c r="I29" s="12" t="s">
        <v>80</v>
      </c>
      <c r="J29" s="12">
        <v>2017</v>
      </c>
      <c r="K29" s="13">
        <v>46000</v>
      </c>
      <c r="L29" s="13">
        <v>1857600</v>
      </c>
      <c r="M29" s="16">
        <v>0.24399999999999999</v>
      </c>
      <c r="N29" s="15" t="s">
        <v>88</v>
      </c>
      <c r="Q29" s="2"/>
    </row>
    <row r="30" spans="1:17" x14ac:dyDescent="0.25">
      <c r="A30" s="20" t="s">
        <v>69</v>
      </c>
      <c r="B30" s="20" t="s">
        <v>5</v>
      </c>
      <c r="C30" s="20" t="s">
        <v>6</v>
      </c>
      <c r="D30" s="19" t="s">
        <v>126</v>
      </c>
      <c r="E30" s="19">
        <v>6.0999999999999999E-2</v>
      </c>
      <c r="F30" s="20">
        <v>88.49</v>
      </c>
      <c r="G30" s="35" t="e">
        <f t="shared" si="1"/>
        <v>#VALUE!</v>
      </c>
      <c r="H30" s="20">
        <v>110</v>
      </c>
      <c r="I30" s="20" t="s">
        <v>78</v>
      </c>
      <c r="J30" s="20">
        <v>2017</v>
      </c>
      <c r="K30" s="22">
        <v>210000</v>
      </c>
      <c r="L30" s="24">
        <v>155648000</v>
      </c>
      <c r="M30" s="26">
        <v>0.107</v>
      </c>
      <c r="N30" s="24" t="s">
        <v>86</v>
      </c>
      <c r="Q30" s="2"/>
    </row>
    <row r="31" spans="1:17" x14ac:dyDescent="0.25">
      <c r="A31" s="11" t="s">
        <v>69</v>
      </c>
      <c r="B31" s="12" t="s">
        <v>39</v>
      </c>
      <c r="C31" s="12" t="s">
        <v>40</v>
      </c>
      <c r="D31" s="31">
        <v>17.829999999999998</v>
      </c>
      <c r="E31" s="31">
        <v>0.31</v>
      </c>
      <c r="F31" s="12">
        <v>10.8</v>
      </c>
      <c r="G31" s="36">
        <f t="shared" si="1"/>
        <v>0.65092592592592569</v>
      </c>
      <c r="H31" s="12"/>
      <c r="I31" s="12" t="s">
        <v>78</v>
      </c>
      <c r="J31" s="12"/>
      <c r="K31" s="13"/>
      <c r="L31" s="12"/>
      <c r="M31" s="16"/>
      <c r="N31" s="15"/>
      <c r="Q31" s="2"/>
    </row>
    <row r="32" spans="1:17" x14ac:dyDescent="0.25">
      <c r="A32" s="20" t="s">
        <v>71</v>
      </c>
      <c r="B32" s="20" t="s">
        <v>7</v>
      </c>
      <c r="C32" s="20" t="s">
        <v>8</v>
      </c>
      <c r="D32" s="19">
        <v>45.61</v>
      </c>
      <c r="E32" s="19">
        <v>0.84</v>
      </c>
      <c r="F32" s="20">
        <v>60.61</v>
      </c>
      <c r="G32" s="35">
        <f t="shared" si="1"/>
        <v>-0.24748391354561949</v>
      </c>
      <c r="H32" s="20">
        <v>411.5</v>
      </c>
      <c r="I32" s="20" t="s">
        <v>78</v>
      </c>
      <c r="J32" s="20"/>
      <c r="K32" s="22">
        <v>30000</v>
      </c>
      <c r="L32" s="22">
        <v>1413000</v>
      </c>
      <c r="M32" s="26">
        <v>3.56E-2</v>
      </c>
      <c r="N32" s="24" t="s">
        <v>87</v>
      </c>
      <c r="Q32" s="2"/>
    </row>
    <row r="33" spans="1:19" x14ac:dyDescent="0.25">
      <c r="A33" s="11" t="s">
        <v>73</v>
      </c>
      <c r="B33" s="12" t="s">
        <v>58</v>
      </c>
      <c r="C33" s="12" t="s">
        <v>59</v>
      </c>
      <c r="D33" s="31">
        <v>2.8</v>
      </c>
      <c r="E33" s="31">
        <v>0.05</v>
      </c>
      <c r="F33" s="12">
        <v>0.48</v>
      </c>
      <c r="G33" s="36">
        <f t="shared" si="1"/>
        <v>4.833333333333333</v>
      </c>
      <c r="H33" s="12"/>
      <c r="I33" s="12" t="s">
        <v>78</v>
      </c>
      <c r="J33" s="12"/>
      <c r="K33" s="13"/>
      <c r="L33" s="12"/>
      <c r="M33" s="16"/>
      <c r="N33" s="15"/>
      <c r="Q33" s="2"/>
    </row>
    <row r="34" spans="1:19" x14ac:dyDescent="0.25">
      <c r="A34" s="20" t="s">
        <v>119</v>
      </c>
      <c r="B34" s="20" t="s">
        <v>91</v>
      </c>
      <c r="C34" s="20" t="s">
        <v>120</v>
      </c>
      <c r="D34" s="19">
        <v>266.08999999999997</v>
      </c>
      <c r="E34" s="19">
        <v>9.43</v>
      </c>
      <c r="H34" s="20"/>
      <c r="I34" s="20" t="s">
        <v>82</v>
      </c>
      <c r="J34" s="20"/>
      <c r="K34" s="20">
        <v>3000</v>
      </c>
      <c r="L34" s="20"/>
      <c r="M34" s="20"/>
      <c r="N34" s="20" t="s">
        <v>87</v>
      </c>
      <c r="Q34" s="2"/>
    </row>
    <row r="35" spans="1:19" x14ac:dyDescent="0.25">
      <c r="A35" s="32" t="s">
        <v>69</v>
      </c>
      <c r="B35" s="12" t="s">
        <v>92</v>
      </c>
      <c r="C35" s="31" t="s">
        <v>118</v>
      </c>
      <c r="D35" s="31">
        <v>25.2</v>
      </c>
      <c r="E35" s="31">
        <v>0.09</v>
      </c>
      <c r="F35" s="12"/>
      <c r="G35" s="12"/>
      <c r="H35" s="12"/>
      <c r="I35" s="31" t="s">
        <v>78</v>
      </c>
      <c r="J35" s="12"/>
      <c r="K35" s="12"/>
      <c r="L35" s="12"/>
      <c r="M35" s="12"/>
      <c r="N35" s="15"/>
      <c r="Q35" s="2"/>
    </row>
    <row r="36" spans="1:19" x14ac:dyDescent="0.25">
      <c r="A36" s="20" t="s">
        <v>69</v>
      </c>
      <c r="B36" s="20" t="s">
        <v>93</v>
      </c>
      <c r="C36" s="20" t="s">
        <v>104</v>
      </c>
      <c r="D36" s="19">
        <v>10.27</v>
      </c>
      <c r="E36" s="19">
        <v>6.0000000000000001E-3</v>
      </c>
      <c r="H36" s="20"/>
      <c r="I36" s="20" t="s">
        <v>78</v>
      </c>
      <c r="J36" s="20"/>
      <c r="K36" s="29"/>
      <c r="L36" s="22">
        <v>1542000</v>
      </c>
      <c r="M36" s="23">
        <v>0.10100000000000001</v>
      </c>
      <c r="N36" s="20" t="s">
        <v>86</v>
      </c>
    </row>
    <row r="37" spans="1:19" x14ac:dyDescent="0.25">
      <c r="A37" s="11" t="s">
        <v>69</v>
      </c>
      <c r="B37" s="12" t="s">
        <v>105</v>
      </c>
      <c r="C37" s="12" t="s">
        <v>106</v>
      </c>
      <c r="D37" s="31">
        <v>34.78</v>
      </c>
      <c r="E37" s="31">
        <v>4.1000000000000002E-2</v>
      </c>
      <c r="F37" s="12"/>
      <c r="G37" s="12"/>
      <c r="H37" s="12"/>
      <c r="I37" s="12" t="s">
        <v>78</v>
      </c>
      <c r="J37" s="12"/>
      <c r="K37" s="12"/>
      <c r="L37" s="13">
        <f>179000000*M37</f>
        <v>9129000</v>
      </c>
      <c r="M37" s="14">
        <v>5.0999999999999997E-2</v>
      </c>
      <c r="N37" s="15" t="s">
        <v>86</v>
      </c>
    </row>
    <row r="38" spans="1:19" x14ac:dyDescent="0.25">
      <c r="A38" s="20" t="s">
        <v>69</v>
      </c>
      <c r="B38" s="20" t="s">
        <v>94</v>
      </c>
      <c r="C38" s="20" t="s">
        <v>108</v>
      </c>
      <c r="D38" s="19">
        <v>11.03</v>
      </c>
      <c r="E38" s="19">
        <v>4.2000000000000003E-2</v>
      </c>
      <c r="H38" s="20">
        <v>57.3</v>
      </c>
      <c r="I38" s="20" t="s">
        <v>78</v>
      </c>
      <c r="J38" s="20"/>
      <c r="K38" s="20">
        <v>52000</v>
      </c>
      <c r="L38" s="22">
        <v>10400000</v>
      </c>
      <c r="M38" s="23">
        <v>7.9000000000000001E-2</v>
      </c>
      <c r="N38" s="20" t="s">
        <v>86</v>
      </c>
    </row>
    <row r="39" spans="1:19" x14ac:dyDescent="0.25">
      <c r="A39" s="11" t="s">
        <v>69</v>
      </c>
      <c r="B39" s="12" t="s">
        <v>95</v>
      </c>
      <c r="C39" s="12" t="s">
        <v>109</v>
      </c>
      <c r="D39" s="31">
        <v>6.18</v>
      </c>
      <c r="E39" s="31">
        <v>4.0000000000000001E-3</v>
      </c>
      <c r="F39" s="12"/>
      <c r="G39" s="12"/>
      <c r="H39" s="12">
        <v>74</v>
      </c>
      <c r="I39" s="12" t="s">
        <v>78</v>
      </c>
      <c r="J39" s="12"/>
      <c r="K39" s="12">
        <v>69000</v>
      </c>
      <c r="L39" s="12">
        <v>1507000</v>
      </c>
      <c r="M39" s="14">
        <v>0.06</v>
      </c>
      <c r="N39" s="15" t="s">
        <v>86</v>
      </c>
      <c r="Q39" s="5"/>
      <c r="S39" s="4"/>
    </row>
    <row r="40" spans="1:19" x14ac:dyDescent="0.25">
      <c r="A40" s="19" t="s">
        <v>69</v>
      </c>
      <c r="B40" s="20" t="s">
        <v>97</v>
      </c>
      <c r="C40" s="19" t="s">
        <v>111</v>
      </c>
      <c r="D40" s="19">
        <v>3.52</v>
      </c>
      <c r="E40" s="19">
        <v>1.4999999999999999E-2</v>
      </c>
      <c r="H40" s="20"/>
      <c r="I40" s="19" t="s">
        <v>78</v>
      </c>
      <c r="J40" s="20"/>
      <c r="K40" s="20"/>
      <c r="L40" s="22">
        <v>1243000</v>
      </c>
      <c r="M40" s="23">
        <v>7.3999999999999996E-2</v>
      </c>
      <c r="N40" s="19" t="s">
        <v>86</v>
      </c>
    </row>
    <row r="41" spans="1:19" x14ac:dyDescent="0.25">
      <c r="A41" s="11" t="s">
        <v>71</v>
      </c>
      <c r="B41" s="18" t="s">
        <v>98</v>
      </c>
      <c r="C41" s="12" t="s">
        <v>112</v>
      </c>
      <c r="D41" s="31">
        <v>10.67</v>
      </c>
      <c r="E41" s="31">
        <v>0.21</v>
      </c>
      <c r="F41" s="12"/>
      <c r="G41" s="12"/>
      <c r="H41" s="12"/>
      <c r="I41" s="12" t="s">
        <v>78</v>
      </c>
      <c r="J41" s="12"/>
      <c r="K41" s="12"/>
      <c r="L41" s="13">
        <f>1929000+1416000</f>
        <v>3345000</v>
      </c>
      <c r="M41" s="16">
        <f>(3.97*(1.929/(1.929+1.416))+4.08*(1.416/(1.929+1.416)))/100</f>
        <v>4.0165650224215248E-2</v>
      </c>
      <c r="N41" s="15" t="s">
        <v>86</v>
      </c>
    </row>
    <row r="42" spans="1:19" x14ac:dyDescent="0.25">
      <c r="A42" s="20" t="s">
        <v>71</v>
      </c>
      <c r="B42" s="20" t="s">
        <v>99</v>
      </c>
      <c r="C42" s="20" t="s">
        <v>114</v>
      </c>
      <c r="D42" s="19">
        <v>28.58</v>
      </c>
      <c r="E42" s="19">
        <v>0.3</v>
      </c>
      <c r="H42" s="20">
        <v>44.4</v>
      </c>
      <c r="I42" s="20" t="s">
        <v>78</v>
      </c>
      <c r="J42" s="20"/>
      <c r="K42" s="20">
        <v>1500</v>
      </c>
      <c r="L42" s="22">
        <f>19000+1200000*0.0053</f>
        <v>25360</v>
      </c>
      <c r="M42" s="23">
        <f>(2*(19000/25360)+0.53*(6360/25360))/100</f>
        <v>1.6313406940063092E-2</v>
      </c>
      <c r="N42" s="29" t="s">
        <v>87</v>
      </c>
    </row>
    <row r="43" spans="1:19" x14ac:dyDescent="0.25">
      <c r="A43" s="32" t="s">
        <v>71</v>
      </c>
      <c r="B43" s="12" t="s">
        <v>100</v>
      </c>
      <c r="C43" s="31" t="s">
        <v>113</v>
      </c>
      <c r="D43" s="31" t="s">
        <v>126</v>
      </c>
      <c r="E43" s="31">
        <v>6.5000000000000002E-2</v>
      </c>
      <c r="F43" s="12"/>
      <c r="G43" s="12"/>
      <c r="H43" s="12"/>
      <c r="I43" s="31" t="s">
        <v>78</v>
      </c>
      <c r="J43" s="12"/>
      <c r="K43" s="12"/>
      <c r="L43" s="12"/>
      <c r="M43" s="12"/>
      <c r="N43" s="15"/>
      <c r="Q43" s="3"/>
    </row>
    <row r="44" spans="1:19" x14ac:dyDescent="0.25">
      <c r="A44" s="20" t="s">
        <v>69</v>
      </c>
      <c r="B44" s="20" t="s">
        <v>101</v>
      </c>
      <c r="C44" s="20" t="s">
        <v>115</v>
      </c>
      <c r="D44" s="19">
        <v>31.09</v>
      </c>
      <c r="E44" s="19">
        <v>0.06</v>
      </c>
      <c r="H44" s="20"/>
      <c r="I44" s="20" t="s">
        <v>78</v>
      </c>
      <c r="J44" s="30"/>
      <c r="K44" s="20"/>
      <c r="L44" s="20"/>
      <c r="M44" s="20"/>
      <c r="N44" s="20"/>
    </row>
    <row r="45" spans="1:19" x14ac:dyDescent="0.25">
      <c r="A45" s="32" t="s">
        <v>69</v>
      </c>
      <c r="B45" s="12" t="s">
        <v>102</v>
      </c>
      <c r="C45" s="31" t="s">
        <v>116</v>
      </c>
      <c r="D45" s="31">
        <v>14.76</v>
      </c>
      <c r="E45" s="31">
        <v>7.0000000000000007E-2</v>
      </c>
      <c r="F45" s="12"/>
      <c r="G45" s="12"/>
      <c r="H45" s="12"/>
      <c r="I45" s="31" t="s">
        <v>78</v>
      </c>
      <c r="J45" s="12"/>
      <c r="K45" s="12"/>
      <c r="L45" s="13">
        <v>1700000</v>
      </c>
      <c r="M45" s="14">
        <v>0.104</v>
      </c>
      <c r="N45" s="33" t="s">
        <v>86</v>
      </c>
    </row>
    <row r="46" spans="1:19" x14ac:dyDescent="0.25">
      <c r="A46" s="20" t="s">
        <v>69</v>
      </c>
      <c r="B46" s="20" t="s">
        <v>103</v>
      </c>
      <c r="C46" s="20" t="s">
        <v>117</v>
      </c>
      <c r="D46" s="19">
        <v>2.71</v>
      </c>
      <c r="E46" s="19">
        <v>0.03</v>
      </c>
      <c r="F46" s="20"/>
      <c r="H46" s="20"/>
      <c r="I46" s="20" t="s">
        <v>78</v>
      </c>
      <c r="J46" s="20"/>
      <c r="K46" s="20"/>
      <c r="L46" s="21"/>
      <c r="Q46" s="3"/>
    </row>
    <row r="48" spans="1:19" x14ac:dyDescent="0.25">
      <c r="Q48" s="3"/>
    </row>
    <row r="49" spans="1:17" x14ac:dyDescent="0.25">
      <c r="A49" s="19"/>
      <c r="B49" s="20"/>
      <c r="C49" s="19"/>
      <c r="D49" s="19"/>
      <c r="E49" s="20"/>
      <c r="F49" s="20"/>
      <c r="G49" s="20"/>
      <c r="H49" s="19"/>
      <c r="I49" s="20"/>
      <c r="J49" s="20"/>
      <c r="K49" s="22"/>
      <c r="L49" s="23"/>
      <c r="M49" s="19"/>
    </row>
    <row r="50" spans="1:17" x14ac:dyDescent="0.25">
      <c r="A50" s="20"/>
      <c r="B50" s="20"/>
      <c r="C50" s="20"/>
      <c r="D50" s="20"/>
      <c r="E50" s="20"/>
      <c r="F50" s="20"/>
      <c r="G50" s="20"/>
      <c r="H50" s="20"/>
      <c r="I50" s="20"/>
      <c r="J50" s="21"/>
      <c r="K50" s="20"/>
      <c r="L50" s="20"/>
      <c r="M50" s="21"/>
      <c r="Q50" s="3"/>
    </row>
    <row r="51" spans="1:17" x14ac:dyDescent="0.25">
      <c r="A51" s="20"/>
      <c r="B51" s="20"/>
      <c r="C51" s="20"/>
      <c r="D51" s="20"/>
      <c r="E51" s="20"/>
      <c r="F51" s="20"/>
      <c r="G51" s="20"/>
      <c r="H51" s="20"/>
      <c r="I51" s="20"/>
      <c r="J51" s="20"/>
      <c r="K51" s="20"/>
      <c r="L51" s="20"/>
      <c r="M51" s="21"/>
      <c r="P51" s="3"/>
    </row>
    <row r="58" spans="1:17" x14ac:dyDescent="0.25">
      <c r="Q58" s="3"/>
    </row>
    <row r="64" spans="1:17" x14ac:dyDescent="0.25">
      <c r="Q64" s="3"/>
    </row>
    <row r="73" spans="15:15" x14ac:dyDescent="0.25">
      <c r="O73" s="6"/>
    </row>
    <row r="99" spans="15:15" x14ac:dyDescent="0.25">
      <c r="O99" s="6"/>
    </row>
  </sheetData>
  <sortState ref="A2:F36">
    <sortCondition ref="A2:A36"/>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36"/>
  <sheetViews>
    <sheetView topLeftCell="A55" workbookViewId="0">
      <selection activeCell="D41" sqref="D41"/>
    </sheetView>
  </sheetViews>
  <sheetFormatPr defaultRowHeight="15.75" x14ac:dyDescent="0.25"/>
  <cols>
    <col min="1" max="1" width="39.5" customWidth="1"/>
    <col min="2" max="2" width="23.375" customWidth="1"/>
    <col min="3" max="3" width="41.5" customWidth="1"/>
    <col min="4" max="4" width="19.125" customWidth="1"/>
    <col min="5" max="5" width="19.75" customWidth="1"/>
    <col min="6" max="6" width="42.125" customWidth="1"/>
    <col min="7" max="7" width="14.875" customWidth="1"/>
    <col min="8" max="8" width="4.875" customWidth="1"/>
    <col min="9" max="9" width="34.875" customWidth="1"/>
  </cols>
  <sheetData>
    <row r="2" spans="1:10" x14ac:dyDescent="0.25">
      <c r="A2" t="s">
        <v>0</v>
      </c>
      <c r="B2" t="s">
        <v>75</v>
      </c>
      <c r="C2" t="s">
        <v>79</v>
      </c>
    </row>
    <row r="3" spans="1:10" x14ac:dyDescent="0.25">
      <c r="A3" t="s">
        <v>41</v>
      </c>
      <c r="B3" t="s">
        <v>78</v>
      </c>
      <c r="C3" s="2">
        <v>34229</v>
      </c>
      <c r="J3" s="1"/>
    </row>
    <row r="4" spans="1:10" x14ac:dyDescent="0.25">
      <c r="A4" t="s">
        <v>3</v>
      </c>
      <c r="B4" t="s">
        <v>80</v>
      </c>
      <c r="C4" s="2">
        <f>313000</f>
        <v>313000</v>
      </c>
      <c r="J4" s="2"/>
    </row>
    <row r="5" spans="1:10" x14ac:dyDescent="0.25">
      <c r="A5" t="s">
        <v>13</v>
      </c>
      <c r="B5" t="s">
        <v>82</v>
      </c>
      <c r="C5" s="2">
        <f>14000</f>
        <v>14000</v>
      </c>
      <c r="J5" s="1"/>
    </row>
    <row r="6" spans="1:10" x14ac:dyDescent="0.25">
      <c r="A6" t="s">
        <v>25</v>
      </c>
      <c r="B6" t="s">
        <v>78</v>
      </c>
      <c r="C6" s="2"/>
      <c r="J6" s="2"/>
    </row>
    <row r="7" spans="1:10" x14ac:dyDescent="0.25">
      <c r="A7" t="s">
        <v>44</v>
      </c>
      <c r="B7" t="s">
        <v>78</v>
      </c>
      <c r="C7" s="2">
        <v>10000</v>
      </c>
      <c r="J7" s="1"/>
    </row>
    <row r="8" spans="1:10" x14ac:dyDescent="0.25">
      <c r="A8" t="s">
        <v>50</v>
      </c>
      <c r="B8" t="s">
        <v>78</v>
      </c>
      <c r="C8" s="2"/>
    </row>
    <row r="9" spans="1:10" x14ac:dyDescent="0.25">
      <c r="A9" t="s">
        <v>65</v>
      </c>
      <c r="B9" t="s">
        <v>78</v>
      </c>
      <c r="C9" s="2"/>
      <c r="J9" s="3"/>
    </row>
    <row r="10" spans="1:10" x14ac:dyDescent="0.25">
      <c r="A10" t="s">
        <v>67</v>
      </c>
      <c r="B10" t="s">
        <v>78</v>
      </c>
      <c r="C10" s="2"/>
    </row>
    <row r="11" spans="1:10" x14ac:dyDescent="0.25">
      <c r="A11" t="s">
        <v>33</v>
      </c>
      <c r="B11" t="s">
        <v>82</v>
      </c>
      <c r="C11" s="2">
        <v>2100</v>
      </c>
      <c r="J11" s="2"/>
    </row>
    <row r="12" spans="1:10" x14ac:dyDescent="0.25">
      <c r="A12" t="s">
        <v>35</v>
      </c>
      <c r="B12" t="s">
        <v>78</v>
      </c>
      <c r="C12" s="2">
        <v>1000</v>
      </c>
    </row>
    <row r="13" spans="1:10" x14ac:dyDescent="0.25">
      <c r="A13" t="s">
        <v>17</v>
      </c>
      <c r="B13" t="s">
        <v>80</v>
      </c>
      <c r="C13" s="2">
        <v>50000</v>
      </c>
      <c r="J13" s="2"/>
    </row>
    <row r="14" spans="1:10" x14ac:dyDescent="0.25">
      <c r="A14" t="s">
        <v>29</v>
      </c>
      <c r="B14" t="s">
        <v>82</v>
      </c>
      <c r="C14" s="2">
        <v>13000</v>
      </c>
      <c r="J14" s="2"/>
    </row>
    <row r="15" spans="1:10" x14ac:dyDescent="0.25">
      <c r="A15" t="s">
        <v>19</v>
      </c>
      <c r="B15" t="s">
        <v>80</v>
      </c>
      <c r="C15" s="2">
        <v>44300</v>
      </c>
      <c r="J15" s="2"/>
    </row>
    <row r="16" spans="1:10" x14ac:dyDescent="0.25">
      <c r="A16" t="s">
        <v>60</v>
      </c>
      <c r="B16" t="s">
        <v>78</v>
      </c>
      <c r="C16" s="2"/>
    </row>
    <row r="17" spans="1:10" x14ac:dyDescent="0.25">
      <c r="A17" t="s">
        <v>53</v>
      </c>
      <c r="B17" t="s">
        <v>78</v>
      </c>
      <c r="C17" s="2"/>
    </row>
    <row r="18" spans="1:10" x14ac:dyDescent="0.25">
      <c r="A18" t="s">
        <v>27</v>
      </c>
      <c r="B18" t="s">
        <v>78</v>
      </c>
      <c r="C18" s="2"/>
      <c r="J18" s="2"/>
    </row>
    <row r="19" spans="1:10" x14ac:dyDescent="0.25">
      <c r="A19" t="s">
        <v>37</v>
      </c>
      <c r="B19" t="s">
        <v>78</v>
      </c>
      <c r="C19" s="2"/>
      <c r="J19" s="4"/>
    </row>
    <row r="20" spans="1:10" x14ac:dyDescent="0.25">
      <c r="A20" t="s">
        <v>23</v>
      </c>
      <c r="B20" t="s">
        <v>80</v>
      </c>
      <c r="C20" s="2">
        <v>40000</v>
      </c>
      <c r="J20" s="2"/>
    </row>
    <row r="21" spans="1:10" x14ac:dyDescent="0.25">
      <c r="A21" t="s">
        <v>31</v>
      </c>
      <c r="B21" t="s">
        <v>78</v>
      </c>
      <c r="C21" s="2">
        <f>2400000*0.0473</f>
        <v>113520</v>
      </c>
      <c r="J21" s="2"/>
    </row>
    <row r="22" spans="1:10" x14ac:dyDescent="0.25">
      <c r="A22" t="s">
        <v>46</v>
      </c>
      <c r="B22" t="s">
        <v>78</v>
      </c>
      <c r="C22" s="2"/>
    </row>
    <row r="23" spans="1:10" x14ac:dyDescent="0.25">
      <c r="A23" t="s">
        <v>9</v>
      </c>
      <c r="B23" t="s">
        <v>80</v>
      </c>
      <c r="C23" s="2">
        <v>200000</v>
      </c>
      <c r="J23" s="1"/>
    </row>
    <row r="24" spans="1:10" x14ac:dyDescent="0.25">
      <c r="A24" t="s">
        <v>52</v>
      </c>
      <c r="B24" t="s">
        <v>78</v>
      </c>
      <c r="C24" s="2"/>
    </row>
    <row r="25" spans="1:10" x14ac:dyDescent="0.25">
      <c r="A25" t="s">
        <v>15</v>
      </c>
      <c r="B25" t="s">
        <v>80</v>
      </c>
      <c r="C25" s="2">
        <v>51900</v>
      </c>
      <c r="J25" s="1"/>
    </row>
    <row r="26" spans="1:10" x14ac:dyDescent="0.25">
      <c r="A26" t="s">
        <v>43</v>
      </c>
      <c r="B26" t="s">
        <v>80</v>
      </c>
      <c r="C26" s="2">
        <v>5000</v>
      </c>
    </row>
    <row r="27" spans="1:10" x14ac:dyDescent="0.25">
      <c r="A27" t="s">
        <v>54</v>
      </c>
      <c r="B27" t="s">
        <v>78</v>
      </c>
      <c r="C27" s="2"/>
    </row>
    <row r="28" spans="1:10" x14ac:dyDescent="0.25">
      <c r="A28" t="s">
        <v>21</v>
      </c>
      <c r="B28" t="s">
        <v>78</v>
      </c>
      <c r="C28" s="2">
        <v>44200</v>
      </c>
      <c r="J28" s="1"/>
    </row>
    <row r="29" spans="1:10" x14ac:dyDescent="0.25">
      <c r="A29" t="s">
        <v>56</v>
      </c>
      <c r="B29" t="s">
        <v>78</v>
      </c>
      <c r="C29" s="2"/>
    </row>
    <row r="30" spans="1:10" x14ac:dyDescent="0.25">
      <c r="A30" t="s">
        <v>48</v>
      </c>
      <c r="B30" t="s">
        <v>78</v>
      </c>
      <c r="C30" s="2"/>
    </row>
    <row r="31" spans="1:10" x14ac:dyDescent="0.25">
      <c r="A31" t="s">
        <v>61</v>
      </c>
      <c r="B31" t="s">
        <v>78</v>
      </c>
      <c r="C31" s="2"/>
    </row>
    <row r="32" spans="1:10" x14ac:dyDescent="0.25">
      <c r="A32" t="s">
        <v>63</v>
      </c>
      <c r="B32" t="s">
        <v>82</v>
      </c>
      <c r="C32" s="2">
        <v>3600</v>
      </c>
      <c r="J32" s="1"/>
    </row>
    <row r="33" spans="1:10" x14ac:dyDescent="0.25">
      <c r="A33" t="s">
        <v>11</v>
      </c>
      <c r="B33" t="s">
        <v>80</v>
      </c>
      <c r="C33" s="2">
        <v>46000</v>
      </c>
      <c r="J33" s="2"/>
    </row>
    <row r="34" spans="1:10" x14ac:dyDescent="0.25">
      <c r="A34" t="s">
        <v>5</v>
      </c>
      <c r="B34" t="s">
        <v>78</v>
      </c>
      <c r="C34" s="2">
        <v>210000</v>
      </c>
      <c r="J34" s="1"/>
    </row>
    <row r="35" spans="1:10" x14ac:dyDescent="0.25">
      <c r="A35" t="s">
        <v>39</v>
      </c>
      <c r="B35" t="s">
        <v>78</v>
      </c>
      <c r="C35" s="2"/>
    </row>
    <row r="36" spans="1:10" x14ac:dyDescent="0.25">
      <c r="A36" t="s">
        <v>7</v>
      </c>
      <c r="B36" t="s">
        <v>78</v>
      </c>
      <c r="C36" s="2">
        <v>30000</v>
      </c>
      <c r="J36"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Graphite Listings-8</vt:lpstr>
      <vt:lpstr>TreeMap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Céleste Bouchard</cp:lastModifiedBy>
  <dcterms:created xsi:type="dcterms:W3CDTF">2015-10-04T20:06:14Z</dcterms:created>
  <dcterms:modified xsi:type="dcterms:W3CDTF">2016-04-19T17:41:21Z</dcterms:modified>
</cp:coreProperties>
</file>