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hisen/Desktop/GitHub/bachelor/"/>
    </mc:Choice>
  </mc:AlternateContent>
  <xr:revisionPtr revIDLastSave="0" documentId="13_ncr:1_{2B382EA6-9C67-CF4A-9D19-CF1CD6BA4CFF}" xr6:coauthVersionLast="47" xr6:coauthVersionMax="47" xr10:uidLastSave="{00000000-0000-0000-0000-000000000000}"/>
  <bookViews>
    <workbookView xWindow="0" yWindow="860" windowWidth="15220" windowHeight="21380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2" l="1"/>
  <c r="H121" i="2"/>
  <c r="H241" i="2"/>
  <c r="H286" i="2"/>
  <c r="H287" i="2"/>
  <c r="H25" i="2"/>
  <c r="H73" i="2"/>
  <c r="H215" i="2"/>
  <c r="H114" i="2"/>
  <c r="H236" i="2"/>
  <c r="H145" i="2"/>
  <c r="H192" i="2"/>
  <c r="H22" i="2"/>
  <c r="H143" i="2"/>
  <c r="H193" i="2"/>
  <c r="H49" i="2"/>
  <c r="H24" i="2"/>
  <c r="H141" i="2"/>
  <c r="H23" i="2"/>
  <c r="H216" i="2"/>
  <c r="H43" i="2"/>
  <c r="H96" i="2"/>
  <c r="H217" i="2"/>
  <c r="H282" i="2"/>
  <c r="H40" i="2"/>
  <c r="H230" i="2"/>
  <c r="H119" i="2"/>
  <c r="H285" i="2"/>
  <c r="H97" i="2"/>
  <c r="H113" i="2"/>
  <c r="H237" i="2"/>
  <c r="H71" i="2"/>
  <c r="H92" i="2"/>
  <c r="H94" i="2"/>
  <c r="H190" i="2"/>
  <c r="H46" i="2"/>
  <c r="H289" i="2"/>
  <c r="H68" i="2"/>
  <c r="H191" i="2"/>
  <c r="H312" i="2"/>
  <c r="H166" i="2"/>
  <c r="H15" i="2"/>
  <c r="H20" i="2"/>
  <c r="H139" i="2"/>
  <c r="H142" i="2"/>
  <c r="H212" i="2"/>
  <c r="H261" i="2"/>
  <c r="H309" i="2"/>
  <c r="H11" i="2"/>
  <c r="H65" i="2"/>
  <c r="H70" i="2"/>
  <c r="H95" i="2"/>
  <c r="H140" i="2"/>
  <c r="H185" i="2"/>
  <c r="H187" i="2"/>
  <c r="H189" i="2"/>
  <c r="H235" i="2"/>
  <c r="H8" i="2"/>
  <c r="H61" i="2"/>
  <c r="H72" i="2"/>
  <c r="H111" i="2"/>
  <c r="H116" i="2"/>
  <c r="H144" i="2"/>
  <c r="H153" i="2"/>
  <c r="H208" i="2"/>
  <c r="H238" i="2"/>
  <c r="H263" i="2"/>
  <c r="H21" i="2"/>
  <c r="H14" i="2"/>
  <c r="H39" i="2"/>
  <c r="H45" i="2"/>
  <c r="H188" i="2"/>
  <c r="H206" i="2"/>
  <c r="H232" i="2"/>
  <c r="H260" i="2"/>
  <c r="H280" i="2"/>
  <c r="H283" i="2"/>
  <c r="H311" i="2"/>
  <c r="H13" i="2"/>
  <c r="H115" i="2"/>
  <c r="H118" i="2"/>
  <c r="H130" i="2"/>
  <c r="H159" i="2"/>
  <c r="H207" i="2"/>
  <c r="H88" i="2"/>
  <c r="H62" i="2"/>
  <c r="H83" i="2"/>
  <c r="H93" i="2"/>
  <c r="H162" i="2"/>
  <c r="H163" i="2"/>
  <c r="H213" i="2"/>
  <c r="H233" i="2"/>
  <c r="H18" i="2"/>
  <c r="H48" i="2"/>
  <c r="H89" i="2"/>
  <c r="H90" i="2"/>
  <c r="H155" i="2"/>
  <c r="H167" i="2"/>
  <c r="H186" i="2"/>
  <c r="H229" i="2"/>
  <c r="H239" i="2"/>
  <c r="H313" i="2"/>
  <c r="H16" i="2"/>
  <c r="H84" i="2"/>
  <c r="H86" i="2"/>
  <c r="H107" i="2"/>
  <c r="H120" i="2"/>
  <c r="H148" i="2"/>
  <c r="H164" i="2"/>
  <c r="H182" i="2"/>
  <c r="H211" i="2"/>
  <c r="H214" i="2"/>
  <c r="H227" i="2"/>
  <c r="H299" i="2"/>
  <c r="H36" i="2"/>
  <c r="H64" i="2"/>
  <c r="H156" i="2"/>
  <c r="H165" i="2"/>
  <c r="H228" i="2"/>
  <c r="H44" i="2"/>
  <c r="H59" i="2"/>
  <c r="H66" i="2"/>
  <c r="H69" i="2"/>
  <c r="H81" i="2"/>
  <c r="H197" i="2"/>
  <c r="H203" i="2"/>
  <c r="H205" i="2"/>
  <c r="H307" i="2"/>
  <c r="H54" i="2"/>
  <c r="H56" i="2"/>
  <c r="H63" i="2"/>
  <c r="H67" i="2"/>
  <c r="H91" i="2"/>
  <c r="H108" i="2"/>
  <c r="H112" i="2"/>
  <c r="H157" i="2"/>
  <c r="H198" i="2"/>
  <c r="H234" i="2"/>
  <c r="H257" i="2"/>
  <c r="H259" i="2"/>
  <c r="H265" i="2"/>
  <c r="H304" i="2"/>
  <c r="H9" i="2"/>
  <c r="H60" i="2"/>
  <c r="H87" i="2"/>
  <c r="H109" i="2"/>
  <c r="H181" i="2"/>
  <c r="H183" i="2"/>
  <c r="H184" i="2"/>
  <c r="H264" i="2"/>
  <c r="H308" i="2"/>
  <c r="H17" i="2"/>
  <c r="H47" i="2"/>
  <c r="H57" i="2"/>
  <c r="H58" i="2"/>
  <c r="H102" i="2"/>
  <c r="H106" i="2"/>
  <c r="H138" i="2"/>
  <c r="H204" i="2"/>
  <c r="H276" i="2"/>
  <c r="H277" i="2"/>
  <c r="H301" i="2"/>
  <c r="H30" i="2"/>
  <c r="H310" i="2"/>
  <c r="H19" i="2"/>
  <c r="H37" i="2"/>
  <c r="H38" i="2"/>
  <c r="H52" i="2"/>
  <c r="H134" i="2"/>
  <c r="H135" i="2"/>
  <c r="H150" i="2"/>
  <c r="H160" i="2"/>
  <c r="H161" i="2"/>
  <c r="H180" i="2"/>
  <c r="H210" i="2"/>
  <c r="H222" i="2"/>
  <c r="H231" i="2"/>
  <c r="H262" i="2"/>
  <c r="H281" i="2"/>
  <c r="H306" i="2"/>
  <c r="H3" i="2"/>
  <c r="H151" i="2"/>
  <c r="H168" i="2"/>
  <c r="H194" i="2"/>
  <c r="H41" i="2"/>
  <c r="H104" i="2"/>
  <c r="H105" i="2"/>
  <c r="H240" i="2"/>
  <c r="H254" i="2"/>
  <c r="H278" i="2"/>
  <c r="H293" i="2"/>
  <c r="H303" i="2"/>
  <c r="H80" i="2"/>
  <c r="H179" i="2"/>
  <c r="H250" i="2"/>
  <c r="H271" i="2"/>
  <c r="H295" i="2"/>
  <c r="H34" i="2"/>
  <c r="H82" i="2"/>
  <c r="H103" i="2"/>
  <c r="H117" i="2"/>
  <c r="H133" i="2"/>
  <c r="H199" i="2"/>
  <c r="H202" i="2"/>
  <c r="H226" i="2"/>
  <c r="H248" i="2"/>
  <c r="H256" i="2"/>
  <c r="H284" i="2"/>
  <c r="H296" i="2"/>
  <c r="H302" i="2"/>
  <c r="H305" i="2"/>
  <c r="H5" i="2"/>
  <c r="H201" i="2"/>
  <c r="H223" i="2"/>
  <c r="H251" i="2"/>
  <c r="H288" i="2"/>
  <c r="H298" i="2"/>
  <c r="H300" i="2"/>
  <c r="H31" i="2"/>
  <c r="H51" i="2"/>
  <c r="H76" i="2"/>
  <c r="H178" i="2"/>
  <c r="H209" i="2"/>
  <c r="H252" i="2"/>
  <c r="H253" i="2"/>
  <c r="H255" i="2"/>
  <c r="H279" i="2"/>
  <c r="H35" i="2"/>
  <c r="H12" i="2"/>
  <c r="H29" i="2"/>
  <c r="H32" i="2"/>
  <c r="H42" i="2"/>
  <c r="H128" i="2"/>
  <c r="H129" i="2"/>
  <c r="H225" i="2"/>
  <c r="H6" i="2"/>
  <c r="H85" i="2"/>
  <c r="H99" i="2"/>
  <c r="H154" i="2"/>
  <c r="H196" i="2"/>
  <c r="H224" i="2"/>
  <c r="H246" i="2"/>
  <c r="H272" i="2"/>
  <c r="H273" i="2"/>
  <c r="H297" i="2"/>
  <c r="H7" i="2"/>
  <c r="H249" i="2"/>
  <c r="H131" i="2"/>
  <c r="H110" i="2"/>
  <c r="H28" i="2"/>
  <c r="H55" i="2"/>
  <c r="H78" i="2"/>
  <c r="H100" i="2"/>
  <c r="H158" i="2"/>
  <c r="H175" i="2"/>
  <c r="H221" i="2"/>
  <c r="H10" i="2"/>
  <c r="H152" i="2"/>
  <c r="H268" i="2"/>
  <c r="H137" i="2"/>
  <c r="H136" i="2"/>
  <c r="H172" i="2"/>
  <c r="H176" i="2"/>
  <c r="H247" i="2"/>
  <c r="H294" i="2"/>
  <c r="H27" i="2"/>
  <c r="H98" i="2"/>
  <c r="H127" i="2"/>
  <c r="H132" i="2"/>
  <c r="H149" i="2"/>
  <c r="H174" i="2"/>
  <c r="H177" i="2"/>
  <c r="H219" i="2"/>
  <c r="H258" i="2"/>
  <c r="H270" i="2"/>
  <c r="H274" i="2"/>
  <c r="H275" i="2"/>
  <c r="H50" i="2"/>
  <c r="H77" i="2"/>
  <c r="H33" i="2"/>
  <c r="H74" i="2"/>
  <c r="H126" i="2"/>
  <c r="H266" i="2"/>
  <c r="H53" i="2"/>
  <c r="H124" i="2"/>
  <c r="H173" i="2"/>
  <c r="H244" i="2"/>
  <c r="H4" i="2"/>
  <c r="H195" i="2"/>
  <c r="H200" i="2"/>
  <c r="H26" i="2"/>
  <c r="H146" i="2"/>
  <c r="H147" i="2"/>
  <c r="H269" i="2"/>
  <c r="H79" i="2"/>
  <c r="H171" i="2"/>
  <c r="H245" i="2"/>
  <c r="H267" i="2"/>
  <c r="H291" i="2"/>
  <c r="H292" i="2"/>
  <c r="H170" i="2"/>
  <c r="H220" i="2"/>
  <c r="H101" i="2"/>
  <c r="H75" i="2"/>
  <c r="H242" i="2"/>
  <c r="H125" i="2"/>
  <c r="H218" i="2"/>
  <c r="H290" i="2"/>
  <c r="H122" i="2"/>
  <c r="H2" i="2"/>
  <c r="H123" i="2"/>
  <c r="H243" i="2"/>
  <c r="H208" i="1"/>
  <c r="H90" i="1"/>
  <c r="H54" i="1"/>
  <c r="G42" i="1"/>
  <c r="H8" i="1"/>
  <c r="H80" i="1"/>
  <c r="H241" i="1"/>
  <c r="H41" i="1"/>
  <c r="H180" i="1"/>
  <c r="H139" i="1"/>
  <c r="H238" i="1"/>
  <c r="H40" i="1"/>
  <c r="H260" i="1"/>
  <c r="H20" i="1"/>
  <c r="H240" i="1"/>
  <c r="H39" i="1"/>
  <c r="H181" i="1"/>
  <c r="H220" i="1"/>
  <c r="H121" i="1"/>
  <c r="H201" i="1"/>
  <c r="H81" i="1"/>
  <c r="H60" i="1"/>
  <c r="H101" i="1"/>
  <c r="H261" i="1"/>
  <c r="H59" i="1"/>
  <c r="H256" i="1"/>
  <c r="H12" i="1"/>
  <c r="H136" i="1"/>
  <c r="H175" i="1"/>
  <c r="H21" i="1"/>
  <c r="H141" i="1"/>
  <c r="H179" i="1"/>
  <c r="H56" i="1"/>
  <c r="H138" i="1"/>
  <c r="H154" i="1"/>
  <c r="H160" i="1"/>
  <c r="H176" i="1"/>
  <c r="H216" i="1"/>
  <c r="H257" i="1"/>
  <c r="H259" i="1"/>
  <c r="H57" i="1"/>
  <c r="H120" i="1"/>
  <c r="H130" i="1"/>
  <c r="H198" i="1"/>
  <c r="H236" i="1"/>
  <c r="H117" i="1"/>
  <c r="H33" i="1"/>
  <c r="H38" i="1"/>
  <c r="H215" i="1"/>
  <c r="H237" i="1"/>
  <c r="H18" i="1"/>
  <c r="H177" i="1"/>
  <c r="H199" i="1"/>
  <c r="H119" i="1"/>
  <c r="H155" i="1"/>
  <c r="H200" i="1"/>
  <c r="H132" i="1"/>
  <c r="H133" i="1"/>
  <c r="H135" i="1"/>
  <c r="H221" i="1"/>
  <c r="H249" i="1"/>
  <c r="H96" i="1"/>
  <c r="H79" i="1"/>
  <c r="H118" i="1"/>
  <c r="H197" i="1"/>
  <c r="H213" i="1"/>
  <c r="H232" i="1"/>
  <c r="H36" i="1"/>
  <c r="H76" i="1"/>
  <c r="H153" i="1"/>
  <c r="H17" i="1"/>
  <c r="H55" i="1"/>
  <c r="H61" i="1"/>
  <c r="H75" i="1"/>
  <c r="H150" i="1"/>
  <c r="H178" i="1"/>
  <c r="H192" i="1"/>
  <c r="H53" i="1"/>
  <c r="H16" i="1"/>
  <c r="H71" i="1"/>
  <c r="H78" i="1"/>
  <c r="H172" i="1"/>
  <c r="H229" i="1"/>
  <c r="H10" i="1"/>
  <c r="H52" i="1"/>
  <c r="H149" i="1"/>
  <c r="H157" i="1"/>
  <c r="H194" i="1"/>
  <c r="H254" i="1"/>
  <c r="H19" i="1"/>
  <c r="H49" i="1"/>
  <c r="H98" i="1"/>
  <c r="H227" i="1"/>
  <c r="H258" i="1"/>
  <c r="H13" i="1"/>
  <c r="H234" i="1"/>
  <c r="H15" i="1"/>
  <c r="H134" i="1"/>
  <c r="H158" i="1"/>
  <c r="H159" i="1"/>
  <c r="H161" i="1"/>
  <c r="H193" i="1"/>
  <c r="H11" i="1"/>
  <c r="H110" i="1"/>
  <c r="H112" i="1"/>
  <c r="H137" i="1"/>
  <c r="H152" i="1"/>
  <c r="H171" i="1"/>
  <c r="H218" i="1"/>
  <c r="H255" i="1"/>
  <c r="H95" i="1"/>
  <c r="H73" i="1"/>
  <c r="H156" i="1"/>
  <c r="H167" i="1"/>
  <c r="H185" i="1"/>
  <c r="H196" i="1"/>
  <c r="H210" i="1"/>
  <c r="H235" i="1"/>
  <c r="H58" i="1"/>
  <c r="H37" i="1"/>
  <c r="H51" i="1"/>
  <c r="H77" i="1"/>
  <c r="H86" i="1"/>
  <c r="H97" i="1"/>
  <c r="H100" i="1"/>
  <c r="H111" i="1"/>
  <c r="H140" i="1"/>
  <c r="H173" i="1"/>
  <c r="H219" i="1"/>
  <c r="H239" i="1"/>
  <c r="H247" i="1"/>
  <c r="H251" i="1"/>
  <c r="H35" i="1"/>
  <c r="H70" i="1"/>
  <c r="H113" i="1"/>
  <c r="H214" i="1"/>
  <c r="H31" i="1"/>
  <c r="H30" i="1"/>
  <c r="H32" i="1"/>
  <c r="H50" i="1"/>
  <c r="H67" i="1"/>
  <c r="H74" i="1"/>
  <c r="H91" i="1"/>
  <c r="H94" i="1"/>
  <c r="H99" i="1"/>
  <c r="H108" i="1"/>
  <c r="H116" i="1"/>
  <c r="H131" i="1"/>
  <c r="H147" i="1"/>
  <c r="H166" i="1"/>
  <c r="H228" i="1"/>
  <c r="H26" i="1"/>
  <c r="H92" i="1"/>
  <c r="H109" i="1"/>
  <c r="H114" i="1"/>
  <c r="H191" i="1"/>
  <c r="H195" i="1"/>
  <c r="H206" i="1"/>
  <c r="H63" i="1"/>
  <c r="H89" i="1"/>
  <c r="H252" i="1"/>
  <c r="H24" i="1"/>
  <c r="H72" i="1"/>
  <c r="H87" i="1"/>
  <c r="H115" i="1"/>
  <c r="H129" i="1"/>
  <c r="H170" i="1"/>
  <c r="H174" i="1"/>
  <c r="H189" i="1"/>
  <c r="H211" i="1"/>
  <c r="H226" i="1"/>
  <c r="H14" i="1"/>
  <c r="H151" i="1"/>
  <c r="H187" i="1"/>
  <c r="H207" i="1"/>
  <c r="H246" i="1"/>
  <c r="H253" i="1"/>
  <c r="H93" i="1"/>
  <c r="H27" i="1"/>
  <c r="H34" i="1"/>
  <c r="H46" i="1"/>
  <c r="H69" i="1"/>
  <c r="H168" i="1"/>
  <c r="H169" i="1"/>
  <c r="H212" i="1"/>
  <c r="H217" i="1"/>
  <c r="H233" i="1"/>
  <c r="H248" i="1"/>
  <c r="H250" i="1"/>
  <c r="H6" i="1"/>
  <c r="H126" i="1"/>
  <c r="H128" i="1"/>
  <c r="H203" i="1"/>
  <c r="H230" i="1"/>
  <c r="H7" i="1"/>
  <c r="H9" i="1"/>
  <c r="H42" i="1"/>
  <c r="H48" i="1"/>
  <c r="H68" i="1"/>
  <c r="H231" i="1"/>
  <c r="H243" i="1"/>
  <c r="H244" i="1"/>
  <c r="H5" i="1"/>
  <c r="H204" i="1"/>
  <c r="H125" i="1"/>
  <c r="H65" i="1"/>
  <c r="H105" i="1"/>
  <c r="H107" i="1"/>
  <c r="H186" i="1"/>
  <c r="H25" i="1"/>
  <c r="H29" i="1"/>
  <c r="H47" i="1"/>
  <c r="H188" i="1"/>
  <c r="H225" i="1"/>
  <c r="H28" i="1"/>
  <c r="H66" i="1"/>
  <c r="H124" i="1"/>
  <c r="H148" i="1"/>
  <c r="H164" i="1"/>
  <c r="H165" i="1"/>
  <c r="H190" i="1"/>
  <c r="H209" i="1"/>
  <c r="H44" i="1"/>
  <c r="H145" i="1"/>
  <c r="H146" i="1"/>
  <c r="H83" i="1"/>
  <c r="H45" i="1"/>
  <c r="H62" i="1"/>
  <c r="H85" i="1"/>
  <c r="H2" i="1"/>
  <c r="H102" i="1"/>
  <c r="H103" i="1"/>
  <c r="H144" i="1"/>
  <c r="H184" i="1"/>
  <c r="H205" i="1"/>
  <c r="H84" i="1"/>
  <c r="H106" i="1"/>
  <c r="H183" i="1"/>
  <c r="H104" i="1"/>
  <c r="H43" i="1"/>
  <c r="H4" i="1"/>
  <c r="H23" i="1"/>
  <c r="H88" i="1"/>
  <c r="H122" i="1"/>
  <c r="H182" i="1"/>
  <c r="H224" i="1"/>
  <c r="H242" i="1"/>
  <c r="H245" i="1"/>
  <c r="H3" i="1"/>
  <c r="H202" i="1"/>
  <c r="H82" i="1"/>
  <c r="H127" i="1"/>
  <c r="H22" i="1"/>
  <c r="H143" i="1"/>
  <c r="H142" i="1"/>
  <c r="H64" i="1"/>
  <c r="H222" i="1"/>
  <c r="H223" i="1"/>
  <c r="H123" i="1"/>
  <c r="H162" i="1"/>
  <c r="H163" i="1"/>
  <c r="G5" i="1"/>
  <c r="G266" i="2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G142" i="1"/>
  <c r="G183" i="1"/>
  <c r="G62" i="1"/>
  <c r="G63" i="1"/>
  <c r="G222" i="1"/>
  <c r="G162" i="1"/>
  <c r="G242" i="1"/>
  <c r="G223" i="1"/>
  <c r="G22" i="1"/>
  <c r="G163" i="1"/>
  <c r="G23" i="1"/>
  <c r="G243" i="1"/>
  <c r="G123" i="1"/>
  <c r="G182" i="1"/>
  <c r="G122" i="1"/>
  <c r="G145" i="1"/>
  <c r="G202" i="1"/>
  <c r="G83" i="1"/>
  <c r="G124" i="1"/>
  <c r="G125" i="1"/>
  <c r="G2" i="1"/>
  <c r="G126" i="1"/>
  <c r="G224" i="1"/>
  <c r="G246" i="1"/>
  <c r="G44" i="1"/>
  <c r="G147" i="1"/>
  <c r="G144" i="1"/>
  <c r="G24" i="1"/>
  <c r="G166" i="1"/>
  <c r="G203" i="1"/>
  <c r="G82" i="1"/>
  <c r="G45" i="1"/>
  <c r="G247" i="1"/>
  <c r="G84" i="1"/>
  <c r="G64" i="1"/>
  <c r="G105" i="1"/>
  <c r="G48" i="1"/>
  <c r="G249" i="1"/>
  <c r="G185" i="1"/>
  <c r="G104" i="1"/>
  <c r="G225" i="1"/>
  <c r="G3" i="1"/>
  <c r="G102" i="1"/>
  <c r="G206" i="1"/>
  <c r="G204" i="1"/>
  <c r="G143" i="1"/>
  <c r="G245" i="1"/>
  <c r="G208" i="1"/>
  <c r="G65" i="1"/>
  <c r="G186" i="1"/>
  <c r="G165" i="1"/>
  <c r="G43" i="1"/>
  <c r="G184" i="1"/>
  <c r="G46" i="1"/>
  <c r="G25" i="1"/>
  <c r="G103" i="1"/>
  <c r="G167" i="1"/>
  <c r="G108" i="1"/>
  <c r="G27" i="1"/>
  <c r="G68" i="1"/>
  <c r="G164" i="1"/>
  <c r="G109" i="1"/>
  <c r="G146" i="1"/>
  <c r="G128" i="1"/>
  <c r="G210" i="1"/>
  <c r="G229" i="1"/>
  <c r="G207" i="1"/>
  <c r="G85" i="1"/>
  <c r="G226" i="1"/>
  <c r="G187" i="1"/>
  <c r="G66" i="1"/>
  <c r="G228" i="1"/>
  <c r="G4" i="1"/>
  <c r="G111" i="1"/>
  <c r="G112" i="1"/>
  <c r="G107" i="1"/>
  <c r="G7" i="1"/>
  <c r="G250" i="1"/>
  <c r="G205" i="1"/>
  <c r="G244" i="1"/>
  <c r="G86" i="1"/>
  <c r="G227" i="1"/>
  <c r="G189" i="1"/>
  <c r="G175" i="1"/>
  <c r="G150" i="1"/>
  <c r="G13" i="1"/>
  <c r="G26" i="1"/>
  <c r="G12" i="1"/>
  <c r="G209" i="1"/>
  <c r="G212" i="1"/>
  <c r="G20" i="1"/>
  <c r="G130" i="1"/>
  <c r="G47" i="1"/>
  <c r="G251" i="1"/>
  <c r="G67" i="1"/>
  <c r="G6" i="1"/>
  <c r="G169" i="1"/>
  <c r="G127" i="1"/>
  <c r="G88" i="1"/>
  <c r="G73" i="1"/>
  <c r="G69" i="1"/>
  <c r="G49" i="1"/>
  <c r="G235" i="1"/>
  <c r="G87" i="1"/>
  <c r="G33" i="1"/>
  <c r="G172" i="1"/>
  <c r="G171" i="1"/>
  <c r="G15" i="1"/>
  <c r="G248" i="1"/>
  <c r="G173" i="1"/>
  <c r="G170" i="1"/>
  <c r="G259" i="1"/>
  <c r="G192" i="1"/>
  <c r="G188" i="1"/>
  <c r="G8" i="1"/>
  <c r="G135" i="1"/>
  <c r="G233" i="1"/>
  <c r="G53" i="1"/>
  <c r="G28" i="1"/>
  <c r="G106" i="1"/>
  <c r="G55" i="1"/>
  <c r="G197" i="1"/>
  <c r="G9" i="1"/>
  <c r="G40" i="1"/>
  <c r="G234" i="1"/>
  <c r="G92" i="1"/>
  <c r="G30" i="1"/>
  <c r="G260" i="1"/>
  <c r="G133" i="1"/>
  <c r="G90" i="1"/>
  <c r="G118" i="1"/>
  <c r="G154" i="1"/>
  <c r="G10" i="1"/>
  <c r="G56" i="1"/>
  <c r="G91" i="1"/>
  <c r="G211" i="1"/>
  <c r="G216" i="1"/>
  <c r="G50" i="1"/>
  <c r="G132" i="1"/>
  <c r="G59" i="1"/>
  <c r="G168" i="1"/>
  <c r="G29" i="1"/>
  <c r="G16" i="1"/>
  <c r="G39" i="1"/>
  <c r="G95" i="1"/>
  <c r="G213" i="1"/>
  <c r="G89" i="1"/>
  <c r="G18" i="1"/>
  <c r="G14" i="1"/>
  <c r="G117" i="1"/>
  <c r="G153" i="1"/>
  <c r="G176" i="1"/>
  <c r="G152" i="1"/>
  <c r="G57" i="1"/>
  <c r="G177" i="1"/>
  <c r="G70" i="1"/>
  <c r="G34" i="1"/>
  <c r="G136" i="1"/>
  <c r="G31" i="1"/>
  <c r="G51" i="1"/>
  <c r="G11" i="1"/>
  <c r="G149" i="1"/>
  <c r="G193" i="1"/>
  <c r="G119" i="1"/>
  <c r="G232" i="1"/>
  <c r="G155" i="1"/>
  <c r="G93" i="1"/>
  <c r="G32" i="1"/>
  <c r="G191" i="1"/>
  <c r="G237" i="1"/>
  <c r="G71" i="1"/>
  <c r="G38" i="1"/>
  <c r="G60" i="1"/>
  <c r="G236" i="1"/>
  <c r="G78" i="1"/>
  <c r="G131" i="1"/>
  <c r="G21" i="1"/>
  <c r="G230" i="1"/>
  <c r="G238" i="1"/>
  <c r="G174" i="1"/>
  <c r="G101" i="1"/>
  <c r="G113" i="1"/>
  <c r="G255" i="1"/>
  <c r="G36" i="1"/>
  <c r="G198" i="1"/>
  <c r="G215" i="1"/>
  <c r="G129" i="1"/>
  <c r="G110" i="1"/>
  <c r="G134" i="1"/>
  <c r="G58" i="1"/>
  <c r="G75" i="1"/>
  <c r="G52" i="1"/>
  <c r="G199" i="1"/>
  <c r="G217" i="1"/>
  <c r="G252" i="1"/>
  <c r="G80" i="1"/>
  <c r="G96" i="1"/>
  <c r="G114" i="1"/>
  <c r="G138" i="1"/>
  <c r="G74" i="1"/>
  <c r="G41" i="1"/>
  <c r="G17" i="1"/>
  <c r="G196" i="1"/>
  <c r="G137" i="1"/>
  <c r="G116" i="1"/>
  <c r="G151" i="1"/>
  <c r="G120" i="1"/>
  <c r="G190" i="1"/>
  <c r="G76" i="1"/>
  <c r="G253" i="1"/>
  <c r="G194" i="1"/>
  <c r="G257" i="1"/>
  <c r="G94" i="1"/>
  <c r="G231" i="1"/>
  <c r="G77" i="1"/>
  <c r="G37" i="1"/>
  <c r="G256" i="1"/>
  <c r="G139" i="1"/>
  <c r="G158" i="1"/>
  <c r="G19" i="1"/>
  <c r="G148" i="1"/>
  <c r="G261" i="1"/>
  <c r="G200" i="1"/>
  <c r="G214" i="1"/>
  <c r="G35" i="1"/>
  <c r="G178" i="1"/>
  <c r="G220" i="1"/>
  <c r="G160" i="1"/>
  <c r="G156" i="1"/>
  <c r="G239" i="1"/>
  <c r="G179" i="1"/>
  <c r="G258" i="1"/>
  <c r="G180" i="1"/>
  <c r="G240" i="1"/>
  <c r="G115" i="1"/>
  <c r="G54" i="1"/>
  <c r="G218" i="1"/>
  <c r="G99" i="1"/>
  <c r="G72" i="1"/>
  <c r="G81" i="1"/>
  <c r="G98" i="1"/>
  <c r="G195" i="1"/>
  <c r="G161" i="1"/>
  <c r="G254" i="1"/>
  <c r="G97" i="1"/>
  <c r="G61" i="1"/>
  <c r="G141" i="1"/>
  <c r="G100" i="1"/>
  <c r="G157" i="1"/>
  <c r="G159" i="1"/>
  <c r="G79" i="1"/>
  <c r="G219" i="1"/>
  <c r="G140" i="1"/>
  <c r="G121" i="1"/>
  <c r="G201" i="1"/>
  <c r="G241" i="1"/>
  <c r="G181" i="1"/>
  <c r="G221" i="1"/>
  <c r="D13" i="2"/>
  <c r="C13" i="2"/>
  <c r="K59" i="1"/>
  <c r="K36" i="1"/>
  <c r="K17" i="1"/>
  <c r="K240" i="1"/>
  <c r="K200" i="1"/>
  <c r="K172" i="1"/>
  <c r="K155" i="1"/>
  <c r="K138" i="1"/>
  <c r="K114" i="1"/>
  <c r="K221" i="1"/>
  <c r="K190" i="1"/>
  <c r="K60" i="1"/>
  <c r="K38" i="1"/>
  <c r="K61" i="1"/>
  <c r="K101" i="1"/>
  <c r="K257" i="1"/>
  <c r="K33" i="1"/>
  <c r="K52" i="1"/>
  <c r="K79" i="1"/>
  <c r="K120" i="1"/>
  <c r="K201" i="1"/>
  <c r="K241" i="1"/>
  <c r="K140" i="1"/>
  <c r="K210" i="1"/>
  <c r="K238" i="1"/>
  <c r="K260" i="1"/>
  <c r="K40" i="1"/>
  <c r="K16" i="1"/>
  <c r="K159" i="1"/>
  <c r="K136" i="1"/>
  <c r="K113" i="1"/>
  <c r="K89" i="1"/>
  <c r="K73" i="1"/>
  <c r="K50" i="1"/>
  <c r="K32" i="1"/>
  <c r="K160" i="1"/>
  <c r="K134" i="1"/>
  <c r="K110" i="1"/>
  <c r="K90" i="1"/>
  <c r="K70" i="1"/>
  <c r="K54" i="1"/>
  <c r="K35" i="1"/>
  <c r="K14" i="1"/>
  <c r="K245" i="1"/>
  <c r="K232" i="1"/>
  <c r="K213" i="1"/>
  <c r="K194" i="1"/>
  <c r="K174" i="1"/>
  <c r="K151" i="1"/>
  <c r="K119" i="1"/>
  <c r="K96" i="1"/>
  <c r="K71" i="1"/>
  <c r="K57" i="1"/>
  <c r="K26" i="1"/>
  <c r="K13" i="1"/>
  <c r="K249" i="1"/>
  <c r="K225" i="1"/>
  <c r="K208" i="1"/>
  <c r="K187" i="1"/>
  <c r="K165" i="1"/>
  <c r="K144" i="1"/>
  <c r="K123" i="1"/>
  <c r="K104" i="1"/>
  <c r="K86" i="1"/>
  <c r="K67" i="1"/>
  <c r="K46" i="1"/>
  <c r="K25" i="1"/>
  <c r="K6" i="1"/>
  <c r="K244" i="1"/>
  <c r="K227" i="1"/>
  <c r="K203" i="1"/>
  <c r="K184" i="1"/>
  <c r="K167" i="1"/>
  <c r="K143" i="1"/>
  <c r="K127" i="1"/>
  <c r="K106" i="1"/>
  <c r="K85" i="1"/>
  <c r="K68" i="1"/>
  <c r="K42" i="1"/>
  <c r="K23" i="1"/>
  <c r="K2" i="1"/>
  <c r="K246" i="1"/>
  <c r="K223" i="1"/>
  <c r="K204" i="1"/>
  <c r="K182" i="1"/>
  <c r="K163" i="1"/>
  <c r="K145" i="1"/>
  <c r="K125" i="1"/>
  <c r="K109" i="1"/>
  <c r="K87" i="1"/>
  <c r="K63" i="1"/>
  <c r="K48" i="1"/>
  <c r="K29" i="1"/>
  <c r="K7" i="1"/>
  <c r="K259" i="1"/>
  <c r="K229" i="1"/>
  <c r="K206" i="1"/>
  <c r="K186" i="1"/>
  <c r="K170" i="1"/>
  <c r="K150" i="1"/>
  <c r="K133" i="1"/>
  <c r="K102" i="1"/>
  <c r="K95" i="1"/>
  <c r="K252" i="1"/>
  <c r="K233" i="1"/>
  <c r="K215" i="1"/>
  <c r="K195" i="1"/>
  <c r="K173" i="1"/>
  <c r="K152" i="1"/>
  <c r="K135" i="1"/>
  <c r="K116" i="1"/>
  <c r="K91" i="1"/>
  <c r="K72" i="1"/>
  <c r="K100" i="1"/>
  <c r="K137" i="1"/>
  <c r="K148" i="1"/>
  <c r="K176" i="1"/>
  <c r="K191" i="1"/>
  <c r="K218" i="1"/>
  <c r="K239" i="1"/>
  <c r="K5" i="1"/>
  <c r="K24" i="1"/>
  <c r="K45" i="1"/>
  <c r="K65" i="1"/>
  <c r="K84" i="1"/>
  <c r="K103" i="1"/>
  <c r="K126" i="1"/>
  <c r="K147" i="1"/>
  <c r="K166" i="1"/>
  <c r="K189" i="1"/>
  <c r="K209" i="1"/>
  <c r="K226" i="1"/>
  <c r="K2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tc={020A3C5E-6F1E-9044-AD67-D0885D51F773}</author>
  </authors>
  <commentList>
    <comment ref="B29" authorId="0" shapeId="0" xr:uid="{8B4EE28F-728F-C04D-9174-5BABFAE508BC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B89" authorId="1" shapeId="0" xr:uid="{020A3C5E-6F1E-9044-AD67-D0885D51F773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  <comment ref="B191" authorId="0" shapeId="0" xr:uid="{2304DD7D-5612-D747-B214-BFB6DB7D883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B194" authorId="0" shapeId="0" xr:uid="{2D26D252-EF5E-B246-8F14-50E3CF9BF26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B195" authorId="0" shapeId="0" xr:uid="{6974AE06-48CB-A742-8981-5041F06BD870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B213" authorId="0" shapeId="0" xr:uid="{3234F98B-FDC6-F14A-ACF0-AF028412AFD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B215" authorId="0" shapeId="0" xr:uid="{EE259777-2064-5F4B-8BA2-7912A81E940C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<sst xmlns="http://schemas.openxmlformats.org/spreadsheetml/2006/main" count="1174" uniqueCount="86">
  <si>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</si>
  <si>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</si>
  <si>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</si>
  <si>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</si>
  <si>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</si>
  <si>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</si>
  <si>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</si>
  <si>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</si>
  <si>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</si>
  <si>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</si>
  <si>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</si>
  <si>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</si>
  <si>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</si>
  <si>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</si>
  <si>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</si>
  <si>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</si>
  <si>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</si>
  <si>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</si>
  <si>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</si>
  <si>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</si>
  <si>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</si>
  <si>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</si>
  <si>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</si>
  <si>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</si>
  <si>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</si>
  <si>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</si>
  <si>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</si>
  <si>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</si>
  <si>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</si>
  <si>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</si>
  <si>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</si>
  <si>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</si>
  <si>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</si>
  <si>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</si>
  <si>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</si>
  <si>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</si>
  <si>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</si>
  <si>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</si>
  <si>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</si>
  <si>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</si>
  <si>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</si>
  <si>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</si>
  <si>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</si>
  <si>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</si>
  <si>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</si>
  <si>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</si>
  <si>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</si>
  <si>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</si>
  <si>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</si>
  <si>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</si>
  <si>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</si>
  <si>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</si>
  <si>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</si>
  <si>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</si>
  <si>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</si>
  <si>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</si>
  <si>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</si>
  <si>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</si>
  <si>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</si>
  <si>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</si>
  <si>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</si>
  <si>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</si>
  <si>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</si>
  <si>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</si>
  <si>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</si>
  <si>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</si>
  <si>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</si>
  <si>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</si>
  <si>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</si>
  <si>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</si>
  <si>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</si>
  <si>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</si>
  <si>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</si>
  <si>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</si>
  <si>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</si>
  <si>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</si>
  <si>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</si>
  <si>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</si>
  <si>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</si>
  <si>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</si>
  <si>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</si>
  <si>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</si>
  <si>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</si>
  <si>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gfpg</t>
  </si>
  <si>
    <t>gapg</t>
  </si>
  <si>
    <t>squad_value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</si>
</sst>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  <xf numFmtId="0" fontId="0" fillId="0" borderId="6" xfId="0" applyFill="1" applyBorder="1"/>
    <xf numFmtId="0" fontId="0" fillId="0" borderId="4" xfId="0" applyFill="1" applyBorder="1"/>
  </cellXfs>
  <cellStyles count="1">
    <cellStyle name="Normal" xfId="0" builtinId="0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K261" totalsRowShown="0" headerRowDxfId="30" dataDxfId="28" headerRowBorderDxfId="29" tableBorderDxfId="27" totalsRowBorderDxfId="26">
  <autoFilter ref="A1:K261" xr:uid="{BC7779FA-9C76-47BB-AFCC-519D4CE53E83}"/>
  <sortState xmlns:xlrd2="http://schemas.microsoft.com/office/spreadsheetml/2017/richdata2" ref="A2:K261">
    <sortCondition ref="A1:A261"/>
  </sortState>
  <tableColumns count="11">
    <tableColumn id="1" xr3:uid="{BA6784EC-DD25-45B9-9B3B-087EAE44FAB3}" name="club" dataDxfId="1"/>
    <tableColumn id="13" xr3:uid="{9DF7A340-2D60-C24C-8F9B-5D28C34152A3}" name="season" dataDxfId="2"/>
    <tableColumn id="3" xr3:uid="{A151D9FE-0DE1-4234-9A37-7A3DB95D3259}" name="revenue" dataDxfId="25"/>
    <tableColumn id="4" xr3:uid="{C4F0F1C4-CE85-473E-9247-CDCACE3AAD15}" name="wage" dataDxfId="24"/>
    <tableColumn id="5" xr3:uid="{22D81F38-1CCC-44A6-95AD-96297284D5FD}" name="points" dataDxfId="23"/>
    <tableColumn id="6" xr3:uid="{00E172C2-A4B3-40B9-BB4D-979F4EC73795}" name="placering" dataDxfId="22"/>
    <tableColumn id="8" xr3:uid="{977C4AF2-ED50-724B-AC27-5CA5F5634663}" name="gfpg" dataDxfId="21"/>
    <tableColumn id="10" xr3:uid="{3EC71E14-02AC-A549-BEDC-13E0F9464D38}" name="gapg" dataDxfId="20"/>
    <tableColumn id="9" xr3:uid="{8D05B551-4619-C64B-97C0-C681B41DEB4C}" name="tilskuere" dataDxfId="19"/>
    <tableColumn id="14" xr3:uid="{15986C8F-F2B5-1E45-BFCB-E2523C2699D6}" name="squad_value" dataDxfId="0"/>
    <tableColumn id="7" xr3:uid="{640002E0-C335-47BD-8725-D3444875C57E}" name="transfers (ind-ud)" dataDxfId="18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J313" totalsRowShown="0" headerRowDxfId="17" dataDxfId="15" headerRowBorderDxfId="16" tableBorderDxfId="14" totalsRowBorderDxfId="13">
  <autoFilter ref="A1:J313" xr:uid="{25361EC0-DBF7-AC42-9E30-4909D2957DFA}"/>
  <sortState xmlns:xlrd2="http://schemas.microsoft.com/office/spreadsheetml/2017/richdata2" ref="A2:J313">
    <sortCondition ref="A1:A313"/>
  </sortState>
  <tableColumns count="10">
    <tableColumn id="1" xr3:uid="{E399353A-1CC7-2745-8D5D-8DCEC38A4026}" name="season" dataDxfId="12"/>
    <tableColumn id="2" xr3:uid="{E8422483-0E20-7548-B9A5-25103A8914E9}" name="club" dataDxfId="11"/>
    <tableColumn id="3" xr3:uid="{532D6E3A-48EC-E549-847E-FF66BC1FD208}" name="revenue" dataDxfId="10"/>
    <tableColumn id="4" xr3:uid="{ED2BC751-304B-5545-BB4B-F5204DBCF2BC}" name="wage" dataDxfId="9"/>
    <tableColumn id="5" xr3:uid="{4A9390E6-D036-0846-9DF0-CDBADC0CE366}" name="points" dataDxfId="8"/>
    <tableColumn id="6" xr3:uid="{E4BEAB79-A63F-8F4A-9F9B-0F759C48922D}" name="placering" dataDxfId="7"/>
    <tableColumn id="9" xr3:uid="{4B50620F-4E96-9346-AB30-51523F2ED029}" name="gfpg" dataDxfId="6"/>
    <tableColumn id="10" xr3:uid="{BB3EE534-3650-9742-99A4-8DEEB76ED767}" name="gapg" dataDxfId="5"/>
    <tableColumn id="8" xr3:uid="{E161F9ED-52DF-434C-8F94-B383F794ED6D}" name="tilskuere" dataDxfId="4"/>
    <tableColumn id="7" xr3:uid="{C0537F2F-0086-374F-BA04-B4974DE7DD29}" name="transfers (ind-ud)" dataDxfId="3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9" dT="2025-02-24T09:18:02.67" personId="{0A68246A-B99C-B042-AA83-2038F423A7A2}" id="{020A3C5E-6F1E-9044-AD67-D0885D51F773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N261"/>
  <sheetViews>
    <sheetView tabSelected="1" topLeftCell="A5" zoomScale="125" zoomScaleNormal="125" workbookViewId="0">
      <pane xSplit="1" topLeftCell="H1" activePane="topRight" state="frozen"/>
      <selection pane="topRight" activeCell="J22" sqref="J22"/>
    </sheetView>
  </sheetViews>
  <sheetFormatPr baseColWidth="10" defaultColWidth="11" defaultRowHeight="15.75" customHeight="1" x14ac:dyDescent="0.2"/>
  <cols>
    <col min="3" max="3" width="13.83203125" bestFit="1" customWidth="1"/>
    <col min="7" max="8" width="16.6640625" customWidth="1"/>
    <col min="9" max="9" width="21.5" bestFit="1" customWidth="1"/>
    <col min="10" max="10" width="21.5" customWidth="1"/>
    <col min="11" max="11" width="18.1640625" bestFit="1" customWidth="1"/>
  </cols>
  <sheetData>
    <row r="1" spans="1:14" x14ac:dyDescent="0.2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83</v>
      </c>
      <c r="H1" s="3" t="s">
        <v>84</v>
      </c>
      <c r="I1" s="3" t="s">
        <v>82</v>
      </c>
      <c r="J1" s="3" t="s">
        <v>85</v>
      </c>
      <c r="K1" s="3" t="s">
        <v>6</v>
      </c>
    </row>
    <row r="2" spans="1:14" x14ac:dyDescent="0.2">
      <c r="A2" s="5" t="s">
        <v>44</v>
      </c>
      <c r="B2" s="4" t="s">
        <v>7</v>
      </c>
      <c r="C2" s="5">
        <v>213091</v>
      </c>
      <c r="D2" s="5">
        <v>114586</v>
      </c>
      <c r="E2" s="5">
        <v>80</v>
      </c>
      <c r="F2" s="5">
        <v>1</v>
      </c>
      <c r="G2" s="6">
        <f>78/38</f>
        <v>2.0526315789473686</v>
      </c>
      <c r="H2" s="6">
        <f>37/38</f>
        <v>0.97368421052631582</v>
      </c>
      <c r="I2" s="6">
        <v>74989</v>
      </c>
      <c r="J2" s="13">
        <v>388000</v>
      </c>
      <c r="K2" s="6">
        <f>(29.3-16.97)*1000*0.83</f>
        <v>10233.900000000001</v>
      </c>
      <c r="L2" t="s">
        <v>9</v>
      </c>
    </row>
    <row r="3" spans="1:14" x14ac:dyDescent="0.2">
      <c r="A3" s="5" t="s">
        <v>34</v>
      </c>
      <c r="B3" s="4" t="s">
        <v>7</v>
      </c>
      <c r="C3" s="5">
        <v>225595</v>
      </c>
      <c r="D3" s="5">
        <v>156908</v>
      </c>
      <c r="E3" s="5">
        <v>71</v>
      </c>
      <c r="F3" s="5">
        <v>2</v>
      </c>
      <c r="G3" s="6">
        <f>69/38</f>
        <v>1.8157894736842106</v>
      </c>
      <c r="H3" s="6">
        <f>33/38</f>
        <v>0.86842105263157898</v>
      </c>
      <c r="I3" s="6">
        <v>41435</v>
      </c>
      <c r="J3" s="12">
        <v>424100</v>
      </c>
      <c r="K3" s="6">
        <v>87150</v>
      </c>
      <c r="L3" t="s">
        <v>11</v>
      </c>
      <c r="M3">
        <v>0.83</v>
      </c>
      <c r="N3" t="s">
        <v>12</v>
      </c>
    </row>
    <row r="4" spans="1:14" x14ac:dyDescent="0.2">
      <c r="A4" s="5" t="s">
        <v>43</v>
      </c>
      <c r="B4" s="4" t="s">
        <v>7</v>
      </c>
      <c r="C4" s="5">
        <v>153200</v>
      </c>
      <c r="D4" s="5">
        <v>153650</v>
      </c>
      <c r="E4" s="5">
        <v>71</v>
      </c>
      <c r="F4" s="5">
        <v>3</v>
      </c>
      <c r="G4" s="6">
        <f>60/38</f>
        <v>1.5789473684210527</v>
      </c>
      <c r="H4" s="6">
        <f>33/38</f>
        <v>0.86842105263157898</v>
      </c>
      <c r="I4" s="6">
        <v>45905</v>
      </c>
      <c r="J4" s="13">
        <v>404180</v>
      </c>
      <c r="K4" s="6">
        <v>119072</v>
      </c>
    </row>
    <row r="5" spans="1:14" x14ac:dyDescent="0.2">
      <c r="A5" s="5" t="s">
        <v>8</v>
      </c>
      <c r="B5" s="4" t="s">
        <v>7</v>
      </c>
      <c r="C5" s="5">
        <v>196533</v>
      </c>
      <c r="D5" s="5">
        <v>107333</v>
      </c>
      <c r="E5" s="5">
        <v>68</v>
      </c>
      <c r="F5" s="5">
        <v>4</v>
      </c>
      <c r="G5" s="6">
        <f>72/38</f>
        <v>1.8947368421052631</v>
      </c>
      <c r="H5" s="6">
        <f>43/38</f>
        <v>1.131578947368421</v>
      </c>
      <c r="I5" s="6">
        <v>60023</v>
      </c>
      <c r="J5" s="12">
        <v>324000</v>
      </c>
      <c r="K5" s="6">
        <f>(23-8.1)*1000*0.83</f>
        <v>12367</v>
      </c>
    </row>
    <row r="6" spans="1:14" x14ac:dyDescent="0.2">
      <c r="A6" s="5" t="s">
        <v>56</v>
      </c>
      <c r="B6" s="4" t="s">
        <v>7</v>
      </c>
      <c r="C6" s="5">
        <v>163486</v>
      </c>
      <c r="D6" s="5">
        <v>79058</v>
      </c>
      <c r="E6" s="5">
        <v>62</v>
      </c>
      <c r="F6" s="5">
        <v>5</v>
      </c>
      <c r="G6" s="6">
        <f>55/38</f>
        <v>1.4473684210526316</v>
      </c>
      <c r="H6" s="6">
        <f>46/38</f>
        <v>1.2105263157894737</v>
      </c>
      <c r="I6" s="6">
        <v>35722</v>
      </c>
      <c r="J6" s="12">
        <v>307080</v>
      </c>
      <c r="K6" s="6">
        <f>(26.6-2.94)*1000*0.83</f>
        <v>19637.8</v>
      </c>
    </row>
    <row r="7" spans="1:14" x14ac:dyDescent="0.2">
      <c r="A7" s="5" t="s">
        <v>42</v>
      </c>
      <c r="B7" s="4" t="s">
        <v>7</v>
      </c>
      <c r="C7" s="5">
        <v>183640</v>
      </c>
      <c r="D7" s="5">
        <v>120335</v>
      </c>
      <c r="E7" s="5">
        <v>58</v>
      </c>
      <c r="F7" s="5">
        <v>6</v>
      </c>
      <c r="G7" s="6">
        <f>59/38</f>
        <v>1.5526315789473684</v>
      </c>
      <c r="H7" s="6">
        <f>44/38</f>
        <v>1.1578947368421053</v>
      </c>
      <c r="I7" s="6">
        <v>42824</v>
      </c>
      <c r="J7" s="12">
        <v>339200</v>
      </c>
      <c r="K7" s="6">
        <f>(97.73-103)*1000*0.83</f>
        <v>-4374.0999999999967</v>
      </c>
    </row>
    <row r="8" spans="1:14" x14ac:dyDescent="0.2">
      <c r="A8" s="5" t="s">
        <v>36</v>
      </c>
      <c r="B8" s="4" t="s">
        <v>7</v>
      </c>
      <c r="C8" s="5">
        <v>82021</v>
      </c>
      <c r="D8" s="5">
        <v>49225</v>
      </c>
      <c r="E8" s="5">
        <v>54</v>
      </c>
      <c r="F8" s="5">
        <v>7</v>
      </c>
      <c r="G8" s="6">
        <f>51/38</f>
        <v>1.3421052631578947</v>
      </c>
      <c r="H8" s="6">
        <f>45/38</f>
        <v>1.1842105263157894</v>
      </c>
      <c r="I8" s="6">
        <v>36064</v>
      </c>
      <c r="J8" s="12">
        <v>184480</v>
      </c>
      <c r="K8" s="6">
        <v>-4067</v>
      </c>
    </row>
    <row r="9" spans="1:14" x14ac:dyDescent="0.2">
      <c r="A9" s="5" t="s">
        <v>37</v>
      </c>
      <c r="B9" s="4" t="s">
        <v>7</v>
      </c>
      <c r="C9" s="5">
        <v>76405</v>
      </c>
      <c r="D9" s="5">
        <v>50330</v>
      </c>
      <c r="E9" s="5">
        <v>49</v>
      </c>
      <c r="F9" s="5">
        <v>8</v>
      </c>
      <c r="G9" s="6">
        <f>49/38</f>
        <v>1.2894736842105263</v>
      </c>
      <c r="H9" s="6">
        <f>43/38</f>
        <v>1.131578947368421</v>
      </c>
      <c r="I9" s="6">
        <v>25151</v>
      </c>
      <c r="J9" s="12">
        <v>109550</v>
      </c>
      <c r="K9" s="6">
        <v>-1461</v>
      </c>
    </row>
    <row r="10" spans="1:14" x14ac:dyDescent="0.2">
      <c r="A10" s="5" t="s">
        <v>24</v>
      </c>
      <c r="B10" s="4" t="s">
        <v>7</v>
      </c>
      <c r="C10" s="5">
        <v>92028</v>
      </c>
      <c r="D10" s="5">
        <v>74047</v>
      </c>
      <c r="E10" s="5">
        <v>48</v>
      </c>
      <c r="F10" s="5">
        <v>9</v>
      </c>
      <c r="G10" s="6">
        <f>48/38</f>
        <v>1.263157894736842</v>
      </c>
      <c r="H10" s="6">
        <f>59/38</f>
        <v>1.5526315789473684</v>
      </c>
      <c r="I10" s="6">
        <v>37194</v>
      </c>
      <c r="J10" s="12">
        <v>202800</v>
      </c>
      <c r="K10" s="6">
        <v>7470</v>
      </c>
    </row>
    <row r="11" spans="1:14" x14ac:dyDescent="0.2">
      <c r="A11" s="5" t="s">
        <v>54</v>
      </c>
      <c r="B11" s="4" t="s">
        <v>7</v>
      </c>
      <c r="C11" s="5">
        <v>79326</v>
      </c>
      <c r="D11" s="5">
        <v>50603</v>
      </c>
      <c r="E11" s="5">
        <v>47</v>
      </c>
      <c r="F11" s="5">
        <v>10</v>
      </c>
      <c r="G11" s="6">
        <f>45/38</f>
        <v>1.1842105263157894</v>
      </c>
      <c r="H11" s="6">
        <f>56/38</f>
        <v>1.4736842105263157</v>
      </c>
      <c r="I11" s="6">
        <v>40011</v>
      </c>
      <c r="J11" s="12">
        <v>149330</v>
      </c>
      <c r="K11" s="6">
        <v>-10524</v>
      </c>
    </row>
    <row r="12" spans="1:14" x14ac:dyDescent="0.2">
      <c r="A12" s="5" t="s">
        <v>58</v>
      </c>
      <c r="B12" s="4" t="s">
        <v>7</v>
      </c>
      <c r="C12" s="5">
        <v>65086</v>
      </c>
      <c r="D12" s="5">
        <v>39333</v>
      </c>
      <c r="E12" s="5">
        <v>47</v>
      </c>
      <c r="F12" s="5">
        <v>11</v>
      </c>
      <c r="G12" s="6">
        <f>56/38</f>
        <v>1.4736842105263157</v>
      </c>
      <c r="H12" s="6">
        <f>71/38</f>
        <v>1.868421052631579</v>
      </c>
      <c r="I12" s="6">
        <v>24683</v>
      </c>
      <c r="J12" s="12">
        <v>86880</v>
      </c>
      <c r="K12" s="6">
        <v>10773</v>
      </c>
    </row>
    <row r="13" spans="1:14" x14ac:dyDescent="0.2">
      <c r="A13" s="5" t="s">
        <v>46</v>
      </c>
      <c r="B13" s="4" t="s">
        <v>7</v>
      </c>
      <c r="C13" s="5">
        <v>88424</v>
      </c>
      <c r="D13" s="5">
        <v>49436</v>
      </c>
      <c r="E13" s="5">
        <v>46</v>
      </c>
      <c r="F13" s="5">
        <v>12</v>
      </c>
      <c r="G13" s="6">
        <f>56/38</f>
        <v>1.4736842105263157</v>
      </c>
      <c r="H13" s="6">
        <f>57/38</f>
        <v>1.5</v>
      </c>
      <c r="I13" s="6">
        <v>47718</v>
      </c>
      <c r="J13" s="12">
        <v>119480</v>
      </c>
      <c r="K13" s="6">
        <f>(13.98-41.75)*1000*0.83</f>
        <v>-23049.1</v>
      </c>
    </row>
    <row r="14" spans="1:14" x14ac:dyDescent="0.2">
      <c r="A14" s="5" t="s">
        <v>53</v>
      </c>
      <c r="B14" s="4" t="s">
        <v>7</v>
      </c>
      <c r="C14" s="5">
        <v>67626</v>
      </c>
      <c r="D14" s="5">
        <v>40494</v>
      </c>
      <c r="E14" s="5">
        <v>46</v>
      </c>
      <c r="F14" s="5">
        <v>13</v>
      </c>
      <c r="G14" s="6">
        <f>46/38</f>
        <v>1.2105263157894737</v>
      </c>
      <c r="H14" s="6">
        <f>48/38</f>
        <v>1.263157894736842</v>
      </c>
      <c r="I14" s="6">
        <v>26858</v>
      </c>
      <c r="J14" s="12">
        <v>94450</v>
      </c>
      <c r="K14" s="6">
        <f>(21.1-6.78)*1000*0.83</f>
        <v>11885.599999999999</v>
      </c>
    </row>
    <row r="15" spans="1:14" x14ac:dyDescent="0.2">
      <c r="A15" s="5" t="s">
        <v>28</v>
      </c>
      <c r="B15" s="4" t="s">
        <v>7</v>
      </c>
      <c r="C15" s="5">
        <v>60724</v>
      </c>
      <c r="D15" s="5">
        <v>56064</v>
      </c>
      <c r="E15" s="5">
        <v>46</v>
      </c>
      <c r="F15" s="5">
        <v>14</v>
      </c>
      <c r="G15" s="6">
        <f>52/38</f>
        <v>1.368421052631579</v>
      </c>
      <c r="H15" s="6">
        <f>56/38</f>
        <v>1.4736842105263157</v>
      </c>
      <c r="I15" s="6">
        <v>22807</v>
      </c>
      <c r="J15" s="12">
        <v>100150</v>
      </c>
      <c r="K15" s="6">
        <v>3320</v>
      </c>
    </row>
    <row r="16" spans="1:14" x14ac:dyDescent="0.2">
      <c r="A16" s="5" t="s">
        <v>26</v>
      </c>
      <c r="B16" s="4" t="s">
        <v>7</v>
      </c>
      <c r="C16" s="5">
        <v>57558</v>
      </c>
      <c r="D16" s="5">
        <v>43118</v>
      </c>
      <c r="E16" s="5">
        <v>43</v>
      </c>
      <c r="F16" s="5">
        <v>15</v>
      </c>
      <c r="G16" s="6">
        <f>46/38</f>
        <v>1.2105263157894737</v>
      </c>
      <c r="H16" s="6">
        <f>59/38</f>
        <v>1.5526315789473684</v>
      </c>
      <c r="I16" s="6">
        <v>25000</v>
      </c>
      <c r="J16" s="12">
        <v>91530</v>
      </c>
      <c r="K16" s="6">
        <f>(5.05-0.275)*1000*0.83</f>
        <v>3963.2499999999991</v>
      </c>
    </row>
    <row r="17" spans="1:11" x14ac:dyDescent="0.2">
      <c r="A17" s="5" t="s">
        <v>60</v>
      </c>
      <c r="B17" s="4" t="s">
        <v>7</v>
      </c>
      <c r="C17" s="5">
        <v>50507</v>
      </c>
      <c r="D17" s="5">
        <v>35696</v>
      </c>
      <c r="E17" s="5">
        <v>42</v>
      </c>
      <c r="F17" s="5">
        <v>16</v>
      </c>
      <c r="G17" s="6">
        <f>40/38</f>
        <v>1.0526315789473684</v>
      </c>
      <c r="H17" s="6">
        <f>61/38</f>
        <v>1.6052631578947369</v>
      </c>
      <c r="I17" s="6">
        <v>16807</v>
      </c>
      <c r="J17" s="12">
        <v>80500</v>
      </c>
      <c r="K17" s="6">
        <f>(11.4-3.4)*830</f>
        <v>6640</v>
      </c>
    </row>
    <row r="18" spans="1:11" x14ac:dyDescent="0.2">
      <c r="A18" s="5" t="s">
        <v>61</v>
      </c>
      <c r="B18" s="4" t="s">
        <v>7</v>
      </c>
      <c r="C18" s="5">
        <v>64401</v>
      </c>
      <c r="D18" s="5">
        <v>33550</v>
      </c>
      <c r="E18" s="5">
        <v>40</v>
      </c>
      <c r="F18" s="5">
        <v>17</v>
      </c>
      <c r="G18" s="6">
        <f>46/38</f>
        <v>1.2105263157894737</v>
      </c>
      <c r="H18" s="6">
        <f>66/38</f>
        <v>1.736842105263158</v>
      </c>
      <c r="I18" s="6">
        <v>27696</v>
      </c>
      <c r="J18" s="12">
        <v>83550</v>
      </c>
      <c r="K18" s="6">
        <v>11437</v>
      </c>
    </row>
    <row r="19" spans="1:11" x14ac:dyDescent="0.2">
      <c r="A19" s="5" t="s">
        <v>25</v>
      </c>
      <c r="B19" s="4" t="s">
        <v>7</v>
      </c>
      <c r="C19" s="5">
        <v>61453</v>
      </c>
      <c r="D19" s="5">
        <v>40233</v>
      </c>
      <c r="E19" s="5">
        <v>39</v>
      </c>
      <c r="F19" s="5">
        <v>18</v>
      </c>
      <c r="G19" s="6">
        <f>37/38</f>
        <v>0.97368421052631582</v>
      </c>
      <c r="H19" s="6">
        <f>58/38</f>
        <v>1.5263157894736843</v>
      </c>
      <c r="I19" s="6">
        <v>25462</v>
      </c>
      <c r="J19" s="12">
        <v>95380</v>
      </c>
      <c r="K19" s="6">
        <v>21103</v>
      </c>
    </row>
    <row r="20" spans="1:11" x14ac:dyDescent="0.2">
      <c r="A20" s="5" t="s">
        <v>27</v>
      </c>
      <c r="B20" s="4" t="s">
        <v>7</v>
      </c>
      <c r="C20" s="5">
        <v>51670</v>
      </c>
      <c r="D20" s="5">
        <v>23233</v>
      </c>
      <c r="E20" s="5">
        <v>39</v>
      </c>
      <c r="F20" s="5">
        <v>19</v>
      </c>
      <c r="G20" s="6">
        <f>55/38</f>
        <v>1.4473684210526316</v>
      </c>
      <c r="H20" s="6">
        <f>78/38</f>
        <v>2.0526315789473686</v>
      </c>
      <c r="I20" s="6">
        <v>15780</v>
      </c>
      <c r="J20" s="12">
        <v>50030</v>
      </c>
      <c r="K20" s="6">
        <v>4175</v>
      </c>
    </row>
    <row r="21" spans="1:11" x14ac:dyDescent="0.2">
      <c r="A21" s="5" t="s">
        <v>59</v>
      </c>
      <c r="B21" s="4" t="s">
        <v>7</v>
      </c>
      <c r="C21" s="5">
        <v>80544</v>
      </c>
      <c r="D21" s="5">
        <v>48538</v>
      </c>
      <c r="E21" s="5">
        <v>33</v>
      </c>
      <c r="F21" s="5">
        <v>20</v>
      </c>
      <c r="G21" s="6">
        <f>43/38</f>
        <v>1.131578947368421</v>
      </c>
      <c r="H21" s="6">
        <f>70/38</f>
        <v>1.8421052631578947</v>
      </c>
      <c r="I21" s="6">
        <v>33404</v>
      </c>
      <c r="J21" s="6">
        <v>138750</v>
      </c>
      <c r="K21" s="6">
        <v>10856</v>
      </c>
    </row>
    <row r="22" spans="1:11" x14ac:dyDescent="0.2">
      <c r="A22" s="5" t="s">
        <v>43</v>
      </c>
      <c r="B22" s="4" t="s">
        <v>10</v>
      </c>
      <c r="C22" s="5">
        <v>231100</v>
      </c>
      <c r="D22" s="5">
        <v>178155</v>
      </c>
      <c r="E22" s="5">
        <v>89</v>
      </c>
      <c r="F22" s="5">
        <v>1</v>
      </c>
      <c r="G22" s="6">
        <f>93/38</f>
        <v>2.4473684210526314</v>
      </c>
      <c r="H22" s="6">
        <f>29/38</f>
        <v>0.76315789473684215</v>
      </c>
      <c r="I22" s="6">
        <v>47045</v>
      </c>
      <c r="J22" s="6"/>
      <c r="K22" s="6">
        <v>49676</v>
      </c>
    </row>
    <row r="23" spans="1:11" x14ac:dyDescent="0.2">
      <c r="A23" s="5" t="s">
        <v>44</v>
      </c>
      <c r="B23" s="4" t="s">
        <v>10</v>
      </c>
      <c r="C23" s="5">
        <v>187369</v>
      </c>
      <c r="D23" s="5">
        <v>117830</v>
      </c>
      <c r="E23" s="5">
        <v>89</v>
      </c>
      <c r="F23" s="5">
        <v>2</v>
      </c>
      <c r="G23" s="6">
        <f>89/38</f>
        <v>2.3421052631578947</v>
      </c>
      <c r="H23" s="6">
        <f>33/38</f>
        <v>0.86842105263157898</v>
      </c>
      <c r="I23" s="6">
        <v>75387</v>
      </c>
      <c r="J23" s="6"/>
      <c r="K23" s="6">
        <f>(62.3-12.9)*1000*0.83</f>
        <v>41002</v>
      </c>
    </row>
    <row r="24" spans="1:11" x14ac:dyDescent="0.2">
      <c r="A24" s="5" t="s">
        <v>8</v>
      </c>
      <c r="B24" s="4" t="s">
        <v>10</v>
      </c>
      <c r="C24" s="5">
        <v>230640</v>
      </c>
      <c r="D24" s="5">
        <v>120848</v>
      </c>
      <c r="E24" s="5">
        <v>70</v>
      </c>
      <c r="F24" s="5">
        <v>3</v>
      </c>
      <c r="G24" s="6">
        <f>74/38</f>
        <v>1.9473684210526316</v>
      </c>
      <c r="H24" s="6">
        <f>49/38</f>
        <v>1.2894736842105263</v>
      </c>
      <c r="I24" s="6">
        <v>60000</v>
      </c>
      <c r="J24" s="6"/>
      <c r="K24" s="6">
        <f>(65.48-78.29)*1000*0.83</f>
        <v>-10632.300000000001</v>
      </c>
    </row>
    <row r="25" spans="1:11" x14ac:dyDescent="0.2">
      <c r="A25" s="5" t="s">
        <v>56</v>
      </c>
      <c r="B25" s="4" t="s">
        <v>10</v>
      </c>
      <c r="C25" s="5">
        <v>144156</v>
      </c>
      <c r="D25" s="5">
        <v>79130</v>
      </c>
      <c r="E25" s="5">
        <v>69</v>
      </c>
      <c r="F25" s="5">
        <v>4</v>
      </c>
      <c r="G25" s="6">
        <f>66/38</f>
        <v>1.736842105263158</v>
      </c>
      <c r="H25" s="6">
        <f>41/38</f>
        <v>1.0789473684210527</v>
      </c>
      <c r="I25" s="6">
        <v>36036</v>
      </c>
      <c r="J25" s="6"/>
      <c r="K25" s="6">
        <f>(9-43.25)*1000*0.83</f>
        <v>-28427.5</v>
      </c>
    </row>
    <row r="26" spans="1:11" x14ac:dyDescent="0.2">
      <c r="A26" s="5" t="s">
        <v>46</v>
      </c>
      <c r="B26" s="4" t="s">
        <v>10</v>
      </c>
      <c r="C26" s="5">
        <v>93296</v>
      </c>
      <c r="D26" s="5">
        <v>56600</v>
      </c>
      <c r="E26" s="5">
        <v>65</v>
      </c>
      <c r="F26" s="5">
        <v>5</v>
      </c>
      <c r="G26" s="6">
        <f>56/38</f>
        <v>1.4736842105263157</v>
      </c>
      <c r="H26" s="6">
        <f>51/38</f>
        <v>1.3421052631578947</v>
      </c>
      <c r="I26" s="6">
        <v>49951</v>
      </c>
      <c r="J26" s="6"/>
      <c r="K26" s="6">
        <f>(27-16.04)*1000*0.83</f>
        <v>9096.7999999999993</v>
      </c>
    </row>
    <row r="27" spans="1:11" x14ac:dyDescent="0.2">
      <c r="A27" s="5" t="s">
        <v>34</v>
      </c>
      <c r="B27" s="4" t="s">
        <v>10</v>
      </c>
      <c r="C27" s="5">
        <v>257534</v>
      </c>
      <c r="D27" s="5">
        <v>138998</v>
      </c>
      <c r="E27" s="5">
        <v>64</v>
      </c>
      <c r="F27" s="5">
        <v>6</v>
      </c>
      <c r="G27" s="6">
        <f>65/38</f>
        <v>1.7105263157894737</v>
      </c>
      <c r="H27" s="6">
        <f>46/38</f>
        <v>1.2105263157894737</v>
      </c>
      <c r="I27" s="6">
        <v>41484</v>
      </c>
      <c r="J27" s="6"/>
      <c r="K27" s="6">
        <v>53859</v>
      </c>
    </row>
    <row r="28" spans="1:11" x14ac:dyDescent="0.2">
      <c r="A28" s="5" t="s">
        <v>36</v>
      </c>
      <c r="B28" s="4" t="s">
        <v>10</v>
      </c>
      <c r="C28" s="5">
        <v>80531</v>
      </c>
      <c r="D28" s="5">
        <v>55549</v>
      </c>
      <c r="E28" s="5">
        <v>56</v>
      </c>
      <c r="F28" s="5">
        <v>7</v>
      </c>
      <c r="G28" s="6">
        <f>50/38</f>
        <v>1.3157894736842106</v>
      </c>
      <c r="H28" s="6">
        <f>40/38</f>
        <v>1.0526315789473684</v>
      </c>
      <c r="I28" s="6">
        <v>33228</v>
      </c>
      <c r="J28" s="6"/>
      <c r="K28" s="6">
        <v>-16268</v>
      </c>
    </row>
    <row r="29" spans="1:11" x14ac:dyDescent="0.2">
      <c r="A29" s="5" t="s">
        <v>42</v>
      </c>
      <c r="B29" s="4" t="s">
        <v>10</v>
      </c>
      <c r="C29" s="5">
        <v>168998</v>
      </c>
      <c r="D29" s="5">
        <v>103483</v>
      </c>
      <c r="E29" s="5">
        <v>52</v>
      </c>
      <c r="F29" s="5">
        <v>8</v>
      </c>
      <c r="G29" s="6">
        <f>47/38</f>
        <v>1.236842105263158</v>
      </c>
      <c r="H29" s="6">
        <f>40/38</f>
        <v>1.0526315789473684</v>
      </c>
      <c r="I29" s="6">
        <v>44253</v>
      </c>
      <c r="J29" s="6"/>
      <c r="K29" s="6">
        <f>(69.33-22)*1000*0.83</f>
        <v>39283.9</v>
      </c>
    </row>
    <row r="30" spans="1:11" x14ac:dyDescent="0.2">
      <c r="A30" s="5" t="s">
        <v>37</v>
      </c>
      <c r="B30" s="4" t="s">
        <v>10</v>
      </c>
      <c r="C30" s="5">
        <v>78652</v>
      </c>
      <c r="D30" s="5">
        <v>54691</v>
      </c>
      <c r="E30" s="5">
        <v>52</v>
      </c>
      <c r="F30" s="5">
        <v>9</v>
      </c>
      <c r="G30" s="6">
        <f>48/38</f>
        <v>1.263157894736842</v>
      </c>
      <c r="H30" s="6">
        <f>51/38</f>
        <v>1.3421052631578947</v>
      </c>
      <c r="I30" s="6">
        <v>25399</v>
      </c>
      <c r="J30" s="6"/>
      <c r="K30" s="6">
        <v>8682</v>
      </c>
    </row>
    <row r="31" spans="1:11" x14ac:dyDescent="0.2">
      <c r="A31" s="5" t="s">
        <v>58</v>
      </c>
      <c r="B31" s="4" t="s">
        <v>10</v>
      </c>
      <c r="C31" s="5">
        <v>66660</v>
      </c>
      <c r="D31" s="5">
        <v>44854</v>
      </c>
      <c r="E31" s="5">
        <v>47</v>
      </c>
      <c r="F31" s="5">
        <v>10</v>
      </c>
      <c r="G31" s="6">
        <f>45/38</f>
        <v>1.1842105263157894</v>
      </c>
      <c r="H31" s="6">
        <f>52/38</f>
        <v>1.368421052631579</v>
      </c>
      <c r="I31" s="6">
        <v>24770</v>
      </c>
      <c r="J31" s="6"/>
      <c r="K31" s="6">
        <v>-1643</v>
      </c>
    </row>
    <row r="32" spans="1:11" x14ac:dyDescent="0.2">
      <c r="A32" s="5" t="s">
        <v>55</v>
      </c>
      <c r="B32" s="4" t="s">
        <v>10</v>
      </c>
      <c r="C32" s="5">
        <v>65166</v>
      </c>
      <c r="D32" s="5">
        <v>30484</v>
      </c>
      <c r="E32" s="5">
        <v>47</v>
      </c>
      <c r="F32" s="5">
        <v>11</v>
      </c>
      <c r="G32" s="6">
        <f>44/38</f>
        <v>1.1578947368421053</v>
      </c>
      <c r="H32" s="6">
        <f>51/38</f>
        <v>1.3421052631578947</v>
      </c>
      <c r="I32" s="6">
        <v>19946</v>
      </c>
      <c r="J32" s="6"/>
      <c r="K32" s="6">
        <f>(12.85-0.455)*1000*0.83</f>
        <v>10287.85</v>
      </c>
    </row>
    <row r="33" spans="1:11" x14ac:dyDescent="0.2">
      <c r="A33" s="5" t="s">
        <v>47</v>
      </c>
      <c r="B33" s="4" t="s">
        <v>10</v>
      </c>
      <c r="C33" s="5">
        <v>74608</v>
      </c>
      <c r="D33" s="5">
        <v>29591</v>
      </c>
      <c r="E33" s="5">
        <v>47</v>
      </c>
      <c r="F33" s="5">
        <v>12</v>
      </c>
      <c r="G33" s="6">
        <f>52/38</f>
        <v>1.368421052631579</v>
      </c>
      <c r="H33" s="6">
        <f>66/38</f>
        <v>1.736842105263158</v>
      </c>
      <c r="I33" s="6">
        <v>26606</v>
      </c>
      <c r="J33" s="6"/>
      <c r="K33" s="6">
        <f>(15.25-0.5)*830</f>
        <v>12242.5</v>
      </c>
    </row>
    <row r="34" spans="1:11" x14ac:dyDescent="0.2">
      <c r="A34" s="5" t="s">
        <v>54</v>
      </c>
      <c r="B34" s="4" t="s">
        <v>10</v>
      </c>
      <c r="C34" s="5">
        <v>77042</v>
      </c>
      <c r="D34" s="5">
        <v>55743</v>
      </c>
      <c r="E34" s="5">
        <v>45</v>
      </c>
      <c r="F34" s="5">
        <v>13</v>
      </c>
      <c r="G34" s="6">
        <f>45/38</f>
        <v>1.1842105263157894</v>
      </c>
      <c r="H34" s="6">
        <f>46/38</f>
        <v>1.2105263157894737</v>
      </c>
      <c r="I34" s="6">
        <v>39047</v>
      </c>
      <c r="J34" s="6"/>
      <c r="K34" s="6">
        <v>1320</v>
      </c>
    </row>
    <row r="35" spans="1:11" x14ac:dyDescent="0.2">
      <c r="A35" s="5" t="s">
        <v>53</v>
      </c>
      <c r="B35" s="4" t="s">
        <v>10</v>
      </c>
      <c r="C35" s="5">
        <v>70734</v>
      </c>
      <c r="D35" s="5">
        <v>45894</v>
      </c>
      <c r="E35" s="5">
        <v>45</v>
      </c>
      <c r="F35" s="5">
        <v>14</v>
      </c>
      <c r="G35" s="6">
        <f>36/38</f>
        <v>0.94736842105263153</v>
      </c>
      <c r="H35" s="6">
        <f>53/38</f>
        <v>1.3947368421052631</v>
      </c>
      <c r="I35" s="6">
        <v>27226</v>
      </c>
      <c r="J35" s="6"/>
      <c r="K35" s="6">
        <f>(24.8-1.99)*1000*0.83</f>
        <v>18932.300000000003</v>
      </c>
    </row>
    <row r="36" spans="1:11" x14ac:dyDescent="0.2">
      <c r="A36" s="5" t="s">
        <v>60</v>
      </c>
      <c r="B36" s="4" t="s">
        <v>10</v>
      </c>
      <c r="C36" s="5">
        <v>52597</v>
      </c>
      <c r="D36" s="5">
        <v>33205</v>
      </c>
      <c r="E36" s="5">
        <v>43</v>
      </c>
      <c r="F36" s="5">
        <v>15</v>
      </c>
      <c r="G36" s="6">
        <f>42/38</f>
        <v>1.1052631578947369</v>
      </c>
      <c r="H36" s="6">
        <f>62/38</f>
        <v>1.631578947368421</v>
      </c>
      <c r="I36" s="6">
        <v>18634</v>
      </c>
      <c r="J36" s="6"/>
      <c r="K36" s="6">
        <f>(12.38-11.29)*830</f>
        <v>904.70000000000141</v>
      </c>
    </row>
    <row r="37" spans="1:11" x14ac:dyDescent="0.2">
      <c r="A37" s="5" t="s">
        <v>24</v>
      </c>
      <c r="B37" s="4" t="s">
        <v>10</v>
      </c>
      <c r="C37" s="5">
        <v>80365</v>
      </c>
      <c r="D37" s="5">
        <v>61236</v>
      </c>
      <c r="E37" s="5">
        <v>38</v>
      </c>
      <c r="F37" s="5">
        <v>16</v>
      </c>
      <c r="G37" s="6">
        <f>37/38</f>
        <v>0.97368421052631582</v>
      </c>
      <c r="H37" s="6">
        <f>53/38</f>
        <v>1.3947368421052631</v>
      </c>
      <c r="I37" s="6">
        <v>33883</v>
      </c>
      <c r="J37" s="6"/>
      <c r="K37" s="6">
        <v>-19430</v>
      </c>
    </row>
    <row r="38" spans="1:11" x14ac:dyDescent="0.2">
      <c r="A38" s="5" t="s">
        <v>49</v>
      </c>
      <c r="B38" s="4" t="s">
        <v>10</v>
      </c>
      <c r="C38" s="5">
        <v>73796</v>
      </c>
      <c r="D38" s="5">
        <v>49059</v>
      </c>
      <c r="E38" s="5">
        <v>37</v>
      </c>
      <c r="F38" s="5">
        <v>17</v>
      </c>
      <c r="G38" s="6">
        <f>43/38</f>
        <v>1.131578947368421</v>
      </c>
      <c r="H38" s="6">
        <f>66/38</f>
        <v>1.736842105263158</v>
      </c>
      <c r="I38" s="6">
        <v>17295</v>
      </c>
      <c r="J38" s="6"/>
      <c r="K38" s="6">
        <f>(26.23-2.8)*830</f>
        <v>19446.900000000001</v>
      </c>
    </row>
    <row r="39" spans="1:11" x14ac:dyDescent="0.2">
      <c r="A39" s="5" t="s">
        <v>28</v>
      </c>
      <c r="B39" s="4" t="s">
        <v>10</v>
      </c>
      <c r="C39" s="5">
        <v>58450</v>
      </c>
      <c r="D39" s="5">
        <v>55342</v>
      </c>
      <c r="E39" s="5">
        <v>36</v>
      </c>
      <c r="F39" s="5">
        <v>18</v>
      </c>
      <c r="G39" s="6">
        <f>46/38</f>
        <v>1.2105263157894737</v>
      </c>
      <c r="H39" s="6">
        <f>77/38</f>
        <v>2.0263157894736841</v>
      </c>
      <c r="I39" s="6">
        <v>23670</v>
      </c>
      <c r="J39" s="6"/>
      <c r="K39" s="6">
        <v>-606</v>
      </c>
    </row>
    <row r="40" spans="1:11" x14ac:dyDescent="0.2">
      <c r="A40" s="5" t="s">
        <v>26</v>
      </c>
      <c r="B40" s="4" t="s">
        <v>10</v>
      </c>
      <c r="C40" s="5">
        <v>54180</v>
      </c>
      <c r="D40" s="5">
        <v>43474</v>
      </c>
      <c r="E40" s="5">
        <v>31</v>
      </c>
      <c r="F40" s="5">
        <v>19</v>
      </c>
      <c r="G40" s="6">
        <f>48/38</f>
        <v>1.263157894736842</v>
      </c>
      <c r="H40" s="6">
        <f>78/38</f>
        <v>2.0526315789473686</v>
      </c>
      <c r="I40" s="6">
        <v>22551</v>
      </c>
      <c r="J40" s="6"/>
      <c r="K40" s="6">
        <f>(20.55-40.3)*830</f>
        <v>-16392.499999999996</v>
      </c>
    </row>
    <row r="41" spans="1:11" x14ac:dyDescent="0.2">
      <c r="A41" s="5" t="s">
        <v>61</v>
      </c>
      <c r="B41" s="4" t="s">
        <v>10</v>
      </c>
      <c r="C41" s="5">
        <v>60646</v>
      </c>
      <c r="D41" s="5">
        <v>33837</v>
      </c>
      <c r="E41" s="5">
        <v>25</v>
      </c>
      <c r="F41" s="5">
        <v>20</v>
      </c>
      <c r="G41" s="6">
        <f>40/38</f>
        <v>1.0526315789473684</v>
      </c>
      <c r="H41" s="6">
        <f>82/38</f>
        <v>2.1578947368421053</v>
      </c>
      <c r="I41" s="6">
        <v>25677</v>
      </c>
      <c r="J41" s="6"/>
      <c r="K41" s="6">
        <v>7844</v>
      </c>
    </row>
    <row r="42" spans="1:11" x14ac:dyDescent="0.2">
      <c r="A42" s="5" t="s">
        <v>44</v>
      </c>
      <c r="B42" s="4" t="s">
        <v>13</v>
      </c>
      <c r="C42" s="5">
        <v>194442</v>
      </c>
      <c r="D42" s="5">
        <v>129022</v>
      </c>
      <c r="E42" s="5">
        <v>89</v>
      </c>
      <c r="F42" s="5">
        <v>1</v>
      </c>
      <c r="G42" s="6">
        <f>86/38</f>
        <v>2.263157894736842</v>
      </c>
      <c r="H42" s="6">
        <f>43/38</f>
        <v>1.131578947368421</v>
      </c>
      <c r="I42" s="6">
        <v>75530</v>
      </c>
      <c r="J42" s="6"/>
      <c r="K42" s="6">
        <f>(76.45-9.65)*1000*0.83</f>
        <v>55444</v>
      </c>
    </row>
    <row r="43" spans="1:11" x14ac:dyDescent="0.2">
      <c r="A43" s="5" t="s">
        <v>43</v>
      </c>
      <c r="B43" s="4" t="s">
        <v>13</v>
      </c>
      <c r="C43" s="5">
        <v>271000</v>
      </c>
      <c r="D43" s="5">
        <v>204701</v>
      </c>
      <c r="E43" s="5">
        <v>78</v>
      </c>
      <c r="F43" s="5">
        <v>2</v>
      </c>
      <c r="G43" s="6">
        <f>66/38</f>
        <v>1.736842105263158</v>
      </c>
      <c r="H43" s="6">
        <f>34/38</f>
        <v>0.89473684210526316</v>
      </c>
      <c r="I43" s="6">
        <v>46974</v>
      </c>
      <c r="J43" s="6"/>
      <c r="K43" s="6">
        <v>14650</v>
      </c>
    </row>
    <row r="44" spans="1:11" x14ac:dyDescent="0.2">
      <c r="A44" s="5" t="s">
        <v>34</v>
      </c>
      <c r="B44" s="4" t="s">
        <v>13</v>
      </c>
      <c r="C44" s="5">
        <v>255772</v>
      </c>
      <c r="D44" s="5">
        <v>151649</v>
      </c>
      <c r="E44" s="5">
        <v>75</v>
      </c>
      <c r="F44" s="5">
        <v>3</v>
      </c>
      <c r="G44" s="6">
        <f>75/38</f>
        <v>1.9736842105263157</v>
      </c>
      <c r="H44" s="6">
        <f>39/38</f>
        <v>1.0263157894736843</v>
      </c>
      <c r="I44" s="6">
        <v>41462</v>
      </c>
      <c r="J44" s="6"/>
      <c r="K44" s="6">
        <v>69928</v>
      </c>
    </row>
    <row r="45" spans="1:11" x14ac:dyDescent="0.2">
      <c r="A45" s="5" t="s">
        <v>8</v>
      </c>
      <c r="B45" s="4" t="s">
        <v>13</v>
      </c>
      <c r="C45" s="5">
        <v>218648</v>
      </c>
      <c r="D45" s="5">
        <v>132838</v>
      </c>
      <c r="E45" s="5">
        <v>73</v>
      </c>
      <c r="F45" s="5">
        <v>4</v>
      </c>
      <c r="G45" s="6">
        <f>72/38</f>
        <v>1.8947368421052631</v>
      </c>
      <c r="H45" s="6">
        <f>37/38</f>
        <v>0.97368421052631582</v>
      </c>
      <c r="I45" s="6">
        <v>60079</v>
      </c>
      <c r="J45" s="6"/>
      <c r="K45" s="6">
        <f>(56-65.85)*1000*0.83</f>
        <v>-8175.4999999999955</v>
      </c>
    </row>
    <row r="46" spans="1:11" x14ac:dyDescent="0.2">
      <c r="A46" s="5" t="s">
        <v>56</v>
      </c>
      <c r="B46" s="4" t="s">
        <v>13</v>
      </c>
      <c r="C46" s="5">
        <v>147392</v>
      </c>
      <c r="D46" s="5">
        <v>84727</v>
      </c>
      <c r="E46" s="5">
        <v>72</v>
      </c>
      <c r="F46" s="5">
        <v>5</v>
      </c>
      <c r="G46" s="6">
        <f>66/38</f>
        <v>1.736842105263158</v>
      </c>
      <c r="H46" s="6">
        <f>46/38</f>
        <v>1.2105263157894737</v>
      </c>
      <c r="I46" s="6">
        <v>36066</v>
      </c>
      <c r="J46" s="6"/>
      <c r="K46" s="6">
        <f>(73.25-72.78)*1000*0.83</f>
        <v>390.09999999999906</v>
      </c>
    </row>
    <row r="47" spans="1:11" x14ac:dyDescent="0.2">
      <c r="A47" s="5" t="s">
        <v>36</v>
      </c>
      <c r="B47" s="4" t="s">
        <v>13</v>
      </c>
      <c r="C47" s="5">
        <v>86397</v>
      </c>
      <c r="D47" s="5">
        <v>55320</v>
      </c>
      <c r="E47" s="5">
        <v>63</v>
      </c>
      <c r="F47" s="5">
        <v>6</v>
      </c>
      <c r="G47" s="6">
        <f>55/38</f>
        <v>1.4473684210526316</v>
      </c>
      <c r="H47" s="6">
        <f>40/38</f>
        <v>1.0526315789473684</v>
      </c>
      <c r="I47" s="6">
        <v>36356</v>
      </c>
      <c r="J47" s="6"/>
      <c r="K47" s="6">
        <v>2407</v>
      </c>
    </row>
    <row r="48" spans="1:11" x14ac:dyDescent="0.2">
      <c r="A48" s="5" t="s">
        <v>42</v>
      </c>
      <c r="B48" s="4" t="s">
        <v>13</v>
      </c>
      <c r="C48" s="5">
        <v>206115</v>
      </c>
      <c r="D48" s="5">
        <v>116092</v>
      </c>
      <c r="E48" s="5">
        <v>61</v>
      </c>
      <c r="F48" s="5">
        <v>7</v>
      </c>
      <c r="G48" s="6">
        <f>71/38</f>
        <v>1.868421052631579</v>
      </c>
      <c r="H48" s="6">
        <f>43/38</f>
        <v>1.131578947368421</v>
      </c>
      <c r="I48" s="6">
        <v>44749</v>
      </c>
      <c r="J48" s="6"/>
      <c r="K48" s="6">
        <f>(70.6-10.45)*1000*0.83</f>
        <v>49924.499999999993</v>
      </c>
    </row>
    <row r="49" spans="1:11" x14ac:dyDescent="0.2">
      <c r="A49" s="5" t="s">
        <v>58</v>
      </c>
      <c r="B49" s="4" t="s">
        <v>13</v>
      </c>
      <c r="C49" s="5">
        <v>69734</v>
      </c>
      <c r="D49" s="5">
        <v>47962</v>
      </c>
      <c r="E49" s="5">
        <v>49</v>
      </c>
      <c r="F49" s="5">
        <v>8</v>
      </c>
      <c r="G49" s="6">
        <f>53/38</f>
        <v>1.3947368421052631</v>
      </c>
      <c r="H49" s="6">
        <f>57/38</f>
        <v>1.5</v>
      </c>
      <c r="I49" s="6">
        <v>25202</v>
      </c>
      <c r="J49" s="6"/>
      <c r="K49" s="6">
        <v>1054</v>
      </c>
    </row>
    <row r="50" spans="1:11" x14ac:dyDescent="0.2">
      <c r="A50" s="5" t="s">
        <v>55</v>
      </c>
      <c r="B50" s="4" t="s">
        <v>13</v>
      </c>
      <c r="C50" s="5">
        <v>67113</v>
      </c>
      <c r="D50" s="5">
        <v>42920</v>
      </c>
      <c r="E50" s="5">
        <v>46</v>
      </c>
      <c r="F50" s="5">
        <v>9</v>
      </c>
      <c r="G50" s="6">
        <f>47/38</f>
        <v>1.236842105263158</v>
      </c>
      <c r="H50" s="6">
        <f>51/38</f>
        <v>1.3421052631578947</v>
      </c>
      <c r="I50" s="6">
        <v>20476</v>
      </c>
      <c r="J50" s="6"/>
      <c r="K50" s="6">
        <f>(20.47-32.6)*1000*0.83</f>
        <v>-10067.900000000001</v>
      </c>
    </row>
    <row r="51" spans="1:11" x14ac:dyDescent="0.2">
      <c r="A51" s="5" t="s">
        <v>59</v>
      </c>
      <c r="B51" s="4" t="s">
        <v>13</v>
      </c>
      <c r="C51" s="5">
        <v>89815</v>
      </c>
      <c r="D51" s="5">
        <v>49278</v>
      </c>
      <c r="E51" s="5">
        <v>46</v>
      </c>
      <c r="F51" s="5">
        <v>10</v>
      </c>
      <c r="G51" s="6">
        <f>45/38</f>
        <v>1.1842105263157894</v>
      </c>
      <c r="H51" s="6">
        <f>53/38</f>
        <v>1.3947368421052631</v>
      </c>
      <c r="I51" s="6">
        <v>34717</v>
      </c>
      <c r="J51" s="6"/>
      <c r="K51" s="6">
        <v>15655</v>
      </c>
    </row>
    <row r="52" spans="1:11" x14ac:dyDescent="0.2">
      <c r="A52" s="5" t="s">
        <v>47</v>
      </c>
      <c r="B52" s="4" t="s">
        <v>13</v>
      </c>
      <c r="C52" s="5">
        <v>74733</v>
      </c>
      <c r="D52" s="5">
        <v>45877</v>
      </c>
      <c r="E52" s="5">
        <v>44</v>
      </c>
      <c r="F52" s="5">
        <v>11</v>
      </c>
      <c r="G52" s="6">
        <f>41/38</f>
        <v>1.0789473684210527</v>
      </c>
      <c r="H52" s="6">
        <f>58/38</f>
        <v>1.5263157894736843</v>
      </c>
      <c r="I52" s="6">
        <v>26672</v>
      </c>
      <c r="J52" s="6"/>
      <c r="K52" s="6">
        <f>(11.08-0.38)*830</f>
        <v>8881</v>
      </c>
    </row>
    <row r="53" spans="1:11" x14ac:dyDescent="0.2">
      <c r="A53" s="5" t="s">
        <v>37</v>
      </c>
      <c r="B53" s="4" t="s">
        <v>13</v>
      </c>
      <c r="C53" s="5">
        <v>73014</v>
      </c>
      <c r="D53" s="5">
        <v>58551</v>
      </c>
      <c r="E53" s="5">
        <v>43</v>
      </c>
      <c r="F53" s="5">
        <v>12</v>
      </c>
      <c r="G53" s="6">
        <f>50/38</f>
        <v>1.3157894736842106</v>
      </c>
      <c r="H53" s="6">
        <f>60/38</f>
        <v>1.5789473684210527</v>
      </c>
      <c r="I53" s="6">
        <v>25423</v>
      </c>
      <c r="J53" s="6"/>
      <c r="K53" s="6">
        <v>-17779</v>
      </c>
    </row>
    <row r="54" spans="1:11" x14ac:dyDescent="0.2">
      <c r="A54" s="5" t="s">
        <v>53</v>
      </c>
      <c r="B54" s="4" t="s">
        <v>13</v>
      </c>
      <c r="C54" s="5">
        <v>66516</v>
      </c>
      <c r="D54" s="5">
        <v>52479</v>
      </c>
      <c r="E54" s="5">
        <v>42</v>
      </c>
      <c r="F54" s="5">
        <v>13</v>
      </c>
      <c r="G54" s="6">
        <f>34/38</f>
        <v>0.89473684210526316</v>
      </c>
      <c r="H54" s="6">
        <f>45/38</f>
        <v>1.1842105263157894</v>
      </c>
      <c r="I54" s="6">
        <v>26722</v>
      </c>
      <c r="J54" s="6"/>
      <c r="K54" s="6">
        <f>(23.68-0.64)*1000*0.83</f>
        <v>19123.2</v>
      </c>
    </row>
    <row r="55" spans="1:11" x14ac:dyDescent="0.2">
      <c r="A55" s="5" t="s">
        <v>52</v>
      </c>
      <c r="B55" s="4" t="s">
        <v>13</v>
      </c>
      <c r="C55" s="5">
        <v>69413</v>
      </c>
      <c r="D55" s="5">
        <v>38365</v>
      </c>
      <c r="E55" s="5">
        <v>41</v>
      </c>
      <c r="F55" s="5">
        <v>14</v>
      </c>
      <c r="G55" s="6">
        <f>49/38</f>
        <v>1.2894736842105263</v>
      </c>
      <c r="H55" s="6">
        <f>60/38</f>
        <v>1.5789473684210527</v>
      </c>
      <c r="I55" s="6">
        <v>30855</v>
      </c>
      <c r="J55" s="6"/>
      <c r="K55" s="6">
        <v>34445</v>
      </c>
    </row>
    <row r="56" spans="1:11" x14ac:dyDescent="0.2">
      <c r="A56" s="5" t="s">
        <v>24</v>
      </c>
      <c r="B56" s="4" t="s">
        <v>13</v>
      </c>
      <c r="C56" s="5">
        <v>83696</v>
      </c>
      <c r="D56" s="5">
        <v>62688</v>
      </c>
      <c r="E56" s="5">
        <v>41</v>
      </c>
      <c r="F56" s="5">
        <v>15</v>
      </c>
      <c r="G56" s="6">
        <f>47/38</f>
        <v>1.236842105263158</v>
      </c>
      <c r="H56" s="6">
        <f>69/38</f>
        <v>1.8157894736842106</v>
      </c>
      <c r="I56" s="6">
        <v>35060</v>
      </c>
      <c r="J56" s="6"/>
      <c r="K56" s="6">
        <v>20443</v>
      </c>
    </row>
    <row r="57" spans="1:11" x14ac:dyDescent="0.2">
      <c r="A57" s="5" t="s">
        <v>46</v>
      </c>
      <c r="B57" s="4" t="s">
        <v>13</v>
      </c>
      <c r="C57" s="5">
        <v>95879</v>
      </c>
      <c r="D57" s="5">
        <v>54040</v>
      </c>
      <c r="E57" s="5">
        <v>41</v>
      </c>
      <c r="F57" s="5">
        <v>16</v>
      </c>
      <c r="G57" s="6">
        <f>45/38</f>
        <v>1.1842105263157894</v>
      </c>
      <c r="H57" s="6">
        <f>68/38</f>
        <v>1.7894736842105263</v>
      </c>
      <c r="I57" s="6">
        <v>50517</v>
      </c>
      <c r="J57" s="6"/>
      <c r="K57" s="6">
        <f>(31.97-14.8)*1000*0.83</f>
        <v>14251.099999999997</v>
      </c>
    </row>
    <row r="58" spans="1:11" x14ac:dyDescent="0.2">
      <c r="A58" s="5" t="s">
        <v>54</v>
      </c>
      <c r="B58" s="4" t="s">
        <v>13</v>
      </c>
      <c r="C58" s="5">
        <v>72026</v>
      </c>
      <c r="D58" s="5">
        <v>49848</v>
      </c>
      <c r="E58" s="5">
        <v>39</v>
      </c>
      <c r="F58" s="5">
        <v>17</v>
      </c>
      <c r="G58" s="6">
        <f>41/38</f>
        <v>1.0789473684210527</v>
      </c>
      <c r="H58" s="6">
        <f>54/38</f>
        <v>1.4210526315789473</v>
      </c>
      <c r="I58" s="6">
        <v>40563</v>
      </c>
      <c r="J58" s="6"/>
      <c r="K58" s="6">
        <v>19480</v>
      </c>
    </row>
    <row r="59" spans="1:11" x14ac:dyDescent="0.2">
      <c r="A59" s="5" t="s">
        <v>60</v>
      </c>
      <c r="B59" s="4" t="s">
        <v>13</v>
      </c>
      <c r="C59" s="5">
        <v>56413</v>
      </c>
      <c r="D59" s="5">
        <v>38501</v>
      </c>
      <c r="E59" s="5">
        <v>36</v>
      </c>
      <c r="F59" s="5">
        <v>18</v>
      </c>
      <c r="G59" s="6">
        <f>47/38</f>
        <v>1.236842105263158</v>
      </c>
      <c r="H59" s="6">
        <f>73/38</f>
        <v>1.9210526315789473</v>
      </c>
      <c r="I59" s="6">
        <v>19359</v>
      </c>
      <c r="J59" s="6"/>
      <c r="K59" s="6">
        <f>(10.54-13.25)*830</f>
        <v>-2249.3000000000006</v>
      </c>
    </row>
    <row r="60" spans="1:11" x14ac:dyDescent="0.2">
      <c r="A60" s="5" t="s">
        <v>50</v>
      </c>
      <c r="B60" s="4" t="s">
        <v>13</v>
      </c>
      <c r="C60" s="5">
        <v>59266</v>
      </c>
      <c r="D60" s="5">
        <v>40574</v>
      </c>
      <c r="E60" s="5">
        <v>28</v>
      </c>
      <c r="F60" s="5">
        <v>19</v>
      </c>
      <c r="G60" s="6">
        <f>43/38</f>
        <v>1.131578947368421</v>
      </c>
      <c r="H60" s="6">
        <f>73/38</f>
        <v>1.9210526315789473</v>
      </c>
      <c r="I60" s="6">
        <v>23862</v>
      </c>
      <c r="J60" s="6"/>
      <c r="K60" s="6">
        <f>(10.82-0.9)*830</f>
        <v>8233.6</v>
      </c>
    </row>
    <row r="61" spans="1:11" x14ac:dyDescent="0.2">
      <c r="A61" s="5" t="s">
        <v>49</v>
      </c>
      <c r="B61" s="4" t="s">
        <v>13</v>
      </c>
      <c r="C61" s="5">
        <v>105032</v>
      </c>
      <c r="D61" s="5">
        <v>63768</v>
      </c>
      <c r="E61" s="5">
        <v>25</v>
      </c>
      <c r="F61" s="5">
        <v>20</v>
      </c>
      <c r="G61" s="6">
        <f>30/38</f>
        <v>0.78947368421052633</v>
      </c>
      <c r="H61" s="6">
        <f>60/38</f>
        <v>1.5789473684210527</v>
      </c>
      <c r="I61" s="6">
        <v>17779</v>
      </c>
      <c r="J61" s="6"/>
      <c r="K61" s="6">
        <f>(50.35-4.51)*830</f>
        <v>38047.200000000004</v>
      </c>
    </row>
    <row r="62" spans="1:11" x14ac:dyDescent="0.2">
      <c r="A62" s="5" t="s">
        <v>43</v>
      </c>
      <c r="B62" s="4" t="s">
        <v>14</v>
      </c>
      <c r="C62" s="5">
        <v>346500</v>
      </c>
      <c r="D62" s="5">
        <v>179021</v>
      </c>
      <c r="E62" s="5">
        <v>86</v>
      </c>
      <c r="F62" s="5">
        <v>1</v>
      </c>
      <c r="G62" s="6">
        <f>102/38</f>
        <v>2.6842105263157894</v>
      </c>
      <c r="H62" s="6">
        <f>37/38</f>
        <v>0.97368421052631582</v>
      </c>
      <c r="I62" s="6">
        <v>47080</v>
      </c>
      <c r="J62" s="6"/>
      <c r="K62" s="6">
        <v>86486</v>
      </c>
    </row>
    <row r="63" spans="1:11" x14ac:dyDescent="0.2">
      <c r="A63" s="5" t="s">
        <v>42</v>
      </c>
      <c r="B63" s="4" t="s">
        <v>14</v>
      </c>
      <c r="C63" s="5">
        <v>255647</v>
      </c>
      <c r="D63" s="5">
        <v>127182</v>
      </c>
      <c r="E63" s="5">
        <v>84</v>
      </c>
      <c r="F63" s="5">
        <v>2</v>
      </c>
      <c r="G63" s="6">
        <f>101/38</f>
        <v>2.6578947368421053</v>
      </c>
      <c r="H63" s="6">
        <f>50/38</f>
        <v>1.3157894736842106</v>
      </c>
      <c r="I63" s="6">
        <v>44671</v>
      </c>
      <c r="J63" s="6"/>
      <c r="K63" s="6">
        <f>(58.1-32.5)*1000*0.83</f>
        <v>21248</v>
      </c>
    </row>
    <row r="64" spans="1:11" x14ac:dyDescent="0.2">
      <c r="A64" s="5" t="s">
        <v>34</v>
      </c>
      <c r="B64" s="4" t="s">
        <v>14</v>
      </c>
      <c r="C64" s="5">
        <v>319843</v>
      </c>
      <c r="D64" s="5">
        <v>167666</v>
      </c>
      <c r="E64" s="5">
        <v>82</v>
      </c>
      <c r="F64" s="5">
        <v>3</v>
      </c>
      <c r="G64" s="6">
        <f>71/38</f>
        <v>1.868421052631579</v>
      </c>
      <c r="H64" s="6">
        <f>27/38</f>
        <v>0.71052631578947367</v>
      </c>
      <c r="I64" s="6">
        <v>41482</v>
      </c>
      <c r="J64" s="6"/>
      <c r="K64" s="6">
        <v>43509</v>
      </c>
    </row>
    <row r="65" spans="1:11" x14ac:dyDescent="0.2">
      <c r="A65" s="5" t="s">
        <v>8</v>
      </c>
      <c r="B65" s="4" t="s">
        <v>14</v>
      </c>
      <c r="C65" s="5">
        <v>302797</v>
      </c>
      <c r="D65" s="5">
        <v>142922</v>
      </c>
      <c r="E65" s="5">
        <v>79</v>
      </c>
      <c r="F65" s="5">
        <v>4</v>
      </c>
      <c r="G65" s="6">
        <f>68/38</f>
        <v>1.7894736842105263</v>
      </c>
      <c r="H65" s="6">
        <f>41/38</f>
        <v>1.0789473684210527</v>
      </c>
      <c r="I65" s="6">
        <v>60013</v>
      </c>
      <c r="J65" s="6"/>
      <c r="K65" s="6">
        <f>(49.25-12.15)*1000*0.83</f>
        <v>30793</v>
      </c>
    </row>
    <row r="66" spans="1:11" x14ac:dyDescent="0.2">
      <c r="A66" s="5" t="s">
        <v>36</v>
      </c>
      <c r="B66" s="4" t="s">
        <v>14</v>
      </c>
      <c r="C66" s="5">
        <v>120511</v>
      </c>
      <c r="D66" s="5">
        <v>60792</v>
      </c>
      <c r="E66" s="5">
        <v>72</v>
      </c>
      <c r="F66" s="5">
        <v>5</v>
      </c>
      <c r="G66" s="6">
        <f>61/38</f>
        <v>1.6052631578947369</v>
      </c>
      <c r="H66" s="6">
        <f>39/38</f>
        <v>1.0263157894736843</v>
      </c>
      <c r="I66" s="6">
        <v>37732</v>
      </c>
      <c r="J66" s="6"/>
      <c r="K66" s="6">
        <v>-11869</v>
      </c>
    </row>
    <row r="67" spans="1:11" x14ac:dyDescent="0.2">
      <c r="A67" s="5" t="s">
        <v>56</v>
      </c>
      <c r="B67" s="4" t="s">
        <v>14</v>
      </c>
      <c r="C67" s="5">
        <v>180541</v>
      </c>
      <c r="D67" s="5">
        <v>88760</v>
      </c>
      <c r="E67" s="5">
        <v>69</v>
      </c>
      <c r="F67" s="5">
        <v>6</v>
      </c>
      <c r="G67" s="6">
        <f>55/38</f>
        <v>1.4473684210526316</v>
      </c>
      <c r="H67" s="6">
        <f>51/38</f>
        <v>1.3421052631578947</v>
      </c>
      <c r="I67" s="6">
        <v>35808</v>
      </c>
      <c r="J67" s="6"/>
      <c r="K67" s="6">
        <f>(122.55-138.4)*1000*0.83</f>
        <v>-13155.500000000007</v>
      </c>
    </row>
    <row r="68" spans="1:11" x14ac:dyDescent="0.2">
      <c r="A68" s="5" t="s">
        <v>44</v>
      </c>
      <c r="B68" s="4" t="s">
        <v>14</v>
      </c>
      <c r="C68" s="5">
        <v>228676</v>
      </c>
      <c r="D68" s="5">
        <v>146684</v>
      </c>
      <c r="E68" s="5">
        <v>64</v>
      </c>
      <c r="F68" s="5">
        <v>7</v>
      </c>
      <c r="G68" s="6">
        <f>64/38</f>
        <v>1.6842105263157894</v>
      </c>
      <c r="H68" s="6">
        <f>43/38</f>
        <v>1.131578947368421</v>
      </c>
      <c r="I68" s="6">
        <v>75207</v>
      </c>
      <c r="J68" s="6"/>
      <c r="K68" s="6">
        <f>(77.13-1.8)*1000*0.83</f>
        <v>62523.899999999994</v>
      </c>
    </row>
    <row r="69" spans="1:11" x14ac:dyDescent="0.2">
      <c r="A69" s="5" t="s">
        <v>52</v>
      </c>
      <c r="B69" s="4" t="s">
        <v>14</v>
      </c>
      <c r="C69" s="5">
        <v>103441</v>
      </c>
      <c r="D69" s="5">
        <v>52296</v>
      </c>
      <c r="E69" s="5">
        <v>56</v>
      </c>
      <c r="F69" s="5">
        <v>8</v>
      </c>
      <c r="G69" s="6">
        <f>54/38</f>
        <v>1.4210526315789473</v>
      </c>
      <c r="H69" s="6">
        <f>46/38</f>
        <v>1.2105263157894737</v>
      </c>
      <c r="I69" s="6">
        <v>30212</v>
      </c>
      <c r="J69" s="6"/>
      <c r="K69" s="6">
        <v>29382</v>
      </c>
    </row>
    <row r="70" spans="1:11" x14ac:dyDescent="0.2">
      <c r="A70" s="5" t="s">
        <v>53</v>
      </c>
      <c r="B70" s="4" t="s">
        <v>14</v>
      </c>
      <c r="C70" s="5">
        <v>98318</v>
      </c>
      <c r="D70" s="5">
        <v>53191</v>
      </c>
      <c r="E70" s="5">
        <v>50</v>
      </c>
      <c r="F70" s="5">
        <v>9</v>
      </c>
      <c r="G70" s="6">
        <f>45/38</f>
        <v>1.1842105263157894</v>
      </c>
      <c r="H70" s="6">
        <f>52/38</f>
        <v>1.368421052631579</v>
      </c>
      <c r="I70" s="6">
        <v>26137</v>
      </c>
      <c r="J70" s="6"/>
      <c r="K70" s="6">
        <f>7*1000*0.83</f>
        <v>5810</v>
      </c>
    </row>
    <row r="71" spans="1:11" x14ac:dyDescent="0.2">
      <c r="A71" s="5" t="s">
        <v>46</v>
      </c>
      <c r="B71" s="4" t="s">
        <v>14</v>
      </c>
      <c r="C71" s="5">
        <v>129745</v>
      </c>
      <c r="D71" s="5">
        <v>69300</v>
      </c>
      <c r="E71" s="5">
        <v>49</v>
      </c>
      <c r="F71" s="5">
        <v>10</v>
      </c>
      <c r="G71" s="6">
        <f>43/38</f>
        <v>1.131578947368421</v>
      </c>
      <c r="H71" s="6">
        <f>59/38</f>
        <v>1.5526315789473684</v>
      </c>
      <c r="I71" s="6">
        <v>50395</v>
      </c>
      <c r="J71" s="6"/>
      <c r="K71" s="6">
        <f>(3.8-25.87)*1000*0.83</f>
        <v>-18318.099999999999</v>
      </c>
    </row>
    <row r="72" spans="1:11" x14ac:dyDescent="0.2">
      <c r="A72" s="5" t="s">
        <v>35</v>
      </c>
      <c r="B72" s="4" t="s">
        <v>14</v>
      </c>
      <c r="C72" s="5">
        <v>90401</v>
      </c>
      <c r="D72" s="5">
        <v>40360</v>
      </c>
      <c r="E72" s="5">
        <v>45</v>
      </c>
      <c r="F72" s="5">
        <v>11</v>
      </c>
      <c r="G72" s="6">
        <f>33/38</f>
        <v>0.86842105263157898</v>
      </c>
      <c r="H72" s="6">
        <f>48/38</f>
        <v>1.263157894736842</v>
      </c>
      <c r="I72" s="6">
        <v>24114</v>
      </c>
      <c r="J72" s="6"/>
      <c r="K72" s="6">
        <f>33*1000*0.83</f>
        <v>27390</v>
      </c>
    </row>
    <row r="73" spans="1:11" x14ac:dyDescent="0.2">
      <c r="A73" s="5" t="s">
        <v>55</v>
      </c>
      <c r="B73" s="4" t="s">
        <v>14</v>
      </c>
      <c r="C73" s="5">
        <v>98692</v>
      </c>
      <c r="D73" s="5">
        <v>56173</v>
      </c>
      <c r="E73" s="5">
        <v>42</v>
      </c>
      <c r="F73" s="5">
        <v>12</v>
      </c>
      <c r="G73" s="6">
        <f>54/38</f>
        <v>1.4210526315789473</v>
      </c>
      <c r="H73" s="6">
        <f>54/38</f>
        <v>1.4210526315789473</v>
      </c>
      <c r="I73" s="6">
        <v>20407</v>
      </c>
      <c r="J73" s="6"/>
      <c r="K73" s="6">
        <f>(26.61-0)*1000*0.83</f>
        <v>22086.3</v>
      </c>
    </row>
    <row r="74" spans="1:11" x14ac:dyDescent="0.2">
      <c r="A74" s="5" t="s">
        <v>59</v>
      </c>
      <c r="B74" s="4" t="s">
        <v>14</v>
      </c>
      <c r="C74" s="5">
        <v>114852</v>
      </c>
      <c r="D74" s="5">
        <v>56121</v>
      </c>
      <c r="E74" s="5">
        <v>40</v>
      </c>
      <c r="F74" s="5">
        <v>13</v>
      </c>
      <c r="G74" s="6">
        <f>40/38</f>
        <v>1.0526315789473684</v>
      </c>
      <c r="H74" s="6">
        <f>51/38</f>
        <v>1.3421052631578947</v>
      </c>
      <c r="I74" s="6">
        <v>34197</v>
      </c>
      <c r="J74" s="6"/>
      <c r="K74" s="6">
        <v>19480</v>
      </c>
    </row>
    <row r="75" spans="1:11" x14ac:dyDescent="0.2">
      <c r="A75" s="5" t="s">
        <v>54</v>
      </c>
      <c r="B75" s="4" t="s">
        <v>14</v>
      </c>
      <c r="C75" s="5">
        <v>101016</v>
      </c>
      <c r="D75" s="5">
        <v>59470</v>
      </c>
      <c r="E75" s="5">
        <v>38</v>
      </c>
      <c r="F75" s="5">
        <v>14</v>
      </c>
      <c r="G75" s="6">
        <f>41/38</f>
        <v>1.0789473684210527</v>
      </c>
      <c r="H75" s="6">
        <f>60/38</f>
        <v>1.5789473684210527</v>
      </c>
      <c r="I75" s="6">
        <v>41090</v>
      </c>
      <c r="J75" s="6"/>
      <c r="K75" s="6">
        <v>9570</v>
      </c>
    </row>
    <row r="76" spans="1:11" x14ac:dyDescent="0.2">
      <c r="A76" s="5" t="s">
        <v>24</v>
      </c>
      <c r="B76" s="4" t="s">
        <v>14</v>
      </c>
      <c r="C76" s="5">
        <v>116920</v>
      </c>
      <c r="D76" s="5">
        <v>60406</v>
      </c>
      <c r="E76" s="5">
        <v>38</v>
      </c>
      <c r="F76" s="5">
        <v>15</v>
      </c>
      <c r="G76" s="6">
        <f>39/38</f>
        <v>1.0263157894736843</v>
      </c>
      <c r="H76" s="6">
        <f>61/38</f>
        <v>1.6052631578947369</v>
      </c>
      <c r="I76" s="6">
        <v>36081</v>
      </c>
      <c r="J76" s="6"/>
      <c r="K76" s="6">
        <v>9744</v>
      </c>
    </row>
    <row r="77" spans="1:11" x14ac:dyDescent="0.2">
      <c r="A77" s="5" t="s">
        <v>39</v>
      </c>
      <c r="B77" s="4" t="s">
        <v>14</v>
      </c>
      <c r="C77" s="5">
        <v>84482</v>
      </c>
      <c r="D77" s="5">
        <v>38587</v>
      </c>
      <c r="E77" s="5">
        <v>37</v>
      </c>
      <c r="F77" s="5">
        <v>16</v>
      </c>
      <c r="G77" s="6">
        <f>38/38</f>
        <v>1</v>
      </c>
      <c r="H77" s="6">
        <f>53/38</f>
        <v>1.3947368421052631</v>
      </c>
      <c r="I77" s="6">
        <v>24117</v>
      </c>
      <c r="J77" s="6"/>
      <c r="K77" s="6">
        <v>25083</v>
      </c>
    </row>
    <row r="78" spans="1:11" x14ac:dyDescent="0.2">
      <c r="A78" s="5" t="s">
        <v>58</v>
      </c>
      <c r="B78" s="4" t="s">
        <v>14</v>
      </c>
      <c r="C78" s="5">
        <v>86769</v>
      </c>
      <c r="D78" s="5">
        <v>58577</v>
      </c>
      <c r="E78" s="5">
        <v>36</v>
      </c>
      <c r="F78" s="5">
        <v>17</v>
      </c>
      <c r="G78" s="6">
        <f>43/38</f>
        <v>1.131578947368421</v>
      </c>
      <c r="H78" s="6">
        <f>59/38</f>
        <v>1.5526315789473684</v>
      </c>
      <c r="I78" s="6">
        <v>25194</v>
      </c>
      <c r="J78" s="6"/>
      <c r="K78" s="6">
        <v>3569</v>
      </c>
    </row>
    <row r="79" spans="1:11" x14ac:dyDescent="0.2">
      <c r="A79" s="5" t="s">
        <v>47</v>
      </c>
      <c r="B79" s="4" t="s">
        <v>14</v>
      </c>
      <c r="C79" s="5">
        <v>94345</v>
      </c>
      <c r="D79" s="5">
        <v>46721</v>
      </c>
      <c r="E79" s="5">
        <v>33</v>
      </c>
      <c r="F79" s="5">
        <v>18</v>
      </c>
      <c r="G79" s="6">
        <f>28/38</f>
        <v>0.73684210526315785</v>
      </c>
      <c r="H79" s="6">
        <f>62/38</f>
        <v>1.631578947368421</v>
      </c>
      <c r="I79" s="6">
        <v>26805</v>
      </c>
      <c r="J79" s="6"/>
      <c r="K79" s="6">
        <f>(30.05-4.84)*830</f>
        <v>20924.3</v>
      </c>
    </row>
    <row r="80" spans="1:11" x14ac:dyDescent="0.2">
      <c r="A80" s="5" t="s">
        <v>37</v>
      </c>
      <c r="B80" s="4" t="s">
        <v>14</v>
      </c>
      <c r="C80" s="5">
        <v>91280</v>
      </c>
      <c r="D80" s="5">
        <v>60450</v>
      </c>
      <c r="E80" s="5">
        <v>32</v>
      </c>
      <c r="F80" s="5">
        <v>19</v>
      </c>
      <c r="G80" s="6">
        <f>40/38</f>
        <v>1.0526315789473684</v>
      </c>
      <c r="H80" s="6">
        <f>85/38</f>
        <v>2.236842105263158</v>
      </c>
      <c r="I80" s="6">
        <v>24977</v>
      </c>
      <c r="J80" s="6"/>
      <c r="K80" s="6">
        <v>20875</v>
      </c>
    </row>
    <row r="81" spans="1:11" x14ac:dyDescent="0.2">
      <c r="A81" s="5" t="s">
        <v>33</v>
      </c>
      <c r="B81" s="4" t="s">
        <v>14</v>
      </c>
      <c r="C81" s="5">
        <v>79938</v>
      </c>
      <c r="D81" s="5">
        <v>46704</v>
      </c>
      <c r="E81" s="5">
        <v>30</v>
      </c>
      <c r="F81" s="5">
        <v>20</v>
      </c>
      <c r="G81" s="6">
        <f>32/38</f>
        <v>0.84210526315789469</v>
      </c>
      <c r="H81" s="6">
        <f>74/38</f>
        <v>1.9473684210526316</v>
      </c>
      <c r="I81" s="6">
        <v>27430</v>
      </c>
      <c r="J81" s="6"/>
      <c r="K81" s="6">
        <v>34926</v>
      </c>
    </row>
    <row r="82" spans="1:11" x14ac:dyDescent="0.2">
      <c r="A82" s="5" t="s">
        <v>34</v>
      </c>
      <c r="B82" s="4" t="s">
        <v>15</v>
      </c>
      <c r="C82" s="5">
        <v>314287</v>
      </c>
      <c r="D82" s="5">
        <v>191392</v>
      </c>
      <c r="E82" s="5">
        <v>87</v>
      </c>
      <c r="F82" s="5">
        <v>1</v>
      </c>
      <c r="G82" s="6">
        <f>73/38</f>
        <v>1.9210526315789473</v>
      </c>
      <c r="H82" s="6">
        <f>32/38</f>
        <v>0.84210526315789469</v>
      </c>
      <c r="I82" s="6">
        <v>41546</v>
      </c>
      <c r="J82" s="6"/>
      <c r="K82" s="6">
        <v>-4241</v>
      </c>
    </row>
    <row r="83" spans="1:11" x14ac:dyDescent="0.2">
      <c r="A83" s="5" t="s">
        <v>43</v>
      </c>
      <c r="B83" s="4" t="s">
        <v>15</v>
      </c>
      <c r="C83" s="5">
        <v>351800</v>
      </c>
      <c r="D83" s="5">
        <v>168718</v>
      </c>
      <c r="E83" s="5">
        <v>79</v>
      </c>
      <c r="F83" s="5">
        <v>2</v>
      </c>
      <c r="G83" s="6">
        <f>83/38</f>
        <v>2.1842105263157894</v>
      </c>
      <c r="H83" s="6">
        <f>38/38</f>
        <v>1</v>
      </c>
      <c r="I83" s="6">
        <v>45365</v>
      </c>
      <c r="J83" s="6"/>
      <c r="K83" s="6">
        <v>60175</v>
      </c>
    </row>
    <row r="84" spans="1:11" x14ac:dyDescent="0.2">
      <c r="A84" s="5" t="s">
        <v>8</v>
      </c>
      <c r="B84" s="4" t="s">
        <v>15</v>
      </c>
      <c r="C84" s="5">
        <v>334366</v>
      </c>
      <c r="D84" s="5">
        <v>165767</v>
      </c>
      <c r="E84" s="5">
        <v>75</v>
      </c>
      <c r="F84" s="5">
        <v>3</v>
      </c>
      <c r="G84" s="6">
        <f>71/38</f>
        <v>1.868421052631579</v>
      </c>
      <c r="H84" s="6">
        <f>36/38</f>
        <v>0.94736842105263153</v>
      </c>
      <c r="I84" s="6">
        <v>59992</v>
      </c>
      <c r="J84" s="6"/>
      <c r="K84" s="6">
        <f>(118.98-27.8)*1000*0.83</f>
        <v>75679.399999999994</v>
      </c>
    </row>
    <row r="85" spans="1:11" x14ac:dyDescent="0.2">
      <c r="A85" s="5" t="s">
        <v>44</v>
      </c>
      <c r="B85" s="4" t="s">
        <v>15</v>
      </c>
      <c r="C85" s="5">
        <v>182623</v>
      </c>
      <c r="D85" s="5">
        <v>142299</v>
      </c>
      <c r="E85" s="5">
        <v>70</v>
      </c>
      <c r="F85" s="5">
        <v>4</v>
      </c>
      <c r="G85" s="6">
        <f>62/38</f>
        <v>1.631578947368421</v>
      </c>
      <c r="H85" s="6">
        <f>37/38</f>
        <v>0.97368421052631582</v>
      </c>
      <c r="I85" s="6">
        <v>75335</v>
      </c>
      <c r="J85" s="6"/>
      <c r="K85" s="6">
        <f>(195.35-46.7)*1000*0.83</f>
        <v>123379.49999999997</v>
      </c>
    </row>
    <row r="86" spans="1:11" x14ac:dyDescent="0.2">
      <c r="A86" s="5" t="s">
        <v>56</v>
      </c>
      <c r="B86" s="4" t="s">
        <v>15</v>
      </c>
      <c r="C86" s="5">
        <v>196377</v>
      </c>
      <c r="D86" s="5">
        <v>89752</v>
      </c>
      <c r="E86" s="5">
        <v>64</v>
      </c>
      <c r="F86" s="5">
        <v>5</v>
      </c>
      <c r="G86" s="6">
        <f>58/38</f>
        <v>1.5263157894736843</v>
      </c>
      <c r="H86" s="6">
        <f>53/38</f>
        <v>1.3947368421052631</v>
      </c>
      <c r="I86" s="6">
        <v>35728</v>
      </c>
      <c r="J86" s="6"/>
      <c r="K86" s="6">
        <f>(48.48-44.15)*1000*0.83</f>
        <v>3593.8999999999983</v>
      </c>
    </row>
    <row r="87" spans="1:11" x14ac:dyDescent="0.2">
      <c r="A87" s="5" t="s">
        <v>42</v>
      </c>
      <c r="B87" s="4" t="s">
        <v>15</v>
      </c>
      <c r="C87" s="5">
        <v>297947</v>
      </c>
      <c r="D87" s="5">
        <v>145654</v>
      </c>
      <c r="E87" s="5">
        <v>62</v>
      </c>
      <c r="F87" s="5">
        <v>6</v>
      </c>
      <c r="G87" s="6">
        <f>52/38</f>
        <v>1.368421052631579</v>
      </c>
      <c r="H87" s="6">
        <f>48/38</f>
        <v>1.263157894736842</v>
      </c>
      <c r="I87" s="6">
        <v>44659</v>
      </c>
      <c r="J87" s="6"/>
      <c r="K87" s="6">
        <f>(151.43-99.27)*1000*0.83</f>
        <v>43292.800000000003</v>
      </c>
    </row>
    <row r="88" spans="1:11" x14ac:dyDescent="0.2">
      <c r="A88" s="5" t="s">
        <v>52</v>
      </c>
      <c r="B88" s="4" t="s">
        <v>15</v>
      </c>
      <c r="C88" s="5">
        <v>110619</v>
      </c>
      <c r="D88" s="5">
        <v>68866</v>
      </c>
      <c r="E88" s="5">
        <v>60</v>
      </c>
      <c r="F88" s="5">
        <v>7</v>
      </c>
      <c r="G88" s="6">
        <f>54/38</f>
        <v>1.4210526315789473</v>
      </c>
      <c r="H88" s="6">
        <f>33/38</f>
        <v>0.86842105263157898</v>
      </c>
      <c r="I88" s="6">
        <v>30652</v>
      </c>
      <c r="J88" s="6"/>
      <c r="K88" s="6">
        <v>-23099</v>
      </c>
    </row>
    <row r="89" spans="1:11" x14ac:dyDescent="0.2">
      <c r="A89" s="5" t="s">
        <v>55</v>
      </c>
      <c r="B89" s="4" t="s">
        <v>15</v>
      </c>
      <c r="C89" s="5">
        <v>103928</v>
      </c>
      <c r="D89" s="5">
        <v>72913</v>
      </c>
      <c r="E89" s="5">
        <v>56</v>
      </c>
      <c r="F89" s="5">
        <v>8</v>
      </c>
      <c r="G89" s="6">
        <f>46/38</f>
        <v>1.2105263157894737</v>
      </c>
      <c r="H89" s="6">
        <f>49/38</f>
        <v>1.2894736842105263</v>
      </c>
      <c r="I89" s="6">
        <v>20555</v>
      </c>
      <c r="J89" s="6"/>
      <c r="K89" s="6">
        <f>(41.53-61.9)*1000*0.83</f>
        <v>-16907.099999999995</v>
      </c>
    </row>
    <row r="90" spans="1:11" x14ac:dyDescent="0.2">
      <c r="A90" s="5" t="s">
        <v>53</v>
      </c>
      <c r="B90" s="4" t="s">
        <v>15</v>
      </c>
      <c r="C90" s="5">
        <v>99573</v>
      </c>
      <c r="D90" s="5">
        <v>58670</v>
      </c>
      <c r="E90" s="5">
        <v>54</v>
      </c>
      <c r="F90" s="5">
        <v>9</v>
      </c>
      <c r="G90" s="6">
        <f>48/38</f>
        <v>1.263157894736842</v>
      </c>
      <c r="H90" s="6">
        <f>45/38</f>
        <v>1.1842105263157894</v>
      </c>
      <c r="I90" s="6">
        <v>27081</v>
      </c>
      <c r="J90" s="6"/>
      <c r="K90" s="6">
        <f>(1.8-3.8)*1000*0.83</f>
        <v>-1659.9999999999998</v>
      </c>
    </row>
    <row r="91" spans="1:11" x14ac:dyDescent="0.2">
      <c r="A91" s="5" t="s">
        <v>35</v>
      </c>
      <c r="B91" s="4" t="s">
        <v>15</v>
      </c>
      <c r="C91" s="5">
        <v>102396</v>
      </c>
      <c r="D91" s="5">
        <v>60154</v>
      </c>
      <c r="E91" s="5">
        <v>48</v>
      </c>
      <c r="F91" s="5">
        <v>10</v>
      </c>
      <c r="G91" s="6">
        <f>47/38</f>
        <v>1.236842105263158</v>
      </c>
      <c r="H91" s="6">
        <f>51/38</f>
        <v>1.3421052631578947</v>
      </c>
      <c r="I91" s="6">
        <v>24412</v>
      </c>
      <c r="J91" s="6"/>
      <c r="K91" s="6">
        <f>(31.22-2.87)*1000*0.83</f>
        <v>23530.499999999996</v>
      </c>
    </row>
    <row r="92" spans="1:11" x14ac:dyDescent="0.2">
      <c r="A92" s="5" t="s">
        <v>36</v>
      </c>
      <c r="B92" s="4" t="s">
        <v>15</v>
      </c>
      <c r="C92" s="5">
        <v>125572</v>
      </c>
      <c r="D92" s="5">
        <v>68165</v>
      </c>
      <c r="E92" s="5">
        <v>47</v>
      </c>
      <c r="F92" s="5">
        <v>11</v>
      </c>
      <c r="G92" s="6">
        <f>48/38</f>
        <v>1.263157894736842</v>
      </c>
      <c r="H92" s="6">
        <f>50/38</f>
        <v>1.3157894736842106</v>
      </c>
      <c r="I92" s="6">
        <v>38406</v>
      </c>
      <c r="J92" s="6"/>
      <c r="K92" s="6">
        <v>31756</v>
      </c>
    </row>
    <row r="93" spans="1:11" x14ac:dyDescent="0.2">
      <c r="A93" s="5" t="s">
        <v>59</v>
      </c>
      <c r="B93" s="4" t="s">
        <v>15</v>
      </c>
      <c r="C93" s="5">
        <v>120747</v>
      </c>
      <c r="D93" s="5">
        <v>64334</v>
      </c>
      <c r="E93" s="5">
        <v>47</v>
      </c>
      <c r="F93" s="5">
        <v>12</v>
      </c>
      <c r="G93" s="6">
        <f>44/38</f>
        <v>1.1578947368421053</v>
      </c>
      <c r="H93" s="6">
        <f>47/38</f>
        <v>1.236842105263158</v>
      </c>
      <c r="I93" s="6">
        <v>34871</v>
      </c>
      <c r="J93" s="6"/>
      <c r="K93" s="6">
        <v>25523</v>
      </c>
    </row>
    <row r="94" spans="1:11" x14ac:dyDescent="0.2">
      <c r="A94" s="5" t="s">
        <v>58</v>
      </c>
      <c r="B94" s="4" t="s">
        <v>15</v>
      </c>
      <c r="C94" s="5">
        <v>96269</v>
      </c>
      <c r="D94" s="5">
        <v>62008</v>
      </c>
      <c r="E94" s="5">
        <v>44</v>
      </c>
      <c r="F94" s="5">
        <v>13</v>
      </c>
      <c r="G94" s="6">
        <f>38/38</f>
        <v>1</v>
      </c>
      <c r="H94" s="6">
        <f>51/38</f>
        <v>1.3421052631578947</v>
      </c>
      <c r="I94" s="6">
        <v>25064</v>
      </c>
      <c r="J94" s="6"/>
      <c r="K94" s="6">
        <v>18741</v>
      </c>
    </row>
    <row r="95" spans="1:11" x14ac:dyDescent="0.2">
      <c r="A95" s="5" t="s">
        <v>41</v>
      </c>
      <c r="B95" s="4" t="s">
        <v>15</v>
      </c>
      <c r="C95" s="5">
        <v>104437</v>
      </c>
      <c r="D95" s="5">
        <v>49082</v>
      </c>
      <c r="E95" s="5">
        <v>41</v>
      </c>
      <c r="F95" s="5">
        <v>14</v>
      </c>
      <c r="G95" s="6">
        <f>46/38</f>
        <v>1.2105263157894737</v>
      </c>
      <c r="H95" s="6">
        <f>55/38</f>
        <v>1.4473684210526316</v>
      </c>
      <c r="I95" s="6">
        <v>31693</v>
      </c>
      <c r="J95" s="6"/>
      <c r="K95" s="6">
        <f>22.86*1000*0.83</f>
        <v>18973.8</v>
      </c>
    </row>
    <row r="96" spans="1:11" x14ac:dyDescent="0.2">
      <c r="A96" s="5" t="s">
        <v>46</v>
      </c>
      <c r="B96" s="4" t="s">
        <v>15</v>
      </c>
      <c r="C96" s="5">
        <v>128830</v>
      </c>
      <c r="D96" s="5">
        <v>56909</v>
      </c>
      <c r="E96" s="5">
        <v>39</v>
      </c>
      <c r="F96" s="5">
        <v>15</v>
      </c>
      <c r="G96" s="6">
        <f>40/38</f>
        <v>1.0526315789473684</v>
      </c>
      <c r="H96" s="6">
        <f>63/38</f>
        <v>1.6578947368421053</v>
      </c>
      <c r="I96" s="6">
        <v>50359</v>
      </c>
      <c r="J96" s="6"/>
      <c r="K96" s="6">
        <f>(45.02-23.87)*1000*0.83</f>
        <v>17554.500000000004</v>
      </c>
    </row>
    <row r="97" spans="1:11" x14ac:dyDescent="0.2">
      <c r="A97" s="5" t="s">
        <v>54</v>
      </c>
      <c r="B97" s="4" t="s">
        <v>15</v>
      </c>
      <c r="C97" s="5">
        <v>97007</v>
      </c>
      <c r="D97" s="5">
        <v>66227</v>
      </c>
      <c r="E97" s="5">
        <v>38</v>
      </c>
      <c r="F97" s="5">
        <v>16</v>
      </c>
      <c r="G97" s="6">
        <f>31/38</f>
        <v>0.81578947368421051</v>
      </c>
      <c r="H97" s="6">
        <f>53/38</f>
        <v>1.3947368421052631</v>
      </c>
      <c r="I97" s="6">
        <v>43171</v>
      </c>
      <c r="J97" s="6"/>
      <c r="K97" s="6">
        <v>12674</v>
      </c>
    </row>
    <row r="98" spans="1:11" x14ac:dyDescent="0.2">
      <c r="A98" s="5" t="s">
        <v>24</v>
      </c>
      <c r="B98" s="4" t="s">
        <v>15</v>
      </c>
      <c r="C98" s="5">
        <v>115692</v>
      </c>
      <c r="D98" s="5">
        <v>74321</v>
      </c>
      <c r="E98" s="5">
        <v>38</v>
      </c>
      <c r="F98" s="5">
        <v>17</v>
      </c>
      <c r="G98" s="6">
        <f>31/38</f>
        <v>0.81578947368421051</v>
      </c>
      <c r="H98" s="6">
        <f>57/38</f>
        <v>1.5</v>
      </c>
      <c r="I98" s="6">
        <v>34133</v>
      </c>
      <c r="J98" s="6"/>
      <c r="K98" s="6">
        <v>10068</v>
      </c>
    </row>
    <row r="99" spans="1:11" x14ac:dyDescent="0.2">
      <c r="A99" s="5" t="s">
        <v>39</v>
      </c>
      <c r="B99" s="4" t="s">
        <v>15</v>
      </c>
      <c r="C99" s="5">
        <v>84090</v>
      </c>
      <c r="D99" s="5">
        <v>50121</v>
      </c>
      <c r="E99" s="5">
        <v>35</v>
      </c>
      <c r="F99" s="5">
        <v>18</v>
      </c>
      <c r="G99" s="6">
        <f>33/38</f>
        <v>0.86842105263157898</v>
      </c>
      <c r="H99" s="6">
        <f>51/38</f>
        <v>1.3421052631578947</v>
      </c>
      <c r="I99" s="6">
        <v>23557</v>
      </c>
      <c r="J99" s="6"/>
      <c r="K99" s="6">
        <v>24502</v>
      </c>
    </row>
    <row r="100" spans="1:11" x14ac:dyDescent="0.2">
      <c r="A100" s="5" t="s">
        <v>32</v>
      </c>
      <c r="B100" s="4" t="s">
        <v>15</v>
      </c>
      <c r="C100" s="5">
        <v>78770</v>
      </c>
      <c r="D100" s="5">
        <v>25345</v>
      </c>
      <c r="E100" s="5">
        <v>33</v>
      </c>
      <c r="F100" s="5">
        <v>19</v>
      </c>
      <c r="G100" s="6">
        <f>28/38</f>
        <v>0.73684210526315785</v>
      </c>
      <c r="H100" s="6">
        <f>53/38</f>
        <v>1.3947368421052631</v>
      </c>
      <c r="I100" s="6">
        <v>19131</v>
      </c>
      <c r="J100" s="6"/>
      <c r="K100" s="6">
        <f>(12.62)*1000*0.83</f>
        <v>10474.6</v>
      </c>
    </row>
    <row r="101" spans="1:11" x14ac:dyDescent="0.2">
      <c r="A101" s="5" t="s">
        <v>49</v>
      </c>
      <c r="B101" s="4" t="s">
        <v>15</v>
      </c>
      <c r="C101" s="5">
        <v>112072</v>
      </c>
      <c r="D101" s="5">
        <v>60807</v>
      </c>
      <c r="E101" s="5">
        <v>30</v>
      </c>
      <c r="F101" s="5">
        <v>20</v>
      </c>
      <c r="G101" s="6">
        <f>42/38</f>
        <v>1.1052631578947369</v>
      </c>
      <c r="H101" s="6">
        <f>73/38</f>
        <v>1.9210526315789473</v>
      </c>
      <c r="I101" s="6">
        <v>17809</v>
      </c>
      <c r="J101" s="6"/>
      <c r="K101" s="6">
        <f>(43.54-26.04)*830</f>
        <v>14525</v>
      </c>
    </row>
    <row r="102" spans="1:11" x14ac:dyDescent="0.2">
      <c r="A102" s="5" t="s">
        <v>41</v>
      </c>
      <c r="B102" s="4" t="s">
        <v>16</v>
      </c>
      <c r="C102" s="5">
        <v>128715</v>
      </c>
      <c r="D102" s="5">
        <v>68772</v>
      </c>
      <c r="E102" s="5">
        <v>81</v>
      </c>
      <c r="F102" s="5">
        <v>1</v>
      </c>
      <c r="G102" s="6">
        <f>68/38</f>
        <v>1.7894736842105263</v>
      </c>
      <c r="H102" s="6">
        <f>36/38</f>
        <v>0.94736842105263153</v>
      </c>
      <c r="I102" s="6">
        <v>32021</v>
      </c>
      <c r="J102" s="6"/>
      <c r="K102" s="6">
        <f>(49-9.45)*1000*0.83</f>
        <v>32826.5</v>
      </c>
    </row>
    <row r="103" spans="1:11" x14ac:dyDescent="0.2">
      <c r="A103" s="5" t="s">
        <v>8</v>
      </c>
      <c r="B103" s="4" t="s">
        <v>16</v>
      </c>
      <c r="C103" s="5">
        <v>338204</v>
      </c>
      <c r="D103" s="5">
        <v>168707</v>
      </c>
      <c r="E103" s="5">
        <v>71</v>
      </c>
      <c r="F103" s="5">
        <v>2</v>
      </c>
      <c r="G103" s="6">
        <f>65/38</f>
        <v>1.7105263157894737</v>
      </c>
      <c r="H103" s="6">
        <f>36/38</f>
        <v>0.94736842105263153</v>
      </c>
      <c r="I103" s="6">
        <v>59944</v>
      </c>
      <c r="J103" s="6"/>
      <c r="K103" s="6">
        <f>(26.5-2.5)*1000*0.83</f>
        <v>19920</v>
      </c>
    </row>
    <row r="104" spans="1:11" x14ac:dyDescent="0.2">
      <c r="A104" s="5" t="s">
        <v>56</v>
      </c>
      <c r="B104" s="4" t="s">
        <v>16</v>
      </c>
      <c r="C104" s="5">
        <v>209770</v>
      </c>
      <c r="D104" s="5">
        <v>88529</v>
      </c>
      <c r="E104" s="5">
        <v>70</v>
      </c>
      <c r="F104" s="5">
        <v>3</v>
      </c>
      <c r="G104" s="6">
        <f>69/38</f>
        <v>1.8157894736842106</v>
      </c>
      <c r="H104" s="6">
        <f>35/38</f>
        <v>0.92105263157894735</v>
      </c>
      <c r="I104" s="6">
        <v>35776</v>
      </c>
      <c r="J104" s="6"/>
      <c r="K104" s="6">
        <f>(71-87.25)*1000*0.83</f>
        <v>-13487.5</v>
      </c>
    </row>
    <row r="105" spans="1:11" x14ac:dyDescent="0.2">
      <c r="A105" s="5" t="s">
        <v>43</v>
      </c>
      <c r="B105" s="4" t="s">
        <v>16</v>
      </c>
      <c r="C105" s="5">
        <v>398100</v>
      </c>
      <c r="D105" s="5">
        <v>174360</v>
      </c>
      <c r="E105" s="5">
        <v>66</v>
      </c>
      <c r="F105" s="5">
        <v>4</v>
      </c>
      <c r="G105" s="6">
        <f>71/38</f>
        <v>1.868421052631579</v>
      </c>
      <c r="H105" s="6">
        <f>41/38</f>
        <v>1.0789473684210527</v>
      </c>
      <c r="I105" s="6">
        <v>54041</v>
      </c>
      <c r="J105" s="6"/>
      <c r="K105" s="6">
        <v>117055</v>
      </c>
    </row>
    <row r="106" spans="1:11" x14ac:dyDescent="0.2">
      <c r="A106" s="5" t="s">
        <v>44</v>
      </c>
      <c r="B106" s="4" t="s">
        <v>16</v>
      </c>
      <c r="C106" s="5">
        <v>230271</v>
      </c>
      <c r="D106" s="5">
        <v>164313</v>
      </c>
      <c r="E106" s="5">
        <v>66</v>
      </c>
      <c r="F106" s="5">
        <v>5</v>
      </c>
      <c r="G106" s="6">
        <f>49/38</f>
        <v>1.2894736842105263</v>
      </c>
      <c r="H106" s="6">
        <f>35/38</f>
        <v>0.92105263157894735</v>
      </c>
      <c r="I106" s="6">
        <v>75279</v>
      </c>
      <c r="J106" s="6"/>
      <c r="K106" s="6">
        <f>(156-100.67)*1000*0.83</f>
        <v>45923.899999999994</v>
      </c>
    </row>
    <row r="107" spans="1:11" x14ac:dyDescent="0.2">
      <c r="A107" s="5" t="s">
        <v>52</v>
      </c>
      <c r="B107" s="4" t="s">
        <v>16</v>
      </c>
      <c r="C107" s="5">
        <v>121092</v>
      </c>
      <c r="D107" s="5">
        <v>71839</v>
      </c>
      <c r="E107" s="5">
        <v>63</v>
      </c>
      <c r="F107" s="5">
        <v>6</v>
      </c>
      <c r="G107" s="6">
        <f>59/38</f>
        <v>1.5526315789473684</v>
      </c>
      <c r="H107" s="6">
        <f>41/38</f>
        <v>1.0789473684210527</v>
      </c>
      <c r="I107" s="6">
        <v>30751</v>
      </c>
      <c r="J107" s="6"/>
      <c r="K107" s="6">
        <v>6142</v>
      </c>
    </row>
    <row r="108" spans="1:11" x14ac:dyDescent="0.2">
      <c r="A108" s="5" t="s">
        <v>59</v>
      </c>
      <c r="B108" s="4" t="s">
        <v>16</v>
      </c>
      <c r="C108" s="5">
        <v>142063</v>
      </c>
      <c r="D108" s="5">
        <v>74828</v>
      </c>
      <c r="E108" s="5">
        <v>62</v>
      </c>
      <c r="F108" s="5">
        <v>7</v>
      </c>
      <c r="G108" s="6">
        <f>65/38</f>
        <v>1.7105263157894737</v>
      </c>
      <c r="H108" s="6">
        <f>51/38</f>
        <v>1.3421052631578947</v>
      </c>
      <c r="I108" s="6">
        <v>34910</v>
      </c>
      <c r="J108" s="6"/>
      <c r="K108" s="6">
        <v>28369</v>
      </c>
    </row>
    <row r="109" spans="1:11" x14ac:dyDescent="0.2">
      <c r="A109" s="5" t="s">
        <v>42</v>
      </c>
      <c r="B109" s="4" t="s">
        <v>16</v>
      </c>
      <c r="C109" s="5">
        <v>301765</v>
      </c>
      <c r="D109" s="5">
        <v>184829</v>
      </c>
      <c r="E109" s="5">
        <v>60</v>
      </c>
      <c r="F109" s="5">
        <v>8</v>
      </c>
      <c r="G109" s="6">
        <f>63/38</f>
        <v>1.6578947368421053</v>
      </c>
      <c r="H109" s="6">
        <f>50/38</f>
        <v>1.3157894736842106</v>
      </c>
      <c r="I109" s="6">
        <v>43910</v>
      </c>
      <c r="J109" s="6"/>
      <c r="K109" s="6">
        <f>(126.5-90.55)*1000*0.83</f>
        <v>29838.5</v>
      </c>
    </row>
    <row r="110" spans="1:11" x14ac:dyDescent="0.2">
      <c r="A110" s="5" t="s">
        <v>53</v>
      </c>
      <c r="B110" s="4" t="s">
        <v>16</v>
      </c>
      <c r="C110" s="5">
        <v>104169</v>
      </c>
      <c r="D110" s="5">
        <v>72149</v>
      </c>
      <c r="E110" s="5">
        <v>51</v>
      </c>
      <c r="F110" s="5">
        <v>9</v>
      </c>
      <c r="G110" s="6">
        <f>41/38</f>
        <v>1.0789473684210527</v>
      </c>
      <c r="H110" s="6">
        <f>55/38</f>
        <v>1.4473684210526316</v>
      </c>
      <c r="I110" s="6">
        <v>27534</v>
      </c>
      <c r="J110" s="6"/>
      <c r="K110" s="6">
        <f>(53.65-23.2)*1000*0.83</f>
        <v>25273.5</v>
      </c>
    </row>
    <row r="111" spans="1:11" x14ac:dyDescent="0.2">
      <c r="A111" s="5" t="s">
        <v>34</v>
      </c>
      <c r="B111" s="4" t="s">
        <v>16</v>
      </c>
      <c r="C111" s="5">
        <v>329122</v>
      </c>
      <c r="D111" s="5">
        <v>195846</v>
      </c>
      <c r="E111" s="5">
        <v>50</v>
      </c>
      <c r="F111" s="5">
        <v>10</v>
      </c>
      <c r="G111" s="6">
        <f>59/38</f>
        <v>1.5526315789473684</v>
      </c>
      <c r="H111" s="6">
        <f>53/38</f>
        <v>1.3947368421052631</v>
      </c>
      <c r="I111" s="6">
        <v>41500</v>
      </c>
      <c r="J111" s="6"/>
      <c r="K111" s="6">
        <v>7478</v>
      </c>
    </row>
    <row r="112" spans="1:11" x14ac:dyDescent="0.2">
      <c r="A112" s="5" t="s">
        <v>36</v>
      </c>
      <c r="B112" s="4" t="s">
        <v>16</v>
      </c>
      <c r="C112" s="5">
        <v>121541</v>
      </c>
      <c r="D112" s="5">
        <v>73691</v>
      </c>
      <c r="E112" s="5">
        <v>47</v>
      </c>
      <c r="F112" s="5">
        <v>11</v>
      </c>
      <c r="G112" s="6">
        <f>59/38</f>
        <v>1.5526315789473684</v>
      </c>
      <c r="H112" s="6">
        <f>55/38</f>
        <v>1.4473684210526316</v>
      </c>
      <c r="I112" s="6">
        <v>38124</v>
      </c>
      <c r="J112" s="6"/>
      <c r="K112" s="6">
        <v>30876</v>
      </c>
    </row>
    <row r="113" spans="1:11" x14ac:dyDescent="0.2">
      <c r="A113" s="5" t="s">
        <v>55</v>
      </c>
      <c r="B113" s="4" t="s">
        <v>16</v>
      </c>
      <c r="C113" s="5">
        <v>97151</v>
      </c>
      <c r="D113" s="5">
        <v>72100</v>
      </c>
      <c r="E113" s="5">
        <v>47</v>
      </c>
      <c r="F113" s="5">
        <v>12</v>
      </c>
      <c r="G113" s="6">
        <f>42/38</f>
        <v>1.1052631578947369</v>
      </c>
      <c r="H113" s="6">
        <f>52/38</f>
        <v>1.368421052631579</v>
      </c>
      <c r="I113" s="6">
        <v>20711</v>
      </c>
      <c r="J113" s="6"/>
      <c r="K113" s="6">
        <f>(21.81-16.81)*1000*0.83</f>
        <v>4150</v>
      </c>
    </row>
    <row r="114" spans="1:11" x14ac:dyDescent="0.2">
      <c r="A114" s="5" t="s">
        <v>57</v>
      </c>
      <c r="B114" s="4" t="s">
        <v>16</v>
      </c>
      <c r="C114" s="5">
        <v>94449</v>
      </c>
      <c r="D114" s="5">
        <v>50886</v>
      </c>
      <c r="E114" s="5">
        <v>45</v>
      </c>
      <c r="F114" s="5">
        <v>13</v>
      </c>
      <c r="G114" s="6">
        <f>40/38</f>
        <v>1.0526315789473684</v>
      </c>
      <c r="H114" s="6">
        <f>50/38</f>
        <v>1.3157894736842106</v>
      </c>
      <c r="I114" s="6">
        <v>20594</v>
      </c>
      <c r="J114" s="6"/>
      <c r="K114" s="6">
        <f>(82.8-9.75)*830</f>
        <v>60631.5</v>
      </c>
    </row>
    <row r="115" spans="1:11" x14ac:dyDescent="0.2">
      <c r="A115" s="5" t="s">
        <v>58</v>
      </c>
      <c r="B115" s="4" t="s">
        <v>16</v>
      </c>
      <c r="C115" s="5">
        <v>98337</v>
      </c>
      <c r="D115" s="5">
        <v>65579</v>
      </c>
      <c r="E115" s="5">
        <v>43</v>
      </c>
      <c r="F115" s="5">
        <v>14</v>
      </c>
      <c r="G115" s="6">
        <f>34/38</f>
        <v>0.89473684210526316</v>
      </c>
      <c r="H115" s="6">
        <f>48/38</f>
        <v>1.263157894736842</v>
      </c>
      <c r="I115" s="6">
        <v>24631</v>
      </c>
      <c r="J115" s="6"/>
      <c r="K115" s="6">
        <v>24883</v>
      </c>
    </row>
    <row r="116" spans="1:11" x14ac:dyDescent="0.2">
      <c r="A116" s="5" t="s">
        <v>35</v>
      </c>
      <c r="B116" s="4" t="s">
        <v>16</v>
      </c>
      <c r="C116" s="5">
        <v>101816</v>
      </c>
      <c r="D116" s="5">
        <v>71044</v>
      </c>
      <c r="E116" s="5">
        <v>42</v>
      </c>
      <c r="F116" s="5">
        <v>15</v>
      </c>
      <c r="G116" s="6">
        <f>39/38</f>
        <v>1.0263157894736843</v>
      </c>
      <c r="H116" s="6">
        <f>51/38</f>
        <v>1.3421052631578947</v>
      </c>
      <c r="I116" s="6">
        <v>24825</v>
      </c>
      <c r="J116" s="6"/>
      <c r="K116" s="6">
        <f>(28.8-5.4)*1000*0.83</f>
        <v>19422</v>
      </c>
    </row>
    <row r="117" spans="1:11" x14ac:dyDescent="0.2">
      <c r="A117" s="5" t="s">
        <v>29</v>
      </c>
      <c r="B117" s="4" t="s">
        <v>16</v>
      </c>
      <c r="C117" s="5">
        <v>87875</v>
      </c>
      <c r="D117" s="5">
        <v>51829</v>
      </c>
      <c r="E117" s="5">
        <v>42</v>
      </c>
      <c r="F117" s="5">
        <v>16</v>
      </c>
      <c r="G117" s="6">
        <f>45/38</f>
        <v>1.1842105263157894</v>
      </c>
      <c r="H117" s="6">
        <f>67/38</f>
        <v>1.763157894736842</v>
      </c>
      <c r="I117" s="6">
        <v>11189</v>
      </c>
      <c r="J117" s="6"/>
      <c r="K117" s="6">
        <v>45202</v>
      </c>
    </row>
    <row r="118" spans="1:11" x14ac:dyDescent="0.2">
      <c r="A118" s="5" t="s">
        <v>54</v>
      </c>
      <c r="B118" s="4" t="s">
        <v>16</v>
      </c>
      <c r="C118" s="5">
        <v>104072</v>
      </c>
      <c r="D118" s="5">
        <v>72415</v>
      </c>
      <c r="E118" s="5">
        <v>39</v>
      </c>
      <c r="F118" s="5">
        <v>17</v>
      </c>
      <c r="G118" s="6">
        <f>48/38</f>
        <v>1.263157894736842</v>
      </c>
      <c r="H118" s="6">
        <f>62/38</f>
        <v>1.631578947368421</v>
      </c>
      <c r="I118" s="6">
        <v>43071</v>
      </c>
      <c r="J118" s="6"/>
      <c r="K118" s="6">
        <v>45692</v>
      </c>
    </row>
    <row r="119" spans="1:11" x14ac:dyDescent="0.2">
      <c r="A119" s="5" t="s">
        <v>46</v>
      </c>
      <c r="B119" s="4" t="s">
        <v>16</v>
      </c>
      <c r="C119" s="5">
        <v>125755</v>
      </c>
      <c r="D119" s="5">
        <v>66335</v>
      </c>
      <c r="E119" s="5">
        <v>37</v>
      </c>
      <c r="F119" s="5">
        <v>18</v>
      </c>
      <c r="G119" s="6">
        <f>44/38</f>
        <v>1.1578947368421053</v>
      </c>
      <c r="H119" s="6">
        <f>65/38</f>
        <v>1.7105263157894737</v>
      </c>
      <c r="I119" s="6">
        <v>49754</v>
      </c>
      <c r="J119" s="6"/>
      <c r="K119" s="6">
        <f>(107.91-5.43)*1000*0.83</f>
        <v>85058.39999999998</v>
      </c>
    </row>
    <row r="120" spans="1:11" x14ac:dyDescent="0.2">
      <c r="A120" s="5" t="s">
        <v>47</v>
      </c>
      <c r="B120" s="4" t="s">
        <v>16</v>
      </c>
      <c r="C120" s="5">
        <v>97816</v>
      </c>
      <c r="D120" s="5">
        <v>53416</v>
      </c>
      <c r="E120" s="5">
        <v>34</v>
      </c>
      <c r="F120" s="5">
        <v>19</v>
      </c>
      <c r="G120" s="6">
        <f>39/38</f>
        <v>1.0263157894736843</v>
      </c>
      <c r="H120" s="6">
        <f>67/38</f>
        <v>1.763157894736842</v>
      </c>
      <c r="I120" s="6">
        <v>26972</v>
      </c>
      <c r="J120" s="6"/>
      <c r="K120" s="6">
        <f>(50.5-21.5)*830</f>
        <v>24070</v>
      </c>
    </row>
    <row r="121" spans="1:11" x14ac:dyDescent="0.2">
      <c r="A121" s="5" t="s">
        <v>24</v>
      </c>
      <c r="B121" s="4" t="s">
        <v>16</v>
      </c>
      <c r="C121" s="5">
        <v>108816</v>
      </c>
      <c r="D121" s="5">
        <v>81604</v>
      </c>
      <c r="E121" s="5">
        <v>17</v>
      </c>
      <c r="F121" s="5">
        <v>20</v>
      </c>
      <c r="G121" s="6">
        <f>27/38</f>
        <v>0.71052631578947367</v>
      </c>
      <c r="H121" s="6">
        <f>76/38</f>
        <v>2</v>
      </c>
      <c r="I121" s="6">
        <v>33690</v>
      </c>
      <c r="J121" s="6"/>
      <c r="K121" s="6">
        <v>1536</v>
      </c>
    </row>
    <row r="122" spans="1:11" x14ac:dyDescent="0.2">
      <c r="A122" s="5" t="s">
        <v>34</v>
      </c>
      <c r="B122" s="4" t="s">
        <v>17</v>
      </c>
      <c r="C122" s="5">
        <v>361308</v>
      </c>
      <c r="D122" s="5">
        <v>195290</v>
      </c>
      <c r="E122" s="5">
        <v>93</v>
      </c>
      <c r="F122" s="5">
        <v>1</v>
      </c>
      <c r="G122" s="6">
        <f>85/38</f>
        <v>2.236842105263158</v>
      </c>
      <c r="H122" s="6">
        <f>33/38</f>
        <v>0.86842105263157898</v>
      </c>
      <c r="I122" s="6">
        <v>41508</v>
      </c>
      <c r="J122" s="6"/>
      <c r="K122" s="6">
        <v>19837</v>
      </c>
    </row>
    <row r="123" spans="1:11" x14ac:dyDescent="0.2">
      <c r="A123" s="5" t="s">
        <v>56</v>
      </c>
      <c r="B123" s="4" t="s">
        <v>17</v>
      </c>
      <c r="C123" s="5">
        <v>309674</v>
      </c>
      <c r="D123" s="5">
        <v>111817</v>
      </c>
      <c r="E123" s="5">
        <v>86</v>
      </c>
      <c r="F123" s="5">
        <v>2</v>
      </c>
      <c r="G123" s="6">
        <f>86/38</f>
        <v>2.263157894736842</v>
      </c>
      <c r="H123" s="6">
        <f>26/38</f>
        <v>0.68421052631578949</v>
      </c>
      <c r="I123" s="6">
        <v>31639</v>
      </c>
      <c r="J123" s="6"/>
      <c r="K123" s="6">
        <f>(83.5-52.3)*1000*0.83</f>
        <v>25896</v>
      </c>
    </row>
    <row r="124" spans="1:11" x14ac:dyDescent="0.2">
      <c r="A124" s="5" t="s">
        <v>43</v>
      </c>
      <c r="B124" s="4" t="s">
        <v>17</v>
      </c>
      <c r="C124" s="5">
        <v>473400</v>
      </c>
      <c r="D124" s="5">
        <v>232840</v>
      </c>
      <c r="E124" s="5">
        <v>78</v>
      </c>
      <c r="F124" s="5">
        <v>3</v>
      </c>
      <c r="G124" s="6">
        <f>80/38</f>
        <v>2.1052631578947367</v>
      </c>
      <c r="H124" s="6">
        <f>39/38</f>
        <v>1.0263157894736843</v>
      </c>
      <c r="I124" s="6">
        <v>54019</v>
      </c>
      <c r="J124" s="6"/>
      <c r="K124" s="6">
        <v>150147</v>
      </c>
    </row>
    <row r="125" spans="1:11" x14ac:dyDescent="0.2">
      <c r="A125" s="5" t="s">
        <v>42</v>
      </c>
      <c r="B125" s="4" t="s">
        <v>17</v>
      </c>
      <c r="C125" s="5">
        <v>364246</v>
      </c>
      <c r="D125" s="5">
        <v>184300</v>
      </c>
      <c r="E125" s="5">
        <v>76</v>
      </c>
      <c r="F125" s="5">
        <v>4</v>
      </c>
      <c r="G125" s="6">
        <f>78/38</f>
        <v>2.0526315789473686</v>
      </c>
      <c r="H125" s="6">
        <f>42/38</f>
        <v>1.1052631578947369</v>
      </c>
      <c r="I125" s="6">
        <v>53016</v>
      </c>
      <c r="J125" s="6"/>
      <c r="K125" s="6">
        <f>(79.9-88.98)*1000*0.83</f>
        <v>-7536.3999999999978</v>
      </c>
    </row>
    <row r="126" spans="1:11" x14ac:dyDescent="0.2">
      <c r="A126" s="5" t="s">
        <v>8</v>
      </c>
      <c r="B126" s="4" t="s">
        <v>17</v>
      </c>
      <c r="C126" s="5">
        <v>401135</v>
      </c>
      <c r="D126" s="5">
        <v>171988</v>
      </c>
      <c r="E126" s="5">
        <v>75</v>
      </c>
      <c r="F126" s="5">
        <v>5</v>
      </c>
      <c r="G126" s="6">
        <f>77/38</f>
        <v>2.0263157894736841</v>
      </c>
      <c r="H126" s="6">
        <f>44/38</f>
        <v>1.1578947368421053</v>
      </c>
      <c r="I126" s="6">
        <v>59957</v>
      </c>
      <c r="J126" s="6"/>
      <c r="K126" s="6">
        <f>(113-10.35)*0.83*1000</f>
        <v>85199.5</v>
      </c>
    </row>
    <row r="127" spans="1:11" x14ac:dyDescent="0.2">
      <c r="A127" s="5" t="s">
        <v>44</v>
      </c>
      <c r="B127" s="4" t="s">
        <v>17</v>
      </c>
      <c r="C127" s="5">
        <v>289038</v>
      </c>
      <c r="D127" s="5">
        <v>187861</v>
      </c>
      <c r="E127" s="5">
        <v>69</v>
      </c>
      <c r="F127" s="5">
        <v>6</v>
      </c>
      <c r="G127" s="6">
        <f>54/38</f>
        <v>1.4210526315789473</v>
      </c>
      <c r="H127" s="6">
        <f>29/38</f>
        <v>0.76315789473684215</v>
      </c>
      <c r="I127" s="6">
        <v>75290</v>
      </c>
      <c r="J127" s="6"/>
      <c r="K127" s="6">
        <f>(185-47.25)*1000*0.83</f>
        <v>114332.5</v>
      </c>
    </row>
    <row r="128" spans="1:11" x14ac:dyDescent="0.2">
      <c r="A128" s="5" t="s">
        <v>36</v>
      </c>
      <c r="B128" s="4" t="s">
        <v>17</v>
      </c>
      <c r="C128" s="5">
        <v>171330</v>
      </c>
      <c r="D128" s="5">
        <v>91916</v>
      </c>
      <c r="E128" s="5">
        <v>61</v>
      </c>
      <c r="F128" s="5">
        <v>7</v>
      </c>
      <c r="G128" s="6">
        <f>62/38</f>
        <v>1.631578947368421</v>
      </c>
      <c r="H128" s="6">
        <f>44/38</f>
        <v>1.1578947368421053</v>
      </c>
      <c r="I128" s="6">
        <v>39080</v>
      </c>
      <c r="J128" s="6"/>
      <c r="K128" s="6">
        <v>20916</v>
      </c>
    </row>
    <row r="129" spans="1:11" x14ac:dyDescent="0.2">
      <c r="A129" s="5" t="s">
        <v>52</v>
      </c>
      <c r="B129" s="4" t="s">
        <v>17</v>
      </c>
      <c r="C129" s="5">
        <v>178334</v>
      </c>
      <c r="D129" s="5">
        <v>95389</v>
      </c>
      <c r="E129" s="5">
        <v>46</v>
      </c>
      <c r="F129" s="5">
        <v>8</v>
      </c>
      <c r="G129" s="6">
        <f>41/38</f>
        <v>1.0789473684210527</v>
      </c>
      <c r="H129" s="6">
        <f>48/38</f>
        <v>1.263157894736842</v>
      </c>
      <c r="I129" s="6">
        <v>30936</v>
      </c>
      <c r="J129" s="6"/>
      <c r="K129" s="6">
        <v>-13405</v>
      </c>
    </row>
    <row r="130" spans="1:11" x14ac:dyDescent="0.2">
      <c r="A130" s="5" t="s">
        <v>29</v>
      </c>
      <c r="B130" s="4" t="s">
        <v>17</v>
      </c>
      <c r="C130" s="5">
        <v>136456</v>
      </c>
      <c r="D130" s="5">
        <v>62512</v>
      </c>
      <c r="E130" s="5">
        <v>46</v>
      </c>
      <c r="F130" s="5">
        <v>9</v>
      </c>
      <c r="G130" s="6">
        <f>55/38</f>
        <v>1.4473684210526316</v>
      </c>
      <c r="H130" s="6">
        <f>67/38</f>
        <v>1.763157894736842</v>
      </c>
      <c r="I130" s="6">
        <v>11182</v>
      </c>
      <c r="J130" s="6"/>
      <c r="K130" s="6">
        <v>14110</v>
      </c>
    </row>
    <row r="131" spans="1:11" x14ac:dyDescent="0.2">
      <c r="A131" s="5" t="s">
        <v>58</v>
      </c>
      <c r="B131" s="4" t="s">
        <v>17</v>
      </c>
      <c r="C131" s="5">
        <v>137949</v>
      </c>
      <c r="D131" s="5">
        <v>69779</v>
      </c>
      <c r="E131" s="5">
        <v>45</v>
      </c>
      <c r="F131" s="5">
        <v>10</v>
      </c>
      <c r="G131" s="6">
        <f>43/38</f>
        <v>1.131578947368421</v>
      </c>
      <c r="H131" s="6">
        <f>51/38</f>
        <v>1.3421052631578947</v>
      </c>
      <c r="I131" s="6">
        <v>23876</v>
      </c>
      <c r="J131" s="6"/>
      <c r="K131" s="6">
        <v>9064</v>
      </c>
    </row>
    <row r="132" spans="1:11" x14ac:dyDescent="0.2">
      <c r="A132" s="5" t="s">
        <v>59</v>
      </c>
      <c r="B132" s="4" t="s">
        <v>17</v>
      </c>
      <c r="C132" s="5">
        <v>183340</v>
      </c>
      <c r="D132" s="5">
        <v>83468</v>
      </c>
      <c r="E132" s="5">
        <v>45</v>
      </c>
      <c r="F132" s="5">
        <v>11</v>
      </c>
      <c r="G132" s="6">
        <f>47/38</f>
        <v>1.236842105263158</v>
      </c>
      <c r="H132" s="6">
        <f>64/38</f>
        <v>1.6842105263157894</v>
      </c>
      <c r="I132" s="6">
        <v>56972</v>
      </c>
      <c r="J132" s="6"/>
      <c r="K132" s="6">
        <v>35275</v>
      </c>
    </row>
    <row r="133" spans="1:11" x14ac:dyDescent="0.2">
      <c r="A133" s="5" t="s">
        <v>41</v>
      </c>
      <c r="B133" s="4" t="s">
        <v>17</v>
      </c>
      <c r="C133" s="5">
        <v>233013</v>
      </c>
      <c r="D133" s="5">
        <v>92267</v>
      </c>
      <c r="E133" s="5">
        <v>44</v>
      </c>
      <c r="F133" s="5">
        <v>12</v>
      </c>
      <c r="G133" s="6">
        <f>48/38</f>
        <v>1.263157894736842</v>
      </c>
      <c r="H133" s="6">
        <f>63/38</f>
        <v>1.6578947368421053</v>
      </c>
      <c r="I133" s="6">
        <v>31893</v>
      </c>
      <c r="J133" s="6"/>
      <c r="K133" s="6">
        <f>(92.1-66.05)*1000*0.83</f>
        <v>21621.499999999996</v>
      </c>
    </row>
    <row r="134" spans="1:11" x14ac:dyDescent="0.2">
      <c r="A134" s="5" t="s">
        <v>53</v>
      </c>
      <c r="B134" s="4" t="s">
        <v>17</v>
      </c>
      <c r="C134" s="5">
        <v>135954</v>
      </c>
      <c r="D134" s="5">
        <v>74241</v>
      </c>
      <c r="E134" s="5">
        <v>44</v>
      </c>
      <c r="F134" s="5">
        <v>13</v>
      </c>
      <c r="G134" s="6">
        <f>41/38</f>
        <v>1.0789473684210527</v>
      </c>
      <c r="H134" s="6">
        <f>56/38</f>
        <v>1.4736842105263157</v>
      </c>
      <c r="I134" s="6">
        <v>27433</v>
      </c>
      <c r="J134" s="6"/>
      <c r="K134" s="6">
        <f>(42.17-3.8)*1000*0.83</f>
        <v>31847.100000000006</v>
      </c>
    </row>
    <row r="135" spans="1:11" x14ac:dyDescent="0.2">
      <c r="A135" s="5" t="s">
        <v>35</v>
      </c>
      <c r="B135" s="4" t="s">
        <v>17</v>
      </c>
      <c r="C135" s="5">
        <v>142735</v>
      </c>
      <c r="D135" s="5">
        <v>98724</v>
      </c>
      <c r="E135" s="5">
        <v>41</v>
      </c>
      <c r="F135" s="5">
        <v>14</v>
      </c>
      <c r="G135" s="6">
        <f>50/38</f>
        <v>1.3157894736842106</v>
      </c>
      <c r="H135" s="6">
        <f>63/38</f>
        <v>1.6578947368421053</v>
      </c>
      <c r="I135" s="6">
        <v>25161</v>
      </c>
      <c r="J135" s="6"/>
      <c r="K135" s="6">
        <f>(101.2-50.2)*1000*0.83</f>
        <v>42330</v>
      </c>
    </row>
    <row r="136" spans="1:11" x14ac:dyDescent="0.2">
      <c r="A136" s="5" t="s">
        <v>55</v>
      </c>
      <c r="B136" s="4" t="s">
        <v>17</v>
      </c>
      <c r="C136" s="5">
        <v>127761</v>
      </c>
      <c r="D136" s="5">
        <v>87480</v>
      </c>
      <c r="E136" s="5">
        <v>41</v>
      </c>
      <c r="F136" s="5">
        <v>15</v>
      </c>
      <c r="G136" s="6">
        <f>45/38</f>
        <v>1.1842105263157894</v>
      </c>
      <c r="H136" s="6">
        <f>70/38</f>
        <v>1.8421052631578947</v>
      </c>
      <c r="I136" s="6">
        <v>20619</v>
      </c>
      <c r="J136" s="6"/>
      <c r="K136" s="6">
        <f>(58.1-49.3)*1000*0.83</f>
        <v>7304.0000000000027</v>
      </c>
    </row>
    <row r="137" spans="1:11" x14ac:dyDescent="0.2">
      <c r="A137" s="5" t="s">
        <v>32</v>
      </c>
      <c r="B137" s="4" t="s">
        <v>17</v>
      </c>
      <c r="C137" s="5">
        <v>121169</v>
      </c>
      <c r="D137" s="5">
        <v>55468</v>
      </c>
      <c r="E137" s="5">
        <v>40</v>
      </c>
      <c r="F137" s="5">
        <v>16</v>
      </c>
      <c r="G137" s="6">
        <f>39/38</f>
        <v>1.0263157894736843</v>
      </c>
      <c r="H137" s="6">
        <f>55/38</f>
        <v>1.4473684210526316</v>
      </c>
      <c r="I137" s="6">
        <v>20558</v>
      </c>
      <c r="J137" s="6"/>
      <c r="K137" s="6">
        <f>(45.6-1.2)*1000*0.83</f>
        <v>36852</v>
      </c>
    </row>
    <row r="138" spans="1:11" x14ac:dyDescent="0.2">
      <c r="A138" s="5" t="s">
        <v>57</v>
      </c>
      <c r="B138" s="4" t="s">
        <v>17</v>
      </c>
      <c r="C138" s="5">
        <v>123907</v>
      </c>
      <c r="D138" s="5">
        <v>65665</v>
      </c>
      <c r="E138" s="5">
        <v>40</v>
      </c>
      <c r="F138" s="5">
        <v>17</v>
      </c>
      <c r="G138" s="6">
        <f>40/38</f>
        <v>1.0526315789473684</v>
      </c>
      <c r="H138" s="6">
        <f>68/38</f>
        <v>1.7894736842105263</v>
      </c>
      <c r="I138" s="6">
        <v>20571</v>
      </c>
      <c r="J138" s="6"/>
      <c r="K138" s="6">
        <f>(70.45-58.1)*830</f>
        <v>10250.500000000002</v>
      </c>
    </row>
    <row r="139" spans="1:11" x14ac:dyDescent="0.2">
      <c r="A139" s="5" t="s">
        <v>39</v>
      </c>
      <c r="B139" s="4" t="s">
        <v>17</v>
      </c>
      <c r="C139" s="5">
        <v>116927</v>
      </c>
      <c r="D139" s="5">
        <v>53950</v>
      </c>
      <c r="E139" s="5">
        <v>34</v>
      </c>
      <c r="F139" s="5">
        <v>18</v>
      </c>
      <c r="G139" s="6">
        <f>37/38</f>
        <v>0.97368421052631582</v>
      </c>
      <c r="H139" s="6">
        <f>80/38</f>
        <v>2.1052631578947367</v>
      </c>
      <c r="I139" s="6">
        <v>20656</v>
      </c>
      <c r="J139" s="6"/>
      <c r="K139" s="6">
        <v>9213</v>
      </c>
    </row>
    <row r="140" spans="1:11" x14ac:dyDescent="0.2">
      <c r="A140" s="5" t="s">
        <v>45</v>
      </c>
      <c r="B140" s="4" t="s">
        <v>17</v>
      </c>
      <c r="C140" s="5">
        <v>121392</v>
      </c>
      <c r="D140" s="5">
        <v>57102</v>
      </c>
      <c r="E140" s="5">
        <v>28</v>
      </c>
      <c r="F140" s="5">
        <v>19</v>
      </c>
      <c r="G140" s="6">
        <f>27/38</f>
        <v>0.71052631578947367</v>
      </c>
      <c r="H140" s="6">
        <f>53/38</f>
        <v>1.3947368421052631</v>
      </c>
      <c r="I140" s="6">
        <v>30449</v>
      </c>
      <c r="J140" s="6"/>
      <c r="K140" s="6">
        <f>(47.95-13.5)*830</f>
        <v>28593.500000000004</v>
      </c>
    </row>
    <row r="141" spans="1:11" x14ac:dyDescent="0.2">
      <c r="A141" s="5" t="s">
        <v>54</v>
      </c>
      <c r="B141" s="4" t="s">
        <v>17</v>
      </c>
      <c r="C141" s="5">
        <v>123504</v>
      </c>
      <c r="D141" s="5">
        <v>73570</v>
      </c>
      <c r="E141" s="5">
        <v>24</v>
      </c>
      <c r="F141" s="5">
        <v>20</v>
      </c>
      <c r="G141" s="6">
        <f>29/38</f>
        <v>0.76315789473684215</v>
      </c>
      <c r="H141" s="6">
        <f>69/38</f>
        <v>1.8157894736842106</v>
      </c>
      <c r="I141" s="6">
        <v>41287</v>
      </c>
      <c r="J141" s="6"/>
      <c r="K141" s="6">
        <v>15048</v>
      </c>
    </row>
    <row r="142" spans="1:11" x14ac:dyDescent="0.2">
      <c r="A142" s="5" t="s">
        <v>43</v>
      </c>
      <c r="B142" s="4" t="s">
        <v>18</v>
      </c>
      <c r="C142" s="5">
        <v>500500</v>
      </c>
      <c r="D142" s="5">
        <v>225942</v>
      </c>
      <c r="E142" s="5">
        <v>100</v>
      </c>
      <c r="F142" s="5">
        <v>1</v>
      </c>
      <c r="G142" s="6">
        <f>106/38</f>
        <v>2.7894736842105261</v>
      </c>
      <c r="H142" s="6">
        <f>27/38</f>
        <v>0.71052631578947367</v>
      </c>
      <c r="I142" s="6">
        <v>53812</v>
      </c>
      <c r="J142" s="6"/>
      <c r="K142" s="6">
        <v>187705</v>
      </c>
    </row>
    <row r="143" spans="1:11" x14ac:dyDescent="0.2">
      <c r="A143" s="5" t="s">
        <v>44</v>
      </c>
      <c r="B143" s="4" t="s">
        <v>18</v>
      </c>
      <c r="C143" s="5">
        <v>571577</v>
      </c>
      <c r="D143" s="5">
        <v>255181</v>
      </c>
      <c r="E143" s="5">
        <v>81</v>
      </c>
      <c r="F143" s="5">
        <v>2</v>
      </c>
      <c r="G143" s="6">
        <f>68/38</f>
        <v>1.7894736842105263</v>
      </c>
      <c r="H143" s="6">
        <f>28/38</f>
        <v>0.73684210526315785</v>
      </c>
      <c r="I143" s="6">
        <v>74976</v>
      </c>
      <c r="J143" s="6"/>
      <c r="K143" s="6">
        <f>(198.4-45.5)*1000*0.83</f>
        <v>126907</v>
      </c>
    </row>
    <row r="144" spans="1:11" x14ac:dyDescent="0.2">
      <c r="A144" s="5" t="s">
        <v>56</v>
      </c>
      <c r="B144" s="4" t="s">
        <v>18</v>
      </c>
      <c r="C144" s="5">
        <v>380697</v>
      </c>
      <c r="D144" s="5">
        <v>130204</v>
      </c>
      <c r="E144" s="5">
        <v>77</v>
      </c>
      <c r="F144" s="5">
        <v>3</v>
      </c>
      <c r="G144" s="6">
        <f>74/38</f>
        <v>1.9473684210526316</v>
      </c>
      <c r="H144" s="6">
        <f>36/38</f>
        <v>0.94736842105263153</v>
      </c>
      <c r="I144" s="6">
        <v>67496</v>
      </c>
      <c r="J144" s="6"/>
      <c r="K144" s="6">
        <f>(121-103.8)*1000*0.83</f>
        <v>14276.000000000002</v>
      </c>
    </row>
    <row r="145" spans="1:11" x14ac:dyDescent="0.2">
      <c r="A145" s="5" t="s">
        <v>42</v>
      </c>
      <c r="B145" s="4" t="s">
        <v>18</v>
      </c>
      <c r="C145" s="5">
        <v>455089</v>
      </c>
      <c r="D145" s="5">
        <v>232672</v>
      </c>
      <c r="E145" s="5">
        <v>75</v>
      </c>
      <c r="F145" s="5">
        <v>4</v>
      </c>
      <c r="G145" s="6">
        <f>84/38</f>
        <v>2.2105263157894739</v>
      </c>
      <c r="H145" s="6">
        <f>38/38</f>
        <v>1</v>
      </c>
      <c r="I145" s="6">
        <v>53049</v>
      </c>
      <c r="J145" s="6"/>
      <c r="K145" s="6">
        <f>(173.65-184.5)*1000*0.83</f>
        <v>-9005.4999999999945</v>
      </c>
    </row>
    <row r="146" spans="1:11" x14ac:dyDescent="0.2">
      <c r="A146" s="5" t="s">
        <v>34</v>
      </c>
      <c r="B146" s="4" t="s">
        <v>18</v>
      </c>
      <c r="C146" s="5">
        <v>443449</v>
      </c>
      <c r="D146" s="5">
        <v>216009</v>
      </c>
      <c r="E146" s="5">
        <v>70</v>
      </c>
      <c r="F146" s="5">
        <v>5</v>
      </c>
      <c r="G146" s="6">
        <f>62/38</f>
        <v>1.631578947368421</v>
      </c>
      <c r="H146" s="6">
        <f>38/38</f>
        <v>1</v>
      </c>
      <c r="I146" s="6">
        <v>41282</v>
      </c>
      <c r="J146" s="6"/>
      <c r="K146" s="6">
        <v>54697</v>
      </c>
    </row>
    <row r="147" spans="1:11" x14ac:dyDescent="0.2">
      <c r="A147" s="5" t="s">
        <v>8</v>
      </c>
      <c r="B147" s="4" t="s">
        <v>18</v>
      </c>
      <c r="C147" s="5">
        <v>386288</v>
      </c>
      <c r="D147" s="5">
        <v>205851</v>
      </c>
      <c r="E147" s="5">
        <v>63</v>
      </c>
      <c r="F147" s="5">
        <v>6</v>
      </c>
      <c r="G147" s="6">
        <f>74/38</f>
        <v>1.9473684210526316</v>
      </c>
      <c r="H147" s="6">
        <f>51/38</f>
        <v>1.3421052631578947</v>
      </c>
      <c r="I147" s="6">
        <v>59323</v>
      </c>
      <c r="J147" s="6"/>
      <c r="K147" s="6">
        <f>(152.85-162.4)*0.83*1000</f>
        <v>-7926.5000000000091</v>
      </c>
    </row>
    <row r="148" spans="1:11" x14ac:dyDescent="0.2">
      <c r="A148" s="5" t="s">
        <v>32</v>
      </c>
      <c r="B148" s="4" t="s">
        <v>18</v>
      </c>
      <c r="C148" s="5">
        <v>138997</v>
      </c>
      <c r="D148" s="5">
        <v>73524</v>
      </c>
      <c r="E148" s="5">
        <v>54</v>
      </c>
      <c r="F148" s="5">
        <v>7</v>
      </c>
      <c r="G148" s="6">
        <f>36/38</f>
        <v>0.94736842105263153</v>
      </c>
      <c r="H148" s="6">
        <f>39/38</f>
        <v>1.0263157894736843</v>
      </c>
      <c r="I148" s="6">
        <v>20688</v>
      </c>
      <c r="J148" s="6"/>
      <c r="K148" s="6">
        <f>(35.74-50)*1000*0.83</f>
        <v>-11835.799999999997</v>
      </c>
    </row>
    <row r="149" spans="1:11" x14ac:dyDescent="0.2">
      <c r="A149" s="5" t="s">
        <v>36</v>
      </c>
      <c r="B149" s="4" t="s">
        <v>18</v>
      </c>
      <c r="C149" s="5">
        <v>189200</v>
      </c>
      <c r="D149" s="5">
        <v>127377</v>
      </c>
      <c r="E149" s="5">
        <v>49</v>
      </c>
      <c r="F149" s="5">
        <v>8</v>
      </c>
      <c r="G149" s="6">
        <f>44/38</f>
        <v>1.1578947368421053</v>
      </c>
      <c r="H149" s="6">
        <f>58/38</f>
        <v>1.5263157894736843</v>
      </c>
      <c r="I149" s="6">
        <v>38797</v>
      </c>
      <c r="J149" s="6"/>
      <c r="K149" s="6">
        <v>63761</v>
      </c>
    </row>
    <row r="150" spans="1:11" x14ac:dyDescent="0.2">
      <c r="A150" s="5" t="s">
        <v>41</v>
      </c>
      <c r="B150" s="4" t="s">
        <v>18</v>
      </c>
      <c r="C150" s="5">
        <v>158881</v>
      </c>
      <c r="D150" s="5">
        <v>97452</v>
      </c>
      <c r="E150" s="5">
        <v>47</v>
      </c>
      <c r="F150" s="5">
        <v>9</v>
      </c>
      <c r="G150" s="6">
        <f>56/38</f>
        <v>1.4736842105263157</v>
      </c>
      <c r="H150" s="6">
        <f>60/38</f>
        <v>1.5789473684210527</v>
      </c>
      <c r="I150" s="6">
        <v>31583</v>
      </c>
      <c r="J150" s="6"/>
      <c r="K150" s="6">
        <f>(83.85-50.1)*1000*0.83</f>
        <v>28012.499999999993</v>
      </c>
    </row>
    <row r="151" spans="1:11" x14ac:dyDescent="0.2">
      <c r="A151" s="5" t="s">
        <v>46</v>
      </c>
      <c r="B151" s="4" t="s">
        <v>18</v>
      </c>
      <c r="C151" s="5">
        <v>178495</v>
      </c>
      <c r="D151" s="5">
        <v>82557</v>
      </c>
      <c r="E151" s="5">
        <v>44</v>
      </c>
      <c r="F151" s="5">
        <v>10</v>
      </c>
      <c r="G151" s="6">
        <f>39/38</f>
        <v>1.0263157894736843</v>
      </c>
      <c r="H151" s="6">
        <f>47/38</f>
        <v>1.236842105263158</v>
      </c>
      <c r="I151" s="6">
        <v>51992</v>
      </c>
      <c r="J151" s="6"/>
      <c r="K151" s="6">
        <f>(46.5-21.22)*1000*0.83</f>
        <v>20982.399999999998</v>
      </c>
    </row>
    <row r="152" spans="1:11" x14ac:dyDescent="0.2">
      <c r="A152" s="5" t="s">
        <v>35</v>
      </c>
      <c r="B152" s="4" t="s">
        <v>18</v>
      </c>
      <c r="C152" s="5">
        <v>150346</v>
      </c>
      <c r="D152" s="5">
        <v>103243</v>
      </c>
      <c r="E152" s="5">
        <v>44</v>
      </c>
      <c r="F152" s="5">
        <v>11</v>
      </c>
      <c r="G152" s="6">
        <f>45/38</f>
        <v>1.1842105263157894</v>
      </c>
      <c r="H152" s="6">
        <f>55/38</f>
        <v>1.4473684210526316</v>
      </c>
      <c r="I152" s="6">
        <v>25065</v>
      </c>
      <c r="J152" s="6"/>
      <c r="K152" s="6">
        <f>(55.95-3)*1000*0.83</f>
        <v>43948.5</v>
      </c>
    </row>
    <row r="153" spans="1:11" x14ac:dyDescent="0.2">
      <c r="A153" s="5" t="s">
        <v>29</v>
      </c>
      <c r="B153" s="4" t="s">
        <v>18</v>
      </c>
      <c r="C153" s="5">
        <v>134861</v>
      </c>
      <c r="D153" s="5">
        <v>88608</v>
      </c>
      <c r="E153" s="5">
        <v>44</v>
      </c>
      <c r="F153" s="5">
        <v>12</v>
      </c>
      <c r="G153" s="6">
        <f>45/38</f>
        <v>1.1842105263157894</v>
      </c>
      <c r="H153" s="6">
        <f>61/38</f>
        <v>1.6052631578947369</v>
      </c>
      <c r="I153" s="6">
        <v>10640</v>
      </c>
      <c r="J153" s="6"/>
      <c r="K153" s="6">
        <v>28469</v>
      </c>
    </row>
    <row r="154" spans="1:11" x14ac:dyDescent="0.2">
      <c r="A154" s="5" t="s">
        <v>59</v>
      </c>
      <c r="B154" s="4" t="s">
        <v>18</v>
      </c>
      <c r="C154" s="5">
        <v>175346</v>
      </c>
      <c r="D154" s="5">
        <v>93768</v>
      </c>
      <c r="E154" s="5">
        <v>42</v>
      </c>
      <c r="F154" s="5">
        <v>13</v>
      </c>
      <c r="G154" s="6">
        <f>48/38</f>
        <v>1.263157894736842</v>
      </c>
      <c r="H154" s="6">
        <f>68/38</f>
        <v>1.7894736842105263</v>
      </c>
      <c r="I154" s="6">
        <v>56885</v>
      </c>
      <c r="J154" s="6"/>
      <c r="K154" s="6">
        <v>-5993</v>
      </c>
    </row>
    <row r="155" spans="1:11" x14ac:dyDescent="0.2">
      <c r="A155" s="5" t="s">
        <v>57</v>
      </c>
      <c r="B155" s="4" t="s">
        <v>18</v>
      </c>
      <c r="C155" s="5">
        <v>128885</v>
      </c>
      <c r="D155" s="5">
        <v>75805</v>
      </c>
      <c r="E155" s="5">
        <v>41</v>
      </c>
      <c r="F155" s="5">
        <v>14</v>
      </c>
      <c r="G155" s="6">
        <f>44/38</f>
        <v>1.1578947368421053</v>
      </c>
      <c r="H155" s="6">
        <f>64/38</f>
        <v>1.6842105263157894</v>
      </c>
      <c r="I155" s="6">
        <v>20231</v>
      </c>
      <c r="J155" s="6"/>
      <c r="K155" s="6">
        <f>(73.4-18.74)*830</f>
        <v>45367.80000000001</v>
      </c>
    </row>
    <row r="156" spans="1:11" x14ac:dyDescent="0.2">
      <c r="A156" s="5" t="s">
        <v>31</v>
      </c>
      <c r="B156" s="4" t="s">
        <v>18</v>
      </c>
      <c r="C156" s="5">
        <v>139155</v>
      </c>
      <c r="D156" s="5">
        <v>67793</v>
      </c>
      <c r="E156" s="5">
        <v>40</v>
      </c>
      <c r="F156" s="5">
        <v>15</v>
      </c>
      <c r="G156" s="6">
        <f>34/38</f>
        <v>0.89473684210526316</v>
      </c>
      <c r="H156" s="6">
        <f>54/38</f>
        <v>1.4210526315789473</v>
      </c>
      <c r="I156" s="6">
        <v>30402</v>
      </c>
      <c r="J156" s="6"/>
      <c r="K156" s="6">
        <v>57768</v>
      </c>
    </row>
    <row r="157" spans="1:11" x14ac:dyDescent="0.2">
      <c r="A157" s="5" t="s">
        <v>38</v>
      </c>
      <c r="B157" s="4" t="s">
        <v>18</v>
      </c>
      <c r="C157" s="5">
        <v>125236</v>
      </c>
      <c r="D157" s="5">
        <v>54608</v>
      </c>
      <c r="E157" s="5">
        <v>37</v>
      </c>
      <c r="F157" s="5">
        <v>16</v>
      </c>
      <c r="G157" s="6">
        <f>28/38</f>
        <v>0.73684210526315785</v>
      </c>
      <c r="H157" s="6">
        <f>58/38</f>
        <v>1.5263157894736843</v>
      </c>
      <c r="I157" s="6">
        <v>24042</v>
      </c>
      <c r="J157" s="6"/>
      <c r="K157" s="6">
        <v>41741</v>
      </c>
    </row>
    <row r="158" spans="1:11" x14ac:dyDescent="0.2">
      <c r="A158" s="5" t="s">
        <v>52</v>
      </c>
      <c r="B158" s="4" t="s">
        <v>18</v>
      </c>
      <c r="C158" s="5">
        <v>148425</v>
      </c>
      <c r="D158" s="5">
        <v>96355</v>
      </c>
      <c r="E158" s="5">
        <v>36</v>
      </c>
      <c r="F158" s="5">
        <v>17</v>
      </c>
      <c r="G158" s="6">
        <f>37/38</f>
        <v>0.97368421052631582</v>
      </c>
      <c r="H158" s="6">
        <f>56/38</f>
        <v>1.4736842105263157</v>
      </c>
      <c r="I158" s="6">
        <v>30794</v>
      </c>
      <c r="J158" s="6"/>
      <c r="K158" s="6">
        <v>-30793</v>
      </c>
    </row>
    <row r="159" spans="1:11" x14ac:dyDescent="0.2">
      <c r="A159" s="5" t="s">
        <v>55</v>
      </c>
      <c r="B159" s="4" t="s">
        <v>18</v>
      </c>
      <c r="C159" s="5">
        <v>126831</v>
      </c>
      <c r="D159" s="5">
        <v>79008</v>
      </c>
      <c r="E159" s="5">
        <v>33</v>
      </c>
      <c r="F159" s="5">
        <v>18</v>
      </c>
      <c r="G159" s="6">
        <f>28/38</f>
        <v>0.73684210526315785</v>
      </c>
      <c r="H159" s="6">
        <f>56/38</f>
        <v>1.4736842105263157</v>
      </c>
      <c r="I159" s="6">
        <v>20622</v>
      </c>
      <c r="J159" s="6"/>
      <c r="K159" s="6">
        <f>(73.39-81.1)*1000*0.83</f>
        <v>-6399.2999999999947</v>
      </c>
    </row>
    <row r="160" spans="1:11" x14ac:dyDescent="0.2">
      <c r="A160" s="5" t="s">
        <v>53</v>
      </c>
      <c r="B160" s="4" t="s">
        <v>18</v>
      </c>
      <c r="C160" s="5">
        <v>127192</v>
      </c>
      <c r="D160" s="5">
        <v>82036</v>
      </c>
      <c r="E160" s="5">
        <v>33</v>
      </c>
      <c r="F160" s="5">
        <v>19</v>
      </c>
      <c r="G160" s="6">
        <f>35/38</f>
        <v>0.92105263157894735</v>
      </c>
      <c r="H160" s="6">
        <f>68/38</f>
        <v>1.7894736842105263</v>
      </c>
      <c r="I160" s="6">
        <v>29280</v>
      </c>
      <c r="J160" s="6"/>
      <c r="K160" s="6">
        <f>(57.7-35.14)*1000*0.83</f>
        <v>18724.800000000003</v>
      </c>
    </row>
    <row r="161" spans="1:11" x14ac:dyDescent="0.2">
      <c r="A161" s="5" t="s">
        <v>58</v>
      </c>
      <c r="B161" s="4" t="s">
        <v>18</v>
      </c>
      <c r="C161" s="5">
        <v>124762</v>
      </c>
      <c r="D161" s="5">
        <v>82613</v>
      </c>
      <c r="E161" s="5">
        <v>31</v>
      </c>
      <c r="F161" s="5">
        <v>20</v>
      </c>
      <c r="G161" s="6">
        <f>31/38</f>
        <v>0.81578947368421051</v>
      </c>
      <c r="H161" s="6">
        <f>56/38</f>
        <v>1.4736842105263157</v>
      </c>
      <c r="I161" s="6">
        <v>24520</v>
      </c>
      <c r="J161" s="6"/>
      <c r="K161" s="6">
        <v>42704</v>
      </c>
    </row>
    <row r="162" spans="1:11" x14ac:dyDescent="0.2">
      <c r="A162" s="5" t="s">
        <v>43</v>
      </c>
      <c r="B162" s="4" t="s">
        <v>19</v>
      </c>
      <c r="C162" s="5">
        <v>535200</v>
      </c>
      <c r="D162" s="5">
        <v>276947</v>
      </c>
      <c r="E162" s="5">
        <v>98</v>
      </c>
      <c r="F162" s="5">
        <v>1</v>
      </c>
      <c r="G162" s="6">
        <f>95/38</f>
        <v>2.5</v>
      </c>
      <c r="H162" s="6">
        <f>23/38</f>
        <v>0.60526315789473684</v>
      </c>
      <c r="I162" s="6">
        <v>54130</v>
      </c>
      <c r="J162" s="6"/>
      <c r="K162" s="6">
        <v>17422</v>
      </c>
    </row>
    <row r="163" spans="1:11" x14ac:dyDescent="0.2">
      <c r="A163" s="5" t="s">
        <v>42</v>
      </c>
      <c r="B163" s="4" t="s">
        <v>19</v>
      </c>
      <c r="C163" s="5">
        <v>533022</v>
      </c>
      <c r="D163" s="5">
        <v>276197</v>
      </c>
      <c r="E163" s="5">
        <v>97</v>
      </c>
      <c r="F163" s="5">
        <v>2</v>
      </c>
      <c r="G163" s="6">
        <f>89/38</f>
        <v>2.3421052631578947</v>
      </c>
      <c r="H163" s="6">
        <f>22/38</f>
        <v>0.57894736842105265</v>
      </c>
      <c r="I163" s="6">
        <v>52983</v>
      </c>
      <c r="J163" s="6"/>
      <c r="K163" s="6">
        <f>(182.2-41.32)*1000*0.83</f>
        <v>116930.4</v>
      </c>
    </row>
    <row r="164" spans="1:11" x14ac:dyDescent="0.2">
      <c r="A164" s="5" t="s">
        <v>34</v>
      </c>
      <c r="B164" s="4" t="s">
        <v>19</v>
      </c>
      <c r="C164" s="5">
        <v>446741</v>
      </c>
      <c r="D164" s="5">
        <v>251135</v>
      </c>
      <c r="E164" s="5">
        <v>72</v>
      </c>
      <c r="F164" s="5">
        <v>3</v>
      </c>
      <c r="G164" s="6">
        <f>63/38</f>
        <v>1.6578947368421053</v>
      </c>
      <c r="H164" s="6">
        <f>39/38</f>
        <v>1.0263157894736843</v>
      </c>
      <c r="I164" s="6">
        <v>40441</v>
      </c>
      <c r="J164" s="6"/>
      <c r="K164" s="6">
        <v>104207</v>
      </c>
    </row>
    <row r="165" spans="1:11" x14ac:dyDescent="0.2">
      <c r="A165" s="5" t="s">
        <v>56</v>
      </c>
      <c r="B165" s="4" t="s">
        <v>19</v>
      </c>
      <c r="C165" s="5">
        <v>460695</v>
      </c>
      <c r="D165" s="5">
        <v>156135</v>
      </c>
      <c r="E165" s="5">
        <v>71</v>
      </c>
      <c r="F165" s="5">
        <v>4</v>
      </c>
      <c r="G165" s="6">
        <f>67/38</f>
        <v>1.763157894736842</v>
      </c>
      <c r="H165" s="6">
        <f>39/38</f>
        <v>1.0263157894736843</v>
      </c>
      <c r="I165" s="6">
        <v>54216</v>
      </c>
      <c r="J165" s="6"/>
      <c r="K165" s="6">
        <f>(-5.35)*1000*0.83</f>
        <v>-4440.5</v>
      </c>
    </row>
    <row r="166" spans="1:11" x14ac:dyDescent="0.2">
      <c r="A166" s="5" t="s">
        <v>8</v>
      </c>
      <c r="B166" s="4" t="s">
        <v>19</v>
      </c>
      <c r="C166" s="5">
        <v>362877</v>
      </c>
      <c r="D166" s="5">
        <v>200811</v>
      </c>
      <c r="E166" s="5">
        <v>70</v>
      </c>
      <c r="F166" s="5">
        <v>5</v>
      </c>
      <c r="G166" s="6">
        <f>73/38</f>
        <v>1.9210526315789473</v>
      </c>
      <c r="H166" s="6">
        <f>51/38</f>
        <v>1.3421052631578947</v>
      </c>
      <c r="I166" s="6">
        <v>59899</v>
      </c>
      <c r="J166" s="6"/>
      <c r="K166" s="6">
        <f>(80.15-9.1)*0.83*1000</f>
        <v>58971.500000000007</v>
      </c>
    </row>
    <row r="167" spans="1:11" x14ac:dyDescent="0.2">
      <c r="A167" s="5" t="s">
        <v>44</v>
      </c>
      <c r="B167" s="4" t="s">
        <v>19</v>
      </c>
      <c r="C167" s="5">
        <v>601935</v>
      </c>
      <c r="D167" s="5">
        <v>287482</v>
      </c>
      <c r="E167" s="5">
        <v>66</v>
      </c>
      <c r="F167" s="5">
        <v>6</v>
      </c>
      <c r="G167" s="6">
        <f>65/38</f>
        <v>1.7105263157894737</v>
      </c>
      <c r="H167" s="6">
        <f>54/38</f>
        <v>1.4210526315789473</v>
      </c>
      <c r="I167" s="6">
        <v>74498</v>
      </c>
      <c r="J167" s="6"/>
      <c r="K167" s="6">
        <f>(82.7-30.55)*1000*0.83</f>
        <v>43284.500000000007</v>
      </c>
    </row>
    <row r="168" spans="1:11" x14ac:dyDescent="0.2">
      <c r="A168" s="5" t="s">
        <v>61</v>
      </c>
      <c r="B168" s="4" t="s">
        <v>19</v>
      </c>
      <c r="C168" s="5">
        <v>172463</v>
      </c>
      <c r="D168" s="5">
        <v>80842</v>
      </c>
      <c r="E168" s="5">
        <v>57</v>
      </c>
      <c r="F168" s="5">
        <v>7</v>
      </c>
      <c r="G168" s="6">
        <f>47/38</f>
        <v>1.236842105263158</v>
      </c>
      <c r="H168" s="6">
        <f>46/38</f>
        <v>1.2105263157894737</v>
      </c>
      <c r="I168" s="6">
        <v>31025</v>
      </c>
      <c r="J168" s="6"/>
      <c r="K168" s="6">
        <v>78186</v>
      </c>
    </row>
    <row r="169" spans="1:11" x14ac:dyDescent="0.2">
      <c r="A169" s="5" t="s">
        <v>36</v>
      </c>
      <c r="B169" s="4" t="s">
        <v>19</v>
      </c>
      <c r="C169" s="5">
        <v>187700</v>
      </c>
      <c r="D169" s="5">
        <v>139807</v>
      </c>
      <c r="E169" s="5">
        <v>54</v>
      </c>
      <c r="F169" s="5">
        <v>8</v>
      </c>
      <c r="G169" s="6">
        <f>54/38</f>
        <v>1.4210526315789473</v>
      </c>
      <c r="H169" s="6">
        <f>46/38</f>
        <v>1.2105263157894737</v>
      </c>
      <c r="I169" s="6">
        <v>39043</v>
      </c>
      <c r="J169" s="6"/>
      <c r="K169" s="6">
        <v>59055</v>
      </c>
    </row>
    <row r="170" spans="1:11" x14ac:dyDescent="0.2">
      <c r="A170" s="5" t="s">
        <v>41</v>
      </c>
      <c r="B170" s="4" t="s">
        <v>19</v>
      </c>
      <c r="C170" s="5">
        <v>178429</v>
      </c>
      <c r="D170" s="5">
        <v>122396</v>
      </c>
      <c r="E170" s="5">
        <v>52</v>
      </c>
      <c r="F170" s="5">
        <v>9</v>
      </c>
      <c r="G170" s="6">
        <f>51/38</f>
        <v>1.3421052631578947</v>
      </c>
      <c r="H170" s="6">
        <f>48/38</f>
        <v>1.263157894736842</v>
      </c>
      <c r="I170" s="6">
        <v>31851</v>
      </c>
      <c r="J170" s="6"/>
      <c r="K170" s="6">
        <f>(114.6-95.8)*1000*0.83</f>
        <v>15603.999999999996</v>
      </c>
    </row>
    <row r="171" spans="1:11" x14ac:dyDescent="0.2">
      <c r="A171" s="5" t="s">
        <v>59</v>
      </c>
      <c r="B171" s="4" t="s">
        <v>19</v>
      </c>
      <c r="C171" s="5">
        <v>190695</v>
      </c>
      <c r="D171" s="5">
        <v>118880</v>
      </c>
      <c r="E171" s="5">
        <v>52</v>
      </c>
      <c r="F171" s="5">
        <v>10</v>
      </c>
      <c r="G171" s="6">
        <f>52/38</f>
        <v>1.368421052631579</v>
      </c>
      <c r="H171" s="6">
        <f>55/38</f>
        <v>1.4473684210526316</v>
      </c>
      <c r="I171" s="6">
        <v>58336</v>
      </c>
      <c r="J171" s="6"/>
      <c r="K171" s="6">
        <v>72318</v>
      </c>
    </row>
    <row r="172" spans="1:11" x14ac:dyDescent="0.2">
      <c r="A172" s="5" t="s">
        <v>57</v>
      </c>
      <c r="B172" s="4" t="s">
        <v>19</v>
      </c>
      <c r="C172" s="5">
        <v>147661</v>
      </c>
      <c r="D172" s="5">
        <v>73364</v>
      </c>
      <c r="E172" s="5">
        <v>50</v>
      </c>
      <c r="F172" s="5">
        <v>11</v>
      </c>
      <c r="G172" s="6">
        <f>52/38</f>
        <v>1.368421052631579</v>
      </c>
      <c r="H172" s="6">
        <f>59/38</f>
        <v>1.5526315789473684</v>
      </c>
      <c r="I172" s="6">
        <v>20016</v>
      </c>
      <c r="J172" s="6"/>
      <c r="K172" s="6">
        <f>(30.1-51.84)*830</f>
        <v>-18044.2</v>
      </c>
    </row>
    <row r="173" spans="1:11" x14ac:dyDescent="0.2">
      <c r="A173" s="5" t="s">
        <v>35</v>
      </c>
      <c r="B173" s="4" t="s">
        <v>19</v>
      </c>
      <c r="C173" s="5">
        <v>155404</v>
      </c>
      <c r="D173" s="5">
        <v>104878</v>
      </c>
      <c r="E173" s="5">
        <v>49</v>
      </c>
      <c r="F173" s="5">
        <v>12</v>
      </c>
      <c r="G173" s="6">
        <f>51/38</f>
        <v>1.3421052631578947</v>
      </c>
      <c r="H173" s="6">
        <f>53/38</f>
        <v>1.3947368421052631</v>
      </c>
      <c r="I173" s="6">
        <v>25455</v>
      </c>
      <c r="J173" s="6"/>
      <c r="K173" s="6">
        <f>(11.85-0.35)*1000*0.83</f>
        <v>9545</v>
      </c>
    </row>
    <row r="174" spans="1:11" x14ac:dyDescent="0.2">
      <c r="A174" s="5" t="s">
        <v>46</v>
      </c>
      <c r="B174" s="4" t="s">
        <v>19</v>
      </c>
      <c r="C174" s="5">
        <v>176448</v>
      </c>
      <c r="D174" s="5">
        <v>84944</v>
      </c>
      <c r="E174" s="5">
        <v>45</v>
      </c>
      <c r="F174" s="5">
        <v>13</v>
      </c>
      <c r="G174" s="6">
        <f>42/38</f>
        <v>1.1052631578947369</v>
      </c>
      <c r="H174" s="6">
        <f>48/38</f>
        <v>1.263157894736842</v>
      </c>
      <c r="I174" s="6">
        <v>51121</v>
      </c>
      <c r="J174" s="6"/>
      <c r="K174" s="6">
        <f>(59.75-51.05)*1000*0.83</f>
        <v>7221.0000000000027</v>
      </c>
    </row>
    <row r="175" spans="1:11" x14ac:dyDescent="0.2">
      <c r="A175" s="5" t="s">
        <v>29</v>
      </c>
      <c r="B175" s="4" t="s">
        <v>19</v>
      </c>
      <c r="C175" s="5">
        <v>131134</v>
      </c>
      <c r="D175" s="5">
        <v>97412</v>
      </c>
      <c r="E175" s="5">
        <v>45</v>
      </c>
      <c r="F175" s="5">
        <v>14</v>
      </c>
      <c r="G175" s="6">
        <f>56/38</f>
        <v>1.4736842105263157</v>
      </c>
      <c r="H175" s="6">
        <f>70/38</f>
        <v>1.8421052631578947</v>
      </c>
      <c r="I175" s="6">
        <v>10532</v>
      </c>
      <c r="J175" s="6"/>
      <c r="K175" s="6">
        <v>59262</v>
      </c>
    </row>
    <row r="176" spans="1:11" x14ac:dyDescent="0.2">
      <c r="A176" s="5" t="s">
        <v>32</v>
      </c>
      <c r="B176" s="4" t="s">
        <v>19</v>
      </c>
      <c r="C176" s="5">
        <v>137791</v>
      </c>
      <c r="D176" s="5">
        <v>78161</v>
      </c>
      <c r="E176" s="5">
        <v>40</v>
      </c>
      <c r="F176" s="5">
        <v>15</v>
      </c>
      <c r="G176" s="6">
        <f>45/38</f>
        <v>1.1842105263157894</v>
      </c>
      <c r="H176" s="6">
        <f>68/38</f>
        <v>1.7894736842105263</v>
      </c>
      <c r="I176" s="6">
        <v>20534</v>
      </c>
      <c r="J176" s="6"/>
      <c r="K176" s="6">
        <f>(33-8)*1000*0.83</f>
        <v>20750</v>
      </c>
    </row>
    <row r="177" spans="1:11" x14ac:dyDescent="0.2">
      <c r="A177" s="5" t="s">
        <v>52</v>
      </c>
      <c r="B177" s="4" t="s">
        <v>19</v>
      </c>
      <c r="C177" s="5">
        <v>144649</v>
      </c>
      <c r="D177" s="5">
        <v>97071</v>
      </c>
      <c r="E177" s="5">
        <v>39</v>
      </c>
      <c r="F177" s="5">
        <v>16</v>
      </c>
      <c r="G177" s="6">
        <f>45/38</f>
        <v>1.1842105263157894</v>
      </c>
      <c r="H177" s="6">
        <f>65/38</f>
        <v>1.7105263157894737</v>
      </c>
      <c r="I177" s="6">
        <v>30139</v>
      </c>
      <c r="J177" s="6"/>
      <c r="K177" s="6">
        <v>30005</v>
      </c>
    </row>
    <row r="178" spans="1:11" x14ac:dyDescent="0.2">
      <c r="A178" s="5" t="s">
        <v>31</v>
      </c>
      <c r="B178" s="4" t="s">
        <v>19</v>
      </c>
      <c r="C178" s="5">
        <v>143132</v>
      </c>
      <c r="D178" s="5">
        <v>88286</v>
      </c>
      <c r="E178" s="5">
        <v>36</v>
      </c>
      <c r="F178" s="5">
        <v>17</v>
      </c>
      <c r="G178" s="6">
        <f>35/38</f>
        <v>0.92105263157894735</v>
      </c>
      <c r="H178" s="6">
        <f>60/38</f>
        <v>1.5789473684210527</v>
      </c>
      <c r="I178" s="6">
        <v>30426</v>
      </c>
      <c r="J178" s="6"/>
      <c r="K178" s="6">
        <v>63910</v>
      </c>
    </row>
    <row r="179" spans="1:11" x14ac:dyDescent="0.2">
      <c r="A179" s="5" t="s">
        <v>33</v>
      </c>
      <c r="B179" s="4" t="s">
        <v>19</v>
      </c>
      <c r="C179" s="5">
        <v>122574</v>
      </c>
      <c r="D179" s="5">
        <v>47674</v>
      </c>
      <c r="E179" s="5">
        <v>34</v>
      </c>
      <c r="F179" s="5">
        <v>18</v>
      </c>
      <c r="G179" s="6">
        <f>34/38</f>
        <v>0.89473684210526316</v>
      </c>
      <c r="H179" s="6">
        <f>69/38</f>
        <v>1.8157894736842106</v>
      </c>
      <c r="I179" s="6">
        <v>31408</v>
      </c>
      <c r="J179" s="6"/>
      <c r="K179" s="6">
        <v>42496</v>
      </c>
    </row>
    <row r="180" spans="1:11" x14ac:dyDescent="0.2">
      <c r="A180" s="5" t="s">
        <v>37</v>
      </c>
      <c r="B180" s="4" t="s">
        <v>19</v>
      </c>
      <c r="C180" s="5">
        <v>137748</v>
      </c>
      <c r="D180" s="5">
        <v>81031</v>
      </c>
      <c r="E180" s="5">
        <v>26</v>
      </c>
      <c r="F180" s="5">
        <v>19</v>
      </c>
      <c r="G180" s="6">
        <f>34/38</f>
        <v>0.89473684210526316</v>
      </c>
      <c r="H180" s="6">
        <f>81/38</f>
        <v>2.1315789473684212</v>
      </c>
      <c r="I180" s="6">
        <v>24371</v>
      </c>
      <c r="J180" s="6"/>
      <c r="K180" s="6">
        <v>92255</v>
      </c>
    </row>
    <row r="181" spans="1:11" x14ac:dyDescent="0.2">
      <c r="A181" s="5" t="s">
        <v>38</v>
      </c>
      <c r="B181" s="4" t="s">
        <v>19</v>
      </c>
      <c r="C181" s="5">
        <v>119321</v>
      </c>
      <c r="D181" s="5">
        <v>55974</v>
      </c>
      <c r="E181" s="5">
        <v>16</v>
      </c>
      <c r="F181" s="5">
        <v>20</v>
      </c>
      <c r="G181" s="6">
        <f>22/38</f>
        <v>0.57894736842105265</v>
      </c>
      <c r="H181" s="6">
        <f>76/38</f>
        <v>2</v>
      </c>
      <c r="I181" s="6">
        <v>23340</v>
      </c>
      <c r="J181" s="6"/>
      <c r="K181" s="6">
        <v>31847</v>
      </c>
    </row>
    <row r="182" spans="1:11" x14ac:dyDescent="0.2">
      <c r="A182" s="5" t="s">
        <v>42</v>
      </c>
      <c r="B182" s="4" t="s">
        <v>20</v>
      </c>
      <c r="C182" s="5">
        <v>489860</v>
      </c>
      <c r="D182" s="5">
        <v>289341</v>
      </c>
      <c r="E182" s="5">
        <v>99</v>
      </c>
      <c r="F182" s="5">
        <v>1</v>
      </c>
      <c r="G182" s="6">
        <f>85/38</f>
        <v>2.236842105263158</v>
      </c>
      <c r="H182" s="6">
        <f>33/38</f>
        <v>0.86842105263157898</v>
      </c>
      <c r="I182" s="6">
        <v>53143</v>
      </c>
      <c r="J182" s="6"/>
      <c r="K182" s="6">
        <f>(10.4-48)*1000*0.83</f>
        <v>-31208</v>
      </c>
    </row>
    <row r="183" spans="1:11" x14ac:dyDescent="0.2">
      <c r="A183" s="5" t="s">
        <v>43</v>
      </c>
      <c r="B183" s="4" t="s">
        <v>20</v>
      </c>
      <c r="C183" s="5">
        <v>478400</v>
      </c>
      <c r="D183" s="5">
        <v>307278</v>
      </c>
      <c r="E183" s="5">
        <v>81</v>
      </c>
      <c r="F183" s="5">
        <v>2</v>
      </c>
      <c r="G183" s="6">
        <f>102/38</f>
        <v>2.6842105263157894</v>
      </c>
      <c r="H183" s="6">
        <f>35/38</f>
        <v>0.92105263157894735</v>
      </c>
      <c r="I183" s="6">
        <v>54219</v>
      </c>
      <c r="J183" s="6"/>
      <c r="K183" s="6">
        <v>82021</v>
      </c>
    </row>
    <row r="184" spans="1:11" x14ac:dyDescent="0.2">
      <c r="A184" s="5" t="s">
        <v>44</v>
      </c>
      <c r="B184" s="4" t="s">
        <v>20</v>
      </c>
      <c r="C184" s="5">
        <v>487460</v>
      </c>
      <c r="D184" s="5">
        <v>242557</v>
      </c>
      <c r="E184" s="5">
        <v>66</v>
      </c>
      <c r="F184" s="5">
        <v>3</v>
      </c>
      <c r="G184" s="6">
        <f>66/38</f>
        <v>1.736842105263158</v>
      </c>
      <c r="H184" s="6">
        <f>36/38</f>
        <v>0.94736842105263153</v>
      </c>
      <c r="I184" s="6">
        <v>72710</v>
      </c>
      <c r="J184" s="6"/>
      <c r="K184" s="6">
        <f>(236.8-81.18)*1000*0.83</f>
        <v>129164.59999999999</v>
      </c>
    </row>
    <row r="185" spans="1:11" x14ac:dyDescent="0.2">
      <c r="A185" s="5" t="s">
        <v>34</v>
      </c>
      <c r="B185" s="4" t="s">
        <v>20</v>
      </c>
      <c r="C185" s="5">
        <v>407402</v>
      </c>
      <c r="D185" s="5">
        <v>249328</v>
      </c>
      <c r="E185" s="5">
        <v>66</v>
      </c>
      <c r="F185" s="5">
        <v>4</v>
      </c>
      <c r="G185" s="6">
        <f>69/38</f>
        <v>1.8157894736842106</v>
      </c>
      <c r="H185" s="6">
        <f>54/38</f>
        <v>1.4210526315789473</v>
      </c>
      <c r="I185" s="6">
        <v>40563</v>
      </c>
      <c r="J185" s="6"/>
      <c r="K185" s="6">
        <v>-97998</v>
      </c>
    </row>
    <row r="186" spans="1:11" x14ac:dyDescent="0.2">
      <c r="A186" s="5" t="s">
        <v>41</v>
      </c>
      <c r="B186" s="4" t="s">
        <v>20</v>
      </c>
      <c r="C186" s="5">
        <v>149950</v>
      </c>
      <c r="D186" s="5">
        <v>128239</v>
      </c>
      <c r="E186" s="5">
        <v>62</v>
      </c>
      <c r="F186" s="5">
        <v>5</v>
      </c>
      <c r="G186" s="6">
        <f>67/38</f>
        <v>1.763157894736842</v>
      </c>
      <c r="H186" s="6">
        <f>41/38</f>
        <v>1.0789473684210527</v>
      </c>
      <c r="I186" s="6">
        <v>32061</v>
      </c>
      <c r="J186" s="6"/>
      <c r="K186" s="6">
        <f>(104.3-88.5)*1000*0.83</f>
        <v>13113.999999999996</v>
      </c>
    </row>
    <row r="187" spans="1:11" x14ac:dyDescent="0.2">
      <c r="A187" s="5" t="s">
        <v>56</v>
      </c>
      <c r="B187" s="4" t="s">
        <v>20</v>
      </c>
      <c r="C187" s="5">
        <v>402386</v>
      </c>
      <c r="D187" s="5">
        <v>159312</v>
      </c>
      <c r="E187" s="5">
        <v>59</v>
      </c>
      <c r="F187" s="5">
        <v>6</v>
      </c>
      <c r="G187" s="6">
        <f>61/38</f>
        <v>1.6052631578947369</v>
      </c>
      <c r="H187" s="6">
        <f>47/38</f>
        <v>1.236842105263158</v>
      </c>
      <c r="I187" s="6">
        <v>59384</v>
      </c>
      <c r="J187" s="6"/>
      <c r="K187" s="6">
        <f>(150.5-64.5)*1000*0.83</f>
        <v>71380</v>
      </c>
    </row>
    <row r="188" spans="1:11" x14ac:dyDescent="0.2">
      <c r="A188" s="5" t="s">
        <v>61</v>
      </c>
      <c r="B188" s="4" t="s">
        <v>20</v>
      </c>
      <c r="C188" s="5">
        <v>132609</v>
      </c>
      <c r="D188" s="5">
        <v>82717</v>
      </c>
      <c r="E188" s="5">
        <v>59</v>
      </c>
      <c r="F188" s="5">
        <v>7</v>
      </c>
      <c r="G188" s="6">
        <f>51/38</f>
        <v>1.3421052631578947</v>
      </c>
      <c r="H188" s="6">
        <f>40/38</f>
        <v>1.0526315789473684</v>
      </c>
      <c r="I188" s="6">
        <v>31360</v>
      </c>
      <c r="J188" s="6"/>
      <c r="K188" s="6">
        <v>76858</v>
      </c>
    </row>
    <row r="189" spans="1:11" x14ac:dyDescent="0.2">
      <c r="A189" s="5" t="s">
        <v>8</v>
      </c>
      <c r="B189" s="4" t="s">
        <v>20</v>
      </c>
      <c r="C189" s="5">
        <v>343814</v>
      </c>
      <c r="D189" s="5">
        <v>198312</v>
      </c>
      <c r="E189" s="5">
        <v>56</v>
      </c>
      <c r="F189" s="5">
        <v>8</v>
      </c>
      <c r="G189" s="6">
        <f>56/38</f>
        <v>1.4736842105263157</v>
      </c>
      <c r="H189" s="6">
        <f>48/38</f>
        <v>1.263157894736842</v>
      </c>
      <c r="I189" s="6">
        <v>60279</v>
      </c>
      <c r="J189" s="6"/>
      <c r="K189" s="6">
        <f>(160.8-53.65)*0.83*1000</f>
        <v>88934.5</v>
      </c>
    </row>
    <row r="190" spans="1:11" x14ac:dyDescent="0.2">
      <c r="A190" s="5" t="s">
        <v>51</v>
      </c>
      <c r="B190" s="4" t="s">
        <v>20</v>
      </c>
      <c r="C190" s="5">
        <v>143137</v>
      </c>
      <c r="D190" s="5">
        <v>70833</v>
      </c>
      <c r="E190" s="5">
        <v>54</v>
      </c>
      <c r="F190" s="5">
        <v>9</v>
      </c>
      <c r="G190" s="6">
        <f>39/38</f>
        <v>1.0263157894736843</v>
      </c>
      <c r="H190" s="6">
        <f>39/38</f>
        <v>1.0263157894736843</v>
      </c>
      <c r="I190" s="6">
        <v>30905</v>
      </c>
      <c r="J190" s="6"/>
      <c r="K190" s="6">
        <f>(72.5-0.35)*830</f>
        <v>59884.500000000007</v>
      </c>
    </row>
    <row r="191" spans="1:11" x14ac:dyDescent="0.2">
      <c r="A191" s="5" t="s">
        <v>32</v>
      </c>
      <c r="B191" s="4" t="s">
        <v>20</v>
      </c>
      <c r="C191" s="5">
        <v>133813</v>
      </c>
      <c r="D191" s="5">
        <v>89475</v>
      </c>
      <c r="E191" s="5">
        <v>54</v>
      </c>
      <c r="F191" s="5">
        <v>10</v>
      </c>
      <c r="G191" s="6">
        <f>43/38</f>
        <v>1.131578947368421</v>
      </c>
      <c r="H191" s="6">
        <f>50/38</f>
        <v>1.3157894736842106</v>
      </c>
      <c r="I191" s="6">
        <v>20260</v>
      </c>
      <c r="J191" s="6"/>
      <c r="K191" s="6">
        <f>(23.85-13.55)*1000*0.83</f>
        <v>8549</v>
      </c>
    </row>
    <row r="192" spans="1:11" x14ac:dyDescent="0.2">
      <c r="A192" s="5" t="s">
        <v>52</v>
      </c>
      <c r="B192" s="4" t="s">
        <v>20</v>
      </c>
      <c r="C192" s="5">
        <v>126482</v>
      </c>
      <c r="D192" s="5">
        <v>99927</v>
      </c>
      <c r="E192" s="5">
        <v>52</v>
      </c>
      <c r="F192" s="5">
        <v>11</v>
      </c>
      <c r="G192" s="6">
        <f>51/38</f>
        <v>1.3421052631578947</v>
      </c>
      <c r="H192" s="6">
        <f>60/38</f>
        <v>1.5789473684210527</v>
      </c>
      <c r="I192" s="6">
        <v>29675</v>
      </c>
      <c r="J192" s="6"/>
      <c r="K192" s="6">
        <v>28386</v>
      </c>
    </row>
    <row r="193" spans="1:11" x14ac:dyDescent="0.2">
      <c r="A193" s="5" t="s">
        <v>36</v>
      </c>
      <c r="B193" s="4" t="s">
        <v>20</v>
      </c>
      <c r="C193" s="5">
        <v>185800</v>
      </c>
      <c r="D193" s="5">
        <v>143270</v>
      </c>
      <c r="E193" s="5">
        <v>49</v>
      </c>
      <c r="F193" s="5">
        <v>12</v>
      </c>
      <c r="G193" s="6">
        <f>44/38</f>
        <v>1.1578947368421053</v>
      </c>
      <c r="H193" s="6">
        <f>56/38</f>
        <v>1.4736842105263157</v>
      </c>
      <c r="I193" s="6">
        <v>39150</v>
      </c>
      <c r="J193" s="6"/>
      <c r="K193" s="6">
        <v>27556</v>
      </c>
    </row>
    <row r="194" spans="1:11" x14ac:dyDescent="0.2">
      <c r="A194" s="5" t="s">
        <v>46</v>
      </c>
      <c r="B194" s="4" t="s">
        <v>20</v>
      </c>
      <c r="C194" s="5">
        <v>152626</v>
      </c>
      <c r="D194" s="5">
        <v>106878</v>
      </c>
      <c r="E194" s="5">
        <v>44</v>
      </c>
      <c r="F194" s="5">
        <v>13</v>
      </c>
      <c r="G194" s="6">
        <f>38/38</f>
        <v>1</v>
      </c>
      <c r="H194" s="6">
        <f>58/38</f>
        <v>1.5263157894736843</v>
      </c>
      <c r="I194" s="6">
        <v>48248</v>
      </c>
      <c r="J194" s="6"/>
      <c r="K194" s="6">
        <f>(72.4-35.64)*1000*0.83</f>
        <v>30510.800000000003</v>
      </c>
    </row>
    <row r="195" spans="1:11" x14ac:dyDescent="0.2">
      <c r="A195" s="5" t="s">
        <v>35</v>
      </c>
      <c r="B195" s="4" t="s">
        <v>20</v>
      </c>
      <c r="C195" s="5">
        <v>142347</v>
      </c>
      <c r="D195" s="5">
        <v>115990</v>
      </c>
      <c r="E195" s="5">
        <v>43</v>
      </c>
      <c r="F195" s="5">
        <v>14</v>
      </c>
      <c r="G195" s="6">
        <f>31/38</f>
        <v>0.81578947368421051</v>
      </c>
      <c r="H195" s="6">
        <f>50/38</f>
        <v>1.3157894736842106</v>
      </c>
      <c r="I195" s="6">
        <v>25060</v>
      </c>
      <c r="J195" s="6"/>
      <c r="K195" s="6">
        <f>(7.6-55.38)*1000*0.83</f>
        <v>-39657.4</v>
      </c>
    </row>
    <row r="196" spans="1:11" x14ac:dyDescent="0.2">
      <c r="A196" s="5" t="s">
        <v>31</v>
      </c>
      <c r="B196" s="4" t="s">
        <v>20</v>
      </c>
      <c r="C196" s="5">
        <v>123291</v>
      </c>
      <c r="D196" s="5">
        <v>89314</v>
      </c>
      <c r="E196" s="5">
        <v>41</v>
      </c>
      <c r="F196" s="5">
        <v>15</v>
      </c>
      <c r="G196" s="6">
        <f>39/38</f>
        <v>1.0263157894736843</v>
      </c>
      <c r="H196" s="6">
        <f>54/38</f>
        <v>1.4210526315789473</v>
      </c>
      <c r="I196" s="6">
        <v>30356</v>
      </c>
      <c r="J196" s="6"/>
      <c r="K196" s="6">
        <v>44189</v>
      </c>
    </row>
    <row r="197" spans="1:11" x14ac:dyDescent="0.2">
      <c r="A197" s="5" t="s">
        <v>59</v>
      </c>
      <c r="B197" s="4" t="s">
        <v>20</v>
      </c>
      <c r="C197" s="5">
        <v>139500</v>
      </c>
      <c r="D197" s="5">
        <v>114791</v>
      </c>
      <c r="E197" s="5">
        <v>39</v>
      </c>
      <c r="F197" s="5">
        <v>16</v>
      </c>
      <c r="G197" s="6">
        <f>49/38</f>
        <v>1.2894736842105263</v>
      </c>
      <c r="H197" s="6">
        <f>62/38</f>
        <v>1.631578947368421</v>
      </c>
      <c r="I197" s="6">
        <v>59925</v>
      </c>
      <c r="J197" s="6"/>
      <c r="K197" s="6">
        <v>53178</v>
      </c>
    </row>
    <row r="198" spans="1:11" x14ac:dyDescent="0.2">
      <c r="A198" s="5" t="s">
        <v>24</v>
      </c>
      <c r="B198" s="4" t="s">
        <v>20</v>
      </c>
      <c r="C198" s="5">
        <v>112596</v>
      </c>
      <c r="D198" s="5">
        <v>95121</v>
      </c>
      <c r="E198" s="5">
        <v>35</v>
      </c>
      <c r="F198" s="5">
        <v>17</v>
      </c>
      <c r="G198" s="6">
        <f>41/38</f>
        <v>1.0789473684210527</v>
      </c>
      <c r="H198" s="6">
        <f>67/38</f>
        <v>1.763157894736842</v>
      </c>
      <c r="I198" s="6">
        <v>41661</v>
      </c>
      <c r="J198" s="6"/>
      <c r="K198" s="6">
        <v>129895</v>
      </c>
    </row>
    <row r="199" spans="1:11" x14ac:dyDescent="0.2">
      <c r="A199" s="5" t="s">
        <v>29</v>
      </c>
      <c r="B199" s="4" t="s">
        <v>20</v>
      </c>
      <c r="C199" s="5">
        <v>95380</v>
      </c>
      <c r="D199" s="5">
        <v>95021</v>
      </c>
      <c r="E199" s="5">
        <v>34</v>
      </c>
      <c r="F199" s="5">
        <v>18</v>
      </c>
      <c r="G199" s="6">
        <f>40/38</f>
        <v>1.0526315789473684</v>
      </c>
      <c r="H199" s="6">
        <f>65/38</f>
        <v>1.7105263157894737</v>
      </c>
      <c r="I199" s="6">
        <v>10510</v>
      </c>
      <c r="J199" s="6"/>
      <c r="K199" s="6">
        <v>16832</v>
      </c>
    </row>
    <row r="200" spans="1:11" x14ac:dyDescent="0.2">
      <c r="A200" s="5" t="s">
        <v>57</v>
      </c>
      <c r="B200" s="4" t="s">
        <v>20</v>
      </c>
      <c r="C200" s="5">
        <v>119985</v>
      </c>
      <c r="D200" s="5">
        <v>85546</v>
      </c>
      <c r="E200" s="5">
        <v>34</v>
      </c>
      <c r="F200" s="5">
        <v>19</v>
      </c>
      <c r="G200" s="6">
        <f>36/38</f>
        <v>0.94736842105263153</v>
      </c>
      <c r="H200" s="6">
        <f>64/38</f>
        <v>1.6842105263157894</v>
      </c>
      <c r="I200" s="6">
        <v>20837</v>
      </c>
      <c r="J200" s="6"/>
      <c r="K200" s="6">
        <f>(56-25.4)*830</f>
        <v>25398</v>
      </c>
    </row>
    <row r="201" spans="1:11" x14ac:dyDescent="0.2">
      <c r="A201" s="5" t="s">
        <v>47</v>
      </c>
      <c r="B201" s="4" t="s">
        <v>20</v>
      </c>
      <c r="C201" s="5">
        <v>119352</v>
      </c>
      <c r="D201" s="5">
        <v>73336</v>
      </c>
      <c r="E201" s="5">
        <v>21</v>
      </c>
      <c r="F201" s="5">
        <v>20</v>
      </c>
      <c r="G201" s="6">
        <f>26/38</f>
        <v>0.68421052631578949</v>
      </c>
      <c r="H201" s="6">
        <f>75/38</f>
        <v>1.9736842105263157</v>
      </c>
      <c r="I201" s="6">
        <v>27022</v>
      </c>
      <c r="J201" s="6"/>
      <c r="K201" s="6">
        <f>(8.82-2.2)*830</f>
        <v>5494.6</v>
      </c>
    </row>
    <row r="202" spans="1:11" x14ac:dyDescent="0.2">
      <c r="A202" s="5" t="s">
        <v>43</v>
      </c>
      <c r="B202" s="4" t="s">
        <v>21</v>
      </c>
      <c r="C202" s="5">
        <v>569800</v>
      </c>
      <c r="D202" s="5">
        <v>310737</v>
      </c>
      <c r="E202" s="5">
        <v>86</v>
      </c>
      <c r="F202" s="5">
        <v>1</v>
      </c>
      <c r="G202" s="6">
        <f>83/38</f>
        <v>2.1842105263157894</v>
      </c>
      <c r="H202" s="6">
        <f>32/38</f>
        <v>0.84210526315789469</v>
      </c>
      <c r="I202" s="6">
        <v>10000</v>
      </c>
      <c r="J202" s="6"/>
      <c r="K202" s="6">
        <v>90802</v>
      </c>
    </row>
    <row r="203" spans="1:11" x14ac:dyDescent="0.2">
      <c r="A203" s="5" t="s">
        <v>44</v>
      </c>
      <c r="B203" s="4" t="s">
        <v>21</v>
      </c>
      <c r="C203" s="5">
        <v>464839</v>
      </c>
      <c r="D203" s="5">
        <v>276752</v>
      </c>
      <c r="E203" s="5">
        <v>74</v>
      </c>
      <c r="F203" s="5">
        <v>2</v>
      </c>
      <c r="G203" s="6">
        <f>73/38</f>
        <v>1.9210526315789473</v>
      </c>
      <c r="H203" s="6">
        <f>44/38</f>
        <v>1.1578947368421053</v>
      </c>
      <c r="I203" s="6">
        <v>10000</v>
      </c>
      <c r="J203" s="6"/>
      <c r="K203" s="6">
        <f>(83.95-19.5)*1000*0.83</f>
        <v>53493.5</v>
      </c>
    </row>
    <row r="204" spans="1:11" x14ac:dyDescent="0.2">
      <c r="A204" s="5" t="s">
        <v>42</v>
      </c>
      <c r="B204" s="4" t="s">
        <v>21</v>
      </c>
      <c r="C204" s="5">
        <v>487365</v>
      </c>
      <c r="D204" s="5">
        <v>277808</v>
      </c>
      <c r="E204" s="5">
        <v>69</v>
      </c>
      <c r="F204" s="5">
        <v>3</v>
      </c>
      <c r="G204" s="6">
        <f>68/38</f>
        <v>1.7894736842105263</v>
      </c>
      <c r="H204" s="6">
        <f>42/38</f>
        <v>1.1052631578947369</v>
      </c>
      <c r="I204" s="6">
        <v>4000</v>
      </c>
      <c r="J204" s="6"/>
      <c r="K204" s="6">
        <f>(84.8-17.2)*1000*0.83</f>
        <v>56108</v>
      </c>
    </row>
    <row r="205" spans="1:11" x14ac:dyDescent="0.2">
      <c r="A205" s="5" t="s">
        <v>34</v>
      </c>
      <c r="B205" s="4" t="s">
        <v>21</v>
      </c>
      <c r="C205" s="5">
        <v>434863</v>
      </c>
      <c r="D205" s="5">
        <v>291595</v>
      </c>
      <c r="E205" s="5">
        <v>67</v>
      </c>
      <c r="F205" s="5">
        <v>4</v>
      </c>
      <c r="G205" s="6">
        <f>58/38</f>
        <v>1.5263157894736843</v>
      </c>
      <c r="H205" s="6">
        <f>36/38</f>
        <v>0.94736842105263153</v>
      </c>
      <c r="I205" s="6">
        <v>4598</v>
      </c>
      <c r="J205" s="6"/>
      <c r="K205" s="6">
        <v>157742</v>
      </c>
    </row>
    <row r="206" spans="1:11" x14ac:dyDescent="0.2">
      <c r="A206" s="5" t="s">
        <v>41</v>
      </c>
      <c r="B206" s="4" t="s">
        <v>21</v>
      </c>
      <c r="C206" s="5">
        <v>226204</v>
      </c>
      <c r="D206" s="5">
        <v>158794</v>
      </c>
      <c r="E206" s="5">
        <v>66</v>
      </c>
      <c r="F206" s="5">
        <v>5</v>
      </c>
      <c r="G206" s="6">
        <f>68/38</f>
        <v>1.7894736842105263</v>
      </c>
      <c r="H206" s="6">
        <f>50/38</f>
        <v>1.3157894736842106</v>
      </c>
      <c r="I206" s="6">
        <v>8000</v>
      </c>
      <c r="J206" s="6"/>
      <c r="K206" s="6">
        <f>(59.4-53.77)*1000*0.83</f>
        <v>4672.899999999996</v>
      </c>
    </row>
    <row r="207" spans="1:11" x14ac:dyDescent="0.2">
      <c r="A207" s="5" t="s">
        <v>59</v>
      </c>
      <c r="B207" s="4" t="s">
        <v>21</v>
      </c>
      <c r="C207" s="5">
        <v>192728</v>
      </c>
      <c r="D207" s="5">
        <v>112892</v>
      </c>
      <c r="E207" s="5">
        <v>65</v>
      </c>
      <c r="F207" s="5">
        <v>6</v>
      </c>
      <c r="G207" s="6">
        <f>62/38</f>
        <v>1.631578947368421</v>
      </c>
      <c r="H207" s="6">
        <f>47/38</f>
        <v>1.236842105263158</v>
      </c>
      <c r="I207" s="6">
        <v>6000</v>
      </c>
      <c r="J207" s="6"/>
      <c r="K207" s="6">
        <v>7711</v>
      </c>
    </row>
    <row r="208" spans="1:11" x14ac:dyDescent="0.2">
      <c r="A208" s="5" t="s">
        <v>56</v>
      </c>
      <c r="B208" s="4" t="s">
        <v>21</v>
      </c>
      <c r="C208" s="5">
        <v>361872</v>
      </c>
      <c r="D208" s="5">
        <v>179789</v>
      </c>
      <c r="E208" s="5">
        <v>62</v>
      </c>
      <c r="F208" s="5">
        <v>7</v>
      </c>
      <c r="G208" s="6">
        <f>68/38</f>
        <v>1.7894736842105263</v>
      </c>
      <c r="H208" s="6">
        <f>45/38</f>
        <v>1.1842105263157894</v>
      </c>
      <c r="I208" s="6">
        <v>6000</v>
      </c>
      <c r="J208" s="6"/>
      <c r="K208" s="6">
        <f>(110.5-13.3)*1000*0.83</f>
        <v>80676</v>
      </c>
    </row>
    <row r="209" spans="1:11" x14ac:dyDescent="0.2">
      <c r="A209" s="5" t="s">
        <v>8</v>
      </c>
      <c r="B209" s="4" t="s">
        <v>21</v>
      </c>
      <c r="C209" s="5">
        <v>325369</v>
      </c>
      <c r="D209" s="5">
        <v>208315</v>
      </c>
      <c r="E209" s="5">
        <v>61</v>
      </c>
      <c r="F209" s="5">
        <v>8</v>
      </c>
      <c r="G209" s="6">
        <f>55/38</f>
        <v>1.4473684210526316</v>
      </c>
      <c r="H209" s="6">
        <f>39/38</f>
        <v>1.0263157894736843</v>
      </c>
      <c r="I209" s="6">
        <v>10000</v>
      </c>
      <c r="J209" s="6"/>
      <c r="K209" s="6">
        <f>(86-19.15)*1000*0.83</f>
        <v>55485.5</v>
      </c>
    </row>
    <row r="210" spans="1:11" x14ac:dyDescent="0.2">
      <c r="A210" s="5" t="s">
        <v>40</v>
      </c>
      <c r="B210" s="4" t="s">
        <v>21</v>
      </c>
      <c r="C210" s="5">
        <v>171028</v>
      </c>
      <c r="D210" s="5">
        <v>95959</v>
      </c>
      <c r="E210" s="5">
        <v>59</v>
      </c>
      <c r="F210" s="5">
        <v>9</v>
      </c>
      <c r="G210" s="6">
        <f>62/38</f>
        <v>1.631578947368421</v>
      </c>
      <c r="H210" s="6">
        <f>54/38</f>
        <v>1.4210526315789473</v>
      </c>
      <c r="I210" s="6">
        <v>8000</v>
      </c>
      <c r="J210" s="6"/>
      <c r="K210" s="6">
        <f>127.8*830</f>
        <v>106074</v>
      </c>
    </row>
    <row r="211" spans="1:11" x14ac:dyDescent="0.2">
      <c r="A211" s="5" t="s">
        <v>36</v>
      </c>
      <c r="B211" s="4" t="s">
        <v>21</v>
      </c>
      <c r="C211" s="5">
        <v>193100</v>
      </c>
      <c r="D211" s="5">
        <v>157691</v>
      </c>
      <c r="E211" s="5">
        <v>59</v>
      </c>
      <c r="F211" s="5">
        <v>10</v>
      </c>
      <c r="G211" s="6">
        <f>47/38</f>
        <v>1.236842105263158</v>
      </c>
      <c r="H211" s="6">
        <f>48/38</f>
        <v>1.263157894736842</v>
      </c>
      <c r="I211" s="6">
        <v>3356</v>
      </c>
      <c r="J211" s="6"/>
      <c r="K211" s="6">
        <v>58050</v>
      </c>
    </row>
    <row r="212" spans="1:11" x14ac:dyDescent="0.2">
      <c r="A212" s="5" t="s">
        <v>24</v>
      </c>
      <c r="B212" s="4" t="s">
        <v>21</v>
      </c>
      <c r="C212" s="5">
        <v>183632</v>
      </c>
      <c r="D212" s="5">
        <v>121936</v>
      </c>
      <c r="E212" s="5">
        <v>55</v>
      </c>
      <c r="F212" s="5">
        <v>11</v>
      </c>
      <c r="G212" s="6">
        <f>55/38</f>
        <v>1.4473684210526316</v>
      </c>
      <c r="H212" s="6">
        <f>46/38</f>
        <v>1.2105263157894737</v>
      </c>
      <c r="I212" s="6"/>
      <c r="J212" s="6"/>
      <c r="K212" s="6">
        <v>81821</v>
      </c>
    </row>
    <row r="213" spans="1:11" x14ac:dyDescent="0.2">
      <c r="A213" s="5" t="s">
        <v>46</v>
      </c>
      <c r="B213" s="4" t="s">
        <v>21</v>
      </c>
      <c r="C213" s="5">
        <v>140192</v>
      </c>
      <c r="D213" s="5">
        <v>93951</v>
      </c>
      <c r="E213" s="5">
        <v>45</v>
      </c>
      <c r="F213" s="5">
        <v>12</v>
      </c>
      <c r="G213" s="6">
        <f>46/38</f>
        <v>1.2105263157894737</v>
      </c>
      <c r="H213" s="6">
        <f>62/38</f>
        <v>1.631578947368421</v>
      </c>
      <c r="I213" s="6">
        <v>10000</v>
      </c>
      <c r="J213" s="6"/>
      <c r="K213" s="6">
        <f>(38.75-0.78)*1000*0.83</f>
        <v>31515.1</v>
      </c>
    </row>
    <row r="214" spans="1:11" x14ac:dyDescent="0.2">
      <c r="A214" s="5" t="s">
        <v>61</v>
      </c>
      <c r="B214" s="4" t="s">
        <v>21</v>
      </c>
      <c r="C214" s="5">
        <v>194096</v>
      </c>
      <c r="D214" s="5">
        <v>122614</v>
      </c>
      <c r="E214" s="5">
        <v>45</v>
      </c>
      <c r="F214" s="5">
        <v>13</v>
      </c>
      <c r="G214" s="6">
        <f>36/38</f>
        <v>0.94736842105263153</v>
      </c>
      <c r="H214" s="6">
        <f>52/38</f>
        <v>1.368421052631579</v>
      </c>
      <c r="I214" s="6"/>
      <c r="J214" s="6"/>
      <c r="K214" s="6">
        <v>6964</v>
      </c>
    </row>
    <row r="215" spans="1:11" x14ac:dyDescent="0.2">
      <c r="A215" s="5" t="s">
        <v>35</v>
      </c>
      <c r="B215" s="4" t="s">
        <v>21</v>
      </c>
      <c r="C215" s="5">
        <v>134383</v>
      </c>
      <c r="D215" s="5">
        <v>111375</v>
      </c>
      <c r="E215" s="5">
        <v>44</v>
      </c>
      <c r="F215" s="5">
        <v>14</v>
      </c>
      <c r="G215" s="6">
        <f>41/38</f>
        <v>1.0789473684210527</v>
      </c>
      <c r="H215" s="6">
        <f>66/38</f>
        <v>1.736842105263158</v>
      </c>
      <c r="I215" s="6">
        <v>4250</v>
      </c>
      <c r="J215" s="6"/>
      <c r="K215" s="6">
        <f>(22.4-20)*1000*0.83</f>
        <v>1991.9999999999989</v>
      </c>
    </row>
    <row r="216" spans="1:11" x14ac:dyDescent="0.2">
      <c r="A216" s="5" t="s">
        <v>52</v>
      </c>
      <c r="B216" s="4" t="s">
        <v>21</v>
      </c>
      <c r="C216" s="5">
        <v>157143</v>
      </c>
      <c r="D216" s="5">
        <v>99097</v>
      </c>
      <c r="E216" s="5">
        <v>43</v>
      </c>
      <c r="F216" s="5">
        <v>15</v>
      </c>
      <c r="G216" s="6">
        <f>47/38</f>
        <v>1.236842105263158</v>
      </c>
      <c r="H216" s="6">
        <f>68/38</f>
        <v>1.7894736842105263</v>
      </c>
      <c r="I216" s="6">
        <v>2000</v>
      </c>
      <c r="J216" s="6"/>
      <c r="K216" s="6">
        <v>9130</v>
      </c>
    </row>
    <row r="217" spans="1:11" x14ac:dyDescent="0.2">
      <c r="A217" s="5" t="s">
        <v>31</v>
      </c>
      <c r="B217" s="4" t="s">
        <v>21</v>
      </c>
      <c r="C217" s="5">
        <v>139731</v>
      </c>
      <c r="D217" s="5">
        <v>93983</v>
      </c>
      <c r="E217" s="5">
        <v>41</v>
      </c>
      <c r="F217" s="5">
        <v>16</v>
      </c>
      <c r="G217" s="6">
        <f>40/38</f>
        <v>1.0526315789473684</v>
      </c>
      <c r="H217" s="6">
        <f>46/38</f>
        <v>1.2105263157894737</v>
      </c>
      <c r="I217" s="6">
        <v>3982</v>
      </c>
      <c r="J217" s="6"/>
      <c r="K217" s="6">
        <v>24485</v>
      </c>
    </row>
    <row r="218" spans="1:11" x14ac:dyDescent="0.2">
      <c r="A218" s="5" t="s">
        <v>32</v>
      </c>
      <c r="B218" s="4" t="s">
        <v>21</v>
      </c>
      <c r="C218" s="5">
        <v>115101</v>
      </c>
      <c r="D218" s="5">
        <v>77269</v>
      </c>
      <c r="E218" s="5">
        <v>39</v>
      </c>
      <c r="F218" s="5">
        <v>17</v>
      </c>
      <c r="G218" s="6">
        <f>33/38</f>
        <v>0.86842105263157898</v>
      </c>
      <c r="H218" s="6">
        <f>55/38</f>
        <v>1.4473684210526316</v>
      </c>
      <c r="I218" s="6">
        <v>3500</v>
      </c>
      <c r="J218" s="6"/>
      <c r="K218" s="6">
        <f>(1.1-2.3)*1000*0.83</f>
        <v>-995.99999999999977</v>
      </c>
    </row>
    <row r="219" spans="1:11" x14ac:dyDescent="0.2">
      <c r="A219" s="5" t="s">
        <v>37</v>
      </c>
      <c r="B219" s="4" t="s">
        <v>21</v>
      </c>
      <c r="C219" s="5">
        <v>116111</v>
      </c>
      <c r="D219" s="5">
        <v>99927</v>
      </c>
      <c r="E219" s="5">
        <v>28</v>
      </c>
      <c r="F219" s="5">
        <v>18</v>
      </c>
      <c r="G219" s="6">
        <f>27/38</f>
        <v>0.71052631578947367</v>
      </c>
      <c r="H219" s="6">
        <f>53/38</f>
        <v>1.3947368421052631</v>
      </c>
      <c r="I219" s="6">
        <v>2000</v>
      </c>
      <c r="J219" s="6"/>
      <c r="K219" s="6">
        <v>30918</v>
      </c>
    </row>
    <row r="220" spans="1:11" x14ac:dyDescent="0.2">
      <c r="A220" s="5" t="s">
        <v>58</v>
      </c>
      <c r="B220" s="4" t="s">
        <v>21</v>
      </c>
      <c r="C220" s="5">
        <v>106934</v>
      </c>
      <c r="D220" s="5">
        <v>69270</v>
      </c>
      <c r="E220" s="5">
        <v>26</v>
      </c>
      <c r="F220" s="5">
        <v>19</v>
      </c>
      <c r="G220" s="6">
        <f>35/38</f>
        <v>0.92105263157894735</v>
      </c>
      <c r="H220" s="6">
        <f>76/38</f>
        <v>2</v>
      </c>
      <c r="I220" s="6">
        <v>5371</v>
      </c>
      <c r="J220" s="6"/>
      <c r="K220" s="6">
        <v>28253</v>
      </c>
    </row>
    <row r="221" spans="1:11" x14ac:dyDescent="0.2">
      <c r="A221" s="5" t="s">
        <v>51</v>
      </c>
      <c r="B221" s="4" t="s">
        <v>21</v>
      </c>
      <c r="C221" s="5">
        <v>115221</v>
      </c>
      <c r="D221" s="5">
        <v>49202</v>
      </c>
      <c r="E221" s="5">
        <v>23</v>
      </c>
      <c r="F221" s="5">
        <v>20</v>
      </c>
      <c r="G221" s="6">
        <f>20/38</f>
        <v>0.52631578947368418</v>
      </c>
      <c r="H221" s="6">
        <f>63/38</f>
        <v>1.6578947368421053</v>
      </c>
      <c r="I221" s="6">
        <v>5096</v>
      </c>
      <c r="J221" s="6"/>
      <c r="K221" s="6">
        <f>62.7*830</f>
        <v>52041</v>
      </c>
    </row>
    <row r="222" spans="1:11" x14ac:dyDescent="0.2">
      <c r="A222" s="5" t="s">
        <v>43</v>
      </c>
      <c r="B222" s="4" t="s">
        <v>22</v>
      </c>
      <c r="C222" s="5">
        <v>613000</v>
      </c>
      <c r="D222" s="5">
        <v>308675</v>
      </c>
      <c r="E222" s="5">
        <v>93</v>
      </c>
      <c r="F222" s="5">
        <v>1</v>
      </c>
      <c r="G222" s="6">
        <f>99/38</f>
        <v>2.6052631578947367</v>
      </c>
      <c r="H222" s="6">
        <f>26/38</f>
        <v>0.68421052631578949</v>
      </c>
      <c r="I222" s="6">
        <v>52738</v>
      </c>
      <c r="J222" s="6"/>
      <c r="K222" s="6">
        <v>37433</v>
      </c>
    </row>
    <row r="223" spans="1:11" x14ac:dyDescent="0.2">
      <c r="A223" s="5" t="s">
        <v>42</v>
      </c>
      <c r="B223" s="4" t="s">
        <v>22</v>
      </c>
      <c r="C223" s="5">
        <v>594271</v>
      </c>
      <c r="D223" s="5">
        <v>323527</v>
      </c>
      <c r="E223" s="5">
        <v>92</v>
      </c>
      <c r="F223" s="5">
        <v>2</v>
      </c>
      <c r="G223" s="6">
        <f>94/38</f>
        <v>2.4736842105263159</v>
      </c>
      <c r="H223" s="6">
        <f>26/38</f>
        <v>0.68421052631578949</v>
      </c>
      <c r="I223" s="6">
        <v>53008</v>
      </c>
      <c r="J223" s="6"/>
      <c r="K223" s="6">
        <f>(93-31.65)*1000*0.83</f>
        <v>50920.5</v>
      </c>
    </row>
    <row r="224" spans="1:11" x14ac:dyDescent="0.2">
      <c r="A224" s="5" t="s">
        <v>34</v>
      </c>
      <c r="B224" s="4" t="s">
        <v>22</v>
      </c>
      <c r="C224" s="5">
        <v>481278</v>
      </c>
      <c r="D224" s="5">
        <v>297569</v>
      </c>
      <c r="E224" s="5">
        <v>74</v>
      </c>
      <c r="F224" s="5">
        <v>3</v>
      </c>
      <c r="G224" s="6">
        <f>76/38</f>
        <v>2</v>
      </c>
      <c r="H224" s="6">
        <f>33/38</f>
        <v>0.86842105263157898</v>
      </c>
      <c r="I224" s="6">
        <v>36443</v>
      </c>
      <c r="J224" s="6"/>
      <c r="K224" s="6">
        <v>-31200</v>
      </c>
    </row>
    <row r="225" spans="1:11" x14ac:dyDescent="0.2">
      <c r="A225" s="5" t="s">
        <v>56</v>
      </c>
      <c r="B225" s="4" t="s">
        <v>22</v>
      </c>
      <c r="C225" s="5">
        <v>444028</v>
      </c>
      <c r="D225" s="5">
        <v>181819</v>
      </c>
      <c r="E225" s="5">
        <v>71</v>
      </c>
      <c r="F225" s="5">
        <v>4</v>
      </c>
      <c r="G225" s="6">
        <f>69/38</f>
        <v>1.8157894736842106</v>
      </c>
      <c r="H225" s="6">
        <f>40/38</f>
        <v>1.0526315789473684</v>
      </c>
      <c r="I225" s="6">
        <v>56523</v>
      </c>
      <c r="J225" s="6"/>
      <c r="K225" s="6">
        <f>(95.9-34.62)*1000*0.83</f>
        <v>50862.400000000001</v>
      </c>
    </row>
    <row r="226" spans="1:11" x14ac:dyDescent="0.2">
      <c r="A226" s="5" t="s">
        <v>8</v>
      </c>
      <c r="B226" s="4" t="s">
        <v>22</v>
      </c>
      <c r="C226" s="5">
        <v>340271</v>
      </c>
      <c r="D226" s="5">
        <v>179387</v>
      </c>
      <c r="E226" s="5">
        <v>69</v>
      </c>
      <c r="F226" s="5">
        <v>5</v>
      </c>
      <c r="G226" s="6">
        <f>61/38</f>
        <v>1.6052631578947369</v>
      </c>
      <c r="H226" s="6">
        <f>48/38</f>
        <v>1.263157894736842</v>
      </c>
      <c r="I226" s="6">
        <v>59811</v>
      </c>
      <c r="J226" s="6"/>
      <c r="K226" s="6">
        <f>(167.4-31.4)*1000*0.83</f>
        <v>112880</v>
      </c>
    </row>
    <row r="227" spans="1:11" x14ac:dyDescent="0.2">
      <c r="A227" s="5" t="s">
        <v>44</v>
      </c>
      <c r="B227" s="4" t="s">
        <v>22</v>
      </c>
      <c r="C227" s="5">
        <v>539937</v>
      </c>
      <c r="D227" s="5">
        <v>329694</v>
      </c>
      <c r="E227" s="5">
        <v>58</v>
      </c>
      <c r="F227" s="5">
        <v>6</v>
      </c>
      <c r="G227" s="6">
        <f>57/38</f>
        <v>1.5</v>
      </c>
      <c r="H227" s="6">
        <f>57/38</f>
        <v>1.5</v>
      </c>
      <c r="I227" s="6">
        <v>73150</v>
      </c>
      <c r="J227" s="6"/>
      <c r="K227" s="6">
        <f>(142-31.1)*1000*0.83</f>
        <v>92047</v>
      </c>
    </row>
    <row r="228" spans="1:11" x14ac:dyDescent="0.2">
      <c r="A228" s="5" t="s">
        <v>59</v>
      </c>
      <c r="B228" s="4" t="s">
        <v>22</v>
      </c>
      <c r="C228" s="5">
        <v>252720</v>
      </c>
      <c r="D228" s="5">
        <v>118708</v>
      </c>
      <c r="E228" s="5">
        <v>56</v>
      </c>
      <c r="F228" s="5">
        <v>7</v>
      </c>
      <c r="G228" s="6">
        <f>60/38</f>
        <v>1.5789473684210527</v>
      </c>
      <c r="H228" s="6">
        <f>51/38</f>
        <v>1.3421052631578947</v>
      </c>
      <c r="I228" s="6">
        <v>58569</v>
      </c>
      <c r="J228" s="6"/>
      <c r="K228" s="6">
        <v>58316</v>
      </c>
    </row>
    <row r="229" spans="1:11" x14ac:dyDescent="0.2">
      <c r="A229" s="5" t="s">
        <v>41</v>
      </c>
      <c r="B229" s="4" t="s">
        <v>22</v>
      </c>
      <c r="C229" s="5">
        <v>214590</v>
      </c>
      <c r="D229" s="5">
        <v>148403</v>
      </c>
      <c r="E229" s="5">
        <v>52</v>
      </c>
      <c r="F229" s="5">
        <v>8</v>
      </c>
      <c r="G229" s="6">
        <f>62/38</f>
        <v>1.631578947368421</v>
      </c>
      <c r="H229" s="6">
        <f>59/38</f>
        <v>1.5526315789473684</v>
      </c>
      <c r="I229" s="6">
        <v>31940</v>
      </c>
      <c r="J229" s="6"/>
      <c r="K229" s="6">
        <f>(67.6-4)*1000*0.83</f>
        <v>52787.999999999993</v>
      </c>
    </row>
    <row r="230" spans="1:11" x14ac:dyDescent="0.2">
      <c r="A230" s="5" t="s">
        <v>31</v>
      </c>
      <c r="B230" s="4" t="s">
        <v>22</v>
      </c>
      <c r="C230" s="5">
        <v>167429</v>
      </c>
      <c r="D230" s="5">
        <v>98791</v>
      </c>
      <c r="E230" s="5">
        <v>51</v>
      </c>
      <c r="F230" s="5">
        <v>9</v>
      </c>
      <c r="G230" s="6">
        <f>42/38</f>
        <v>1.1052631578947369</v>
      </c>
      <c r="H230" s="6">
        <f>44/38</f>
        <v>1.1578947368421053</v>
      </c>
      <c r="I230" s="6">
        <v>30943</v>
      </c>
      <c r="J230" s="6"/>
      <c r="K230" s="6">
        <v>-3154</v>
      </c>
    </row>
    <row r="231" spans="1:11" x14ac:dyDescent="0.2">
      <c r="A231" s="5" t="s">
        <v>61</v>
      </c>
      <c r="B231" s="4" t="s">
        <v>22</v>
      </c>
      <c r="C231" s="5">
        <v>165659</v>
      </c>
      <c r="D231" s="5">
        <v>104159</v>
      </c>
      <c r="E231" s="5">
        <v>51</v>
      </c>
      <c r="F231" s="5">
        <v>10</v>
      </c>
      <c r="G231" s="6">
        <f>38/38</f>
        <v>1</v>
      </c>
      <c r="H231" s="6">
        <f>43/38</f>
        <v>1.131578947368421</v>
      </c>
      <c r="I231" s="6">
        <v>30692</v>
      </c>
      <c r="J231" s="6"/>
      <c r="K231" s="6">
        <v>4814</v>
      </c>
    </row>
    <row r="232" spans="1:11" x14ac:dyDescent="0.2">
      <c r="A232" s="5" t="s">
        <v>46</v>
      </c>
      <c r="B232" s="4" t="s">
        <v>22</v>
      </c>
      <c r="C232" s="5">
        <v>179986</v>
      </c>
      <c r="D232" s="5">
        <v>149225</v>
      </c>
      <c r="E232" s="5">
        <v>49</v>
      </c>
      <c r="F232" s="5">
        <v>11</v>
      </c>
      <c r="G232" s="6">
        <f>44/38</f>
        <v>1.1578947368421053</v>
      </c>
      <c r="H232" s="6">
        <f>62/38</f>
        <v>1.631578947368421</v>
      </c>
      <c r="I232" s="6">
        <v>51487</v>
      </c>
      <c r="J232" s="6"/>
      <c r="K232" s="6">
        <f>(130.5)*1000*0.83</f>
        <v>108315</v>
      </c>
    </row>
    <row r="233" spans="1:11" x14ac:dyDescent="0.2">
      <c r="A233" s="5" t="s">
        <v>35</v>
      </c>
      <c r="B233" s="4" t="s">
        <v>22</v>
      </c>
      <c r="C233" s="5">
        <v>159999</v>
      </c>
      <c r="D233" s="5">
        <v>108701</v>
      </c>
      <c r="E233" s="5">
        <v>48</v>
      </c>
      <c r="F233" s="5">
        <v>12</v>
      </c>
      <c r="G233" s="6">
        <f>50/38</f>
        <v>1.3157894736842106</v>
      </c>
      <c r="H233" s="6">
        <f>46/38</f>
        <v>1.2105263157894737</v>
      </c>
      <c r="I233" s="6">
        <v>24282</v>
      </c>
      <c r="J233" s="6"/>
      <c r="K233" s="6">
        <f>85.62*1000*0.83</f>
        <v>71064.599999999991</v>
      </c>
    </row>
    <row r="234" spans="1:11" x14ac:dyDescent="0.2">
      <c r="A234" s="5" t="s">
        <v>30</v>
      </c>
      <c r="B234" s="4" t="s">
        <v>22</v>
      </c>
      <c r="C234" s="5">
        <v>140913</v>
      </c>
      <c r="D234" s="5">
        <v>59727</v>
      </c>
      <c r="E234" s="5">
        <v>46</v>
      </c>
      <c r="F234" s="5">
        <v>13</v>
      </c>
      <c r="G234" s="6">
        <f>48/38</f>
        <v>1.263157894736842</v>
      </c>
      <c r="H234" s="6">
        <f>56/38</f>
        <v>1.4736842105263157</v>
      </c>
      <c r="I234" s="6">
        <v>16907</v>
      </c>
      <c r="J234" s="6"/>
      <c r="K234" s="6">
        <v>30876</v>
      </c>
    </row>
    <row r="235" spans="1:11" x14ac:dyDescent="0.2">
      <c r="A235" s="5" t="s">
        <v>24</v>
      </c>
      <c r="B235" s="4" t="s">
        <v>22</v>
      </c>
      <c r="C235" s="5">
        <v>178399</v>
      </c>
      <c r="D235" s="5">
        <v>119037</v>
      </c>
      <c r="E235" s="5">
        <v>45</v>
      </c>
      <c r="F235" s="5">
        <v>14</v>
      </c>
      <c r="G235" s="6">
        <f>52/38</f>
        <v>1.368421052631579</v>
      </c>
      <c r="H235" s="6">
        <f>54/38</f>
        <v>1.4210526315789473</v>
      </c>
      <c r="I235" s="6">
        <v>41651</v>
      </c>
      <c r="J235" s="6"/>
      <c r="K235" s="6">
        <v>2324</v>
      </c>
    </row>
    <row r="236" spans="1:11" x14ac:dyDescent="0.2">
      <c r="A236" s="5" t="s">
        <v>52</v>
      </c>
      <c r="B236" s="4" t="s">
        <v>22</v>
      </c>
      <c r="C236" s="5">
        <v>150628</v>
      </c>
      <c r="D236" s="5">
        <v>98872</v>
      </c>
      <c r="E236" s="5">
        <v>40</v>
      </c>
      <c r="F236" s="5">
        <v>15</v>
      </c>
      <c r="G236" s="6">
        <f>43/38</f>
        <v>1.131578947368421</v>
      </c>
      <c r="H236" s="6">
        <f>67/38</f>
        <v>1.763157894736842</v>
      </c>
      <c r="I236" s="6">
        <v>29974</v>
      </c>
      <c r="J236" s="6"/>
      <c r="K236" s="6">
        <v>2532</v>
      </c>
    </row>
    <row r="237" spans="1:11" x14ac:dyDescent="0.2">
      <c r="A237" s="5" t="s">
        <v>36</v>
      </c>
      <c r="B237" s="4" t="s">
        <v>22</v>
      </c>
      <c r="C237" s="5">
        <v>181000</v>
      </c>
      <c r="D237" s="5">
        <v>141390</v>
      </c>
      <c r="E237" s="5">
        <v>39</v>
      </c>
      <c r="F237" s="5">
        <v>16</v>
      </c>
      <c r="G237" s="6">
        <f>43/38</f>
        <v>1.131578947368421</v>
      </c>
      <c r="H237" s="6">
        <f>66/38</f>
        <v>1.736842105263158</v>
      </c>
      <c r="I237" s="6">
        <v>38882</v>
      </c>
      <c r="J237" s="6"/>
      <c r="K237" s="6">
        <v>-5395</v>
      </c>
    </row>
    <row r="238" spans="1:11" x14ac:dyDescent="0.2">
      <c r="A238" s="5" t="s">
        <v>40</v>
      </c>
      <c r="B238" s="4" t="s">
        <v>22</v>
      </c>
      <c r="C238" s="5">
        <v>189207</v>
      </c>
      <c r="D238" s="5">
        <v>106535</v>
      </c>
      <c r="E238" s="5">
        <v>38</v>
      </c>
      <c r="F238" s="5">
        <v>17</v>
      </c>
      <c r="G238" s="6">
        <f>42/38</f>
        <v>1.1052631578947369</v>
      </c>
      <c r="H238" s="6">
        <f>79/38</f>
        <v>2.0789473684210527</v>
      </c>
      <c r="I238" s="6">
        <v>36286</v>
      </c>
      <c r="J238" s="6"/>
      <c r="K238" s="6">
        <f>59.3*830</f>
        <v>49219</v>
      </c>
    </row>
    <row r="239" spans="1:11" x14ac:dyDescent="0.2">
      <c r="A239" s="5" t="s">
        <v>32</v>
      </c>
      <c r="B239" s="4" t="s">
        <v>22</v>
      </c>
      <c r="C239" s="5">
        <v>123407</v>
      </c>
      <c r="D239" s="5">
        <v>82009</v>
      </c>
      <c r="E239" s="5">
        <v>35</v>
      </c>
      <c r="F239" s="5">
        <v>18</v>
      </c>
      <c r="G239" s="6">
        <f>34/38</f>
        <v>0.89473684210526316</v>
      </c>
      <c r="H239" s="6">
        <f>53/38</f>
        <v>1.3947368421052631</v>
      </c>
      <c r="I239" s="6">
        <v>19317</v>
      </c>
      <c r="J239" s="6"/>
      <c r="K239" s="6">
        <f>(49.4-40.5)*1000*0.83</f>
        <v>7386.9999999999982</v>
      </c>
    </row>
    <row r="240" spans="1:11" x14ac:dyDescent="0.2">
      <c r="A240" s="5" t="s">
        <v>57</v>
      </c>
      <c r="B240" s="4" t="s">
        <v>22</v>
      </c>
      <c r="C240" s="5">
        <v>128094</v>
      </c>
      <c r="D240" s="5">
        <v>69230</v>
      </c>
      <c r="E240" s="5">
        <v>23</v>
      </c>
      <c r="F240" s="5">
        <v>19</v>
      </c>
      <c r="G240" s="6">
        <f>34/38</f>
        <v>0.89473684210526316</v>
      </c>
      <c r="H240" s="6">
        <f>77/38</f>
        <v>2.0263157894736841</v>
      </c>
      <c r="I240" s="6">
        <v>20598</v>
      </c>
      <c r="J240" s="6"/>
      <c r="K240" s="6">
        <f>-72*830</f>
        <v>-59760</v>
      </c>
    </row>
    <row r="241" spans="1:11" x14ac:dyDescent="0.2">
      <c r="A241" s="5" t="s">
        <v>47</v>
      </c>
      <c r="B241" s="4" t="s">
        <v>22</v>
      </c>
      <c r="C241" s="5">
        <v>133869</v>
      </c>
      <c r="D241" s="5">
        <v>91048</v>
      </c>
      <c r="E241" s="5">
        <v>22</v>
      </c>
      <c r="F241" s="5">
        <v>20</v>
      </c>
      <c r="G241" s="6">
        <f>23/38</f>
        <v>0.60526315789473684</v>
      </c>
      <c r="H241" s="6">
        <f>84/38</f>
        <v>2.2105263157894739</v>
      </c>
      <c r="I241" s="6">
        <v>26883</v>
      </c>
      <c r="J241" s="6"/>
      <c r="K241" s="6">
        <f>(63.55-38.4)*830</f>
        <v>20874.5</v>
      </c>
    </row>
    <row r="242" spans="1:11" x14ac:dyDescent="0.2">
      <c r="A242" s="5" t="s">
        <v>43</v>
      </c>
      <c r="B242" s="4" t="s">
        <v>23</v>
      </c>
      <c r="C242" s="5">
        <v>712800</v>
      </c>
      <c r="D242" s="5">
        <v>368213</v>
      </c>
      <c r="E242" s="5">
        <v>89</v>
      </c>
      <c r="F242" s="5">
        <v>1</v>
      </c>
      <c r="G242" s="6">
        <f>94/38</f>
        <v>2.4736842105263159</v>
      </c>
      <c r="H242" s="6">
        <f>33/38</f>
        <v>0.86842105263157898</v>
      </c>
      <c r="I242" s="6">
        <v>53249</v>
      </c>
      <c r="J242" s="6"/>
      <c r="K242" s="6">
        <v>-5951</v>
      </c>
    </row>
    <row r="243" spans="1:11" x14ac:dyDescent="0.2">
      <c r="A243" s="5" t="s">
        <v>8</v>
      </c>
      <c r="B243" s="4" t="s">
        <v>23</v>
      </c>
      <c r="C243" s="5">
        <v>428453</v>
      </c>
      <c r="D243" s="5">
        <v>196168</v>
      </c>
      <c r="E243" s="5">
        <v>84</v>
      </c>
      <c r="F243" s="5">
        <v>2</v>
      </c>
      <c r="G243" s="6">
        <f>88/38</f>
        <v>2.3157894736842106</v>
      </c>
      <c r="H243" s="6">
        <f>43/38</f>
        <v>1.131578947368421</v>
      </c>
      <c r="I243" s="6">
        <v>60191</v>
      </c>
      <c r="J243" s="6"/>
      <c r="K243" s="6">
        <f>(186400-23800)*0.83</f>
        <v>134958</v>
      </c>
    </row>
    <row r="244" spans="1:11" x14ac:dyDescent="0.2">
      <c r="A244" s="5" t="s">
        <v>44</v>
      </c>
      <c r="B244" s="4" t="s">
        <v>23</v>
      </c>
      <c r="C244" s="5">
        <v>601313</v>
      </c>
      <c r="D244" s="5">
        <v>276596</v>
      </c>
      <c r="E244" s="5">
        <v>75</v>
      </c>
      <c r="F244" s="5">
        <v>3</v>
      </c>
      <c r="G244" s="6">
        <f>58/38</f>
        <v>1.5263157894736843</v>
      </c>
      <c r="H244" s="6">
        <f>43/38</f>
        <v>1.131578947368421</v>
      </c>
      <c r="I244" s="6">
        <v>73815</v>
      </c>
      <c r="J244" s="6"/>
      <c r="K244" s="6">
        <f>(243.28-23.65)*1000*0.83</f>
        <v>182292.9</v>
      </c>
    </row>
    <row r="245" spans="1:11" x14ac:dyDescent="0.2">
      <c r="A245" s="5" t="s">
        <v>46</v>
      </c>
      <c r="B245" s="4" t="s">
        <v>23</v>
      </c>
      <c r="C245" s="5">
        <v>249865</v>
      </c>
      <c r="D245" s="5">
        <v>164586</v>
      </c>
      <c r="E245" s="5">
        <v>71</v>
      </c>
      <c r="F245" s="5">
        <v>4</v>
      </c>
      <c r="G245" s="6">
        <f>68/38</f>
        <v>1.7894736842105263</v>
      </c>
      <c r="H245" s="6">
        <f>33/38</f>
        <v>0.86842105263157898</v>
      </c>
      <c r="I245" s="6">
        <v>52127</v>
      </c>
      <c r="J245" s="6"/>
      <c r="K245" s="6">
        <f>(185-14.06)*1000*0.83</f>
        <v>141880.19999999998</v>
      </c>
    </row>
    <row r="246" spans="1:11" x14ac:dyDescent="0.2">
      <c r="A246" s="5" t="s">
        <v>42</v>
      </c>
      <c r="B246" s="4" t="s">
        <v>23</v>
      </c>
      <c r="C246" s="5">
        <v>593836</v>
      </c>
      <c r="D246" s="5">
        <v>329980</v>
      </c>
      <c r="E246" s="5">
        <v>67</v>
      </c>
      <c r="F246" s="5">
        <v>5</v>
      </c>
      <c r="G246" s="6">
        <f>75/38</f>
        <v>1.9736842105263157</v>
      </c>
      <c r="H246" s="6">
        <f>47/38</f>
        <v>1.236842105263158</v>
      </c>
      <c r="I246" s="6">
        <v>53184</v>
      </c>
      <c r="J246" s="6"/>
      <c r="K246" s="6">
        <f>(145.8-80.7)*1000*0.83</f>
        <v>54033</v>
      </c>
    </row>
    <row r="247" spans="1:11" x14ac:dyDescent="0.2">
      <c r="A247" s="5" t="s">
        <v>31</v>
      </c>
      <c r="B247" s="4" t="s">
        <v>23</v>
      </c>
      <c r="C247" s="5">
        <v>203574</v>
      </c>
      <c r="D247" s="5">
        <v>109446</v>
      </c>
      <c r="E247" s="5">
        <v>62</v>
      </c>
      <c r="F247" s="5">
        <v>6</v>
      </c>
      <c r="G247" s="6">
        <f>72/38</f>
        <v>1.8947368421052631</v>
      </c>
      <c r="H247" s="6">
        <f>53/38</f>
        <v>1.3947368421052631</v>
      </c>
      <c r="I247" s="6">
        <v>31477</v>
      </c>
      <c r="J247" s="6"/>
      <c r="K247" s="6">
        <v>-68641</v>
      </c>
    </row>
    <row r="248" spans="1:11" x14ac:dyDescent="0.2">
      <c r="A248" s="5" t="s">
        <v>24</v>
      </c>
      <c r="B248" s="4" t="s">
        <v>23</v>
      </c>
      <c r="C248" s="5">
        <v>217694</v>
      </c>
      <c r="D248" s="5">
        <v>168892</v>
      </c>
      <c r="E248" s="5">
        <v>61</v>
      </c>
      <c r="F248" s="5">
        <v>7</v>
      </c>
      <c r="G248" s="6">
        <f>51/38</f>
        <v>1.3421052631578947</v>
      </c>
      <c r="H248" s="6">
        <f>46/38</f>
        <v>1.2105263157894737</v>
      </c>
      <c r="I248" s="6">
        <v>41707</v>
      </c>
      <c r="J248" s="6"/>
      <c r="K248" s="6">
        <v>48970</v>
      </c>
    </row>
    <row r="249" spans="1:11" x14ac:dyDescent="0.2">
      <c r="A249" s="5" t="s">
        <v>56</v>
      </c>
      <c r="B249" s="4" t="s">
        <v>23</v>
      </c>
      <c r="C249" s="5">
        <v>549633</v>
      </c>
      <c r="D249" s="5">
        <v>218897</v>
      </c>
      <c r="E249" s="5">
        <v>60</v>
      </c>
      <c r="F249" s="5">
        <v>8</v>
      </c>
      <c r="G249" s="6">
        <f>70/38</f>
        <v>1.8421052631578947</v>
      </c>
      <c r="H249" s="6">
        <f>63/38</f>
        <v>1.6578947368421053</v>
      </c>
      <c r="I249" s="6">
        <v>61585</v>
      </c>
      <c r="J249" s="6"/>
      <c r="K249" s="6">
        <f>(179.9-38.75)*1000*0.83</f>
        <v>117154.5</v>
      </c>
    </row>
    <row r="250" spans="1:11" x14ac:dyDescent="0.2">
      <c r="A250" s="5" t="s">
        <v>30</v>
      </c>
      <c r="B250" s="4" t="s">
        <v>23</v>
      </c>
      <c r="C250" s="5">
        <v>166508</v>
      </c>
      <c r="D250" s="5">
        <v>86152</v>
      </c>
      <c r="E250" s="5">
        <v>59</v>
      </c>
      <c r="F250" s="5">
        <v>9</v>
      </c>
      <c r="G250" s="6">
        <f>58/38</f>
        <v>1.5263157894736843</v>
      </c>
      <c r="H250" s="6">
        <f>46/38</f>
        <v>1.2105263157894737</v>
      </c>
      <c r="I250" s="6">
        <v>17080</v>
      </c>
      <c r="J250" s="6"/>
      <c r="K250" s="6">
        <v>37890</v>
      </c>
    </row>
    <row r="251" spans="1:11" x14ac:dyDescent="0.2">
      <c r="A251" s="5" t="s">
        <v>37</v>
      </c>
      <c r="B251" s="4" t="s">
        <v>23</v>
      </c>
      <c r="C251" s="5">
        <v>182325</v>
      </c>
      <c r="D251" s="5">
        <v>121511</v>
      </c>
      <c r="E251" s="5">
        <v>52</v>
      </c>
      <c r="F251" s="5">
        <v>10</v>
      </c>
      <c r="G251" s="6">
        <f>55/38</f>
        <v>1.4473684210526316</v>
      </c>
      <c r="H251" s="6">
        <f>53/38</f>
        <v>1.3947368421052631</v>
      </c>
      <c r="I251" s="6">
        <v>23766</v>
      </c>
      <c r="J251" s="6"/>
      <c r="K251" s="6">
        <v>42081</v>
      </c>
    </row>
    <row r="252" spans="1:11" x14ac:dyDescent="0.2">
      <c r="A252" s="5" t="s">
        <v>35</v>
      </c>
      <c r="B252" s="4" t="s">
        <v>23</v>
      </c>
      <c r="C252" s="5">
        <v>180066</v>
      </c>
      <c r="D252" s="5">
        <v>114191</v>
      </c>
      <c r="E252" s="5">
        <v>45</v>
      </c>
      <c r="F252" s="5">
        <v>11</v>
      </c>
      <c r="G252" s="6">
        <f>40/38</f>
        <v>1.0526315789473684</v>
      </c>
      <c r="H252" s="6">
        <f>49/38</f>
        <v>1.2894736842105263</v>
      </c>
      <c r="I252" s="6">
        <v>25051</v>
      </c>
      <c r="J252" s="6"/>
      <c r="K252" s="6">
        <f>(46.6-5.46)*1000*0.83</f>
        <v>34146.199999999997</v>
      </c>
    </row>
    <row r="253" spans="1:11" x14ac:dyDescent="0.2">
      <c r="A253" s="5" t="s">
        <v>34</v>
      </c>
      <c r="B253" s="4" t="s">
        <v>23</v>
      </c>
      <c r="C253" s="5">
        <v>512467</v>
      </c>
      <c r="D253" s="5">
        <v>352355</v>
      </c>
      <c r="E253" s="5">
        <v>44</v>
      </c>
      <c r="F253" s="5">
        <v>12</v>
      </c>
      <c r="G253" s="6">
        <f>38/38</f>
        <v>1</v>
      </c>
      <c r="H253" s="6">
        <f>47/38</f>
        <v>1.236842105263158</v>
      </c>
      <c r="I253" s="6">
        <v>40002</v>
      </c>
      <c r="J253" s="6"/>
      <c r="K253" s="6">
        <v>466784</v>
      </c>
    </row>
    <row r="254" spans="1:11" x14ac:dyDescent="0.2">
      <c r="A254" s="5" t="s">
        <v>61</v>
      </c>
      <c r="B254" s="4" t="s">
        <v>23</v>
      </c>
      <c r="C254" s="5">
        <v>168575</v>
      </c>
      <c r="D254" s="5">
        <v>123816</v>
      </c>
      <c r="E254" s="5">
        <v>41</v>
      </c>
      <c r="F254" s="5">
        <v>13</v>
      </c>
      <c r="G254" s="6">
        <f>31/38</f>
        <v>0.81578947368421051</v>
      </c>
      <c r="H254" s="6">
        <f>58/38</f>
        <v>1.5263157894736843</v>
      </c>
      <c r="I254" s="6">
        <v>31423</v>
      </c>
      <c r="J254" s="6"/>
      <c r="K254" s="6">
        <v>96811</v>
      </c>
    </row>
    <row r="255" spans="1:11" x14ac:dyDescent="0.2">
      <c r="A255" s="5" t="s">
        <v>59</v>
      </c>
      <c r="B255" s="4" t="s">
        <v>23</v>
      </c>
      <c r="C255" s="5">
        <v>236656</v>
      </c>
      <c r="D255" s="5">
        <v>118823</v>
      </c>
      <c r="E255" s="5">
        <v>40</v>
      </c>
      <c r="F255" s="5">
        <v>14</v>
      </c>
      <c r="G255" s="6">
        <f>42/38</f>
        <v>1.1052631578947369</v>
      </c>
      <c r="H255" s="6">
        <f>55/38</f>
        <v>1.4473684210526316</v>
      </c>
      <c r="I255" s="6">
        <v>62462</v>
      </c>
      <c r="J255" s="6"/>
      <c r="K255" s="6">
        <v>145292</v>
      </c>
    </row>
    <row r="256" spans="1:11" x14ac:dyDescent="0.2">
      <c r="A256" s="5" t="s">
        <v>29</v>
      </c>
      <c r="B256" s="4" t="s">
        <v>23</v>
      </c>
      <c r="C256" s="5">
        <v>140983</v>
      </c>
      <c r="D256" s="5">
        <v>87832</v>
      </c>
      <c r="E256" s="5">
        <v>39</v>
      </c>
      <c r="F256" s="5">
        <v>15</v>
      </c>
      <c r="G256" s="6">
        <f>37/38</f>
        <v>0.97368421052631582</v>
      </c>
      <c r="H256" s="6">
        <f>71/38</f>
        <v>1.868421052631579</v>
      </c>
      <c r="I256" s="6">
        <v>10307</v>
      </c>
      <c r="J256" s="6"/>
      <c r="K256" s="6">
        <v>68973</v>
      </c>
    </row>
    <row r="257" spans="1:11" x14ac:dyDescent="0.2">
      <c r="A257" s="5" t="s">
        <v>48</v>
      </c>
      <c r="B257" s="4" t="s">
        <v>23</v>
      </c>
      <c r="C257" s="5">
        <v>154758</v>
      </c>
      <c r="D257" s="5">
        <v>129718</v>
      </c>
      <c r="E257" s="5">
        <v>38</v>
      </c>
      <c r="F257" s="5">
        <v>16</v>
      </c>
      <c r="G257" s="6">
        <f>38/38</f>
        <v>1</v>
      </c>
      <c r="H257" s="6">
        <f>68/38</f>
        <v>1.7894736842105263</v>
      </c>
      <c r="I257" s="6">
        <v>29188</v>
      </c>
      <c r="J257" s="6"/>
      <c r="K257" s="6">
        <f>(198.35-5)*830</f>
        <v>160480.5</v>
      </c>
    </row>
    <row r="258" spans="1:11" x14ac:dyDescent="0.2">
      <c r="A258" s="5" t="s">
        <v>36</v>
      </c>
      <c r="B258" s="4" t="s">
        <v>23</v>
      </c>
      <c r="C258" s="5">
        <v>172200</v>
      </c>
      <c r="D258" s="5">
        <v>138394</v>
      </c>
      <c r="E258" s="5">
        <v>36</v>
      </c>
      <c r="F258" s="5">
        <v>17</v>
      </c>
      <c r="G258" s="6">
        <f>34/38</f>
        <v>0.89473684210526316</v>
      </c>
      <c r="H258" s="6">
        <f>57/38</f>
        <v>1.5</v>
      </c>
      <c r="I258" s="6">
        <v>39241</v>
      </c>
      <c r="J258" s="6"/>
      <c r="K258" s="6">
        <v>-17040</v>
      </c>
    </row>
    <row r="259" spans="1:11" x14ac:dyDescent="0.2">
      <c r="A259" s="5" t="s">
        <v>41</v>
      </c>
      <c r="B259" s="4" t="s">
        <v>23</v>
      </c>
      <c r="C259" s="5">
        <v>177326</v>
      </c>
      <c r="D259" s="5">
        <v>171950</v>
      </c>
      <c r="E259" s="5">
        <v>34</v>
      </c>
      <c r="F259" s="5">
        <v>18</v>
      </c>
      <c r="G259" s="6">
        <f>51/38</f>
        <v>1.3421052631578947</v>
      </c>
      <c r="H259" s="6">
        <f>68/38</f>
        <v>1.7894736842105263</v>
      </c>
      <c r="I259" s="6">
        <v>31887</v>
      </c>
      <c r="J259" s="6"/>
      <c r="K259" s="6">
        <f>(49-81.4)*1000*0.83</f>
        <v>-26892.000000000004</v>
      </c>
    </row>
    <row r="260" spans="1:11" x14ac:dyDescent="0.2">
      <c r="A260" s="5" t="s">
        <v>40</v>
      </c>
      <c r="B260" s="4" t="s">
        <v>23</v>
      </c>
      <c r="C260" s="5">
        <v>189684</v>
      </c>
      <c r="D260" s="5">
        <v>129398</v>
      </c>
      <c r="E260" s="5">
        <v>31</v>
      </c>
      <c r="F260" s="5">
        <v>19</v>
      </c>
      <c r="G260" s="6">
        <f>48/38</f>
        <v>1.263157894736842</v>
      </c>
      <c r="H260" s="6">
        <f>78/38</f>
        <v>2.0526315789473686</v>
      </c>
      <c r="I260" s="6">
        <v>36566</v>
      </c>
      <c r="J260" s="6"/>
      <c r="K260" s="6">
        <f>(163.89-114.5)*830</f>
        <v>40993.69999999999</v>
      </c>
    </row>
    <row r="261" spans="1:11" x14ac:dyDescent="0.2">
      <c r="A261" s="8" t="s">
        <v>52</v>
      </c>
      <c r="B261" s="7" t="s">
        <v>23</v>
      </c>
      <c r="C261" s="8">
        <v>145467</v>
      </c>
      <c r="D261" s="8">
        <v>105478</v>
      </c>
      <c r="E261" s="8">
        <v>25</v>
      </c>
      <c r="F261" s="8">
        <v>20</v>
      </c>
      <c r="G261" s="9">
        <f>36/38</f>
        <v>0.94736842105263153</v>
      </c>
      <c r="H261" s="9">
        <f>73/38</f>
        <v>1.9210526315789473</v>
      </c>
      <c r="I261" s="9">
        <v>30416</v>
      </c>
      <c r="J261" s="9"/>
      <c r="K261" s="9">
        <v>122516</v>
      </c>
    </row>
  </sheetData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Q313"/>
  <sheetViews>
    <sheetView topLeftCell="B280" workbookViewId="0">
      <selection activeCell="K304" sqref="K304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7" width="11.33203125" customWidth="1"/>
    <col min="8" max="8" width="13.8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11" t="s">
        <v>84</v>
      </c>
      <c r="I1" s="3" t="s">
        <v>82</v>
      </c>
      <c r="J1" s="3" t="s">
        <v>6</v>
      </c>
    </row>
    <row r="2" spans="1:17" ht="16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f>32/46</f>
        <v>0.69565217391304346</v>
      </c>
      <c r="I2" s="6">
        <v>15616</v>
      </c>
      <c r="J2" s="6"/>
    </row>
    <row r="3" spans="1:17" ht="16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f>58/46</f>
        <v>1.2608695652173914</v>
      </c>
      <c r="I3" s="6">
        <v>25399</v>
      </c>
      <c r="J3" s="6"/>
      <c r="K3" t="s">
        <v>9</v>
      </c>
      <c r="O3" s="10"/>
      <c r="P3" s="10"/>
      <c r="Q3" s="10"/>
    </row>
    <row r="4" spans="1:17" ht="16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f>42/46</f>
        <v>0.91304347826086951</v>
      </c>
      <c r="I4" s="6">
        <v>15507</v>
      </c>
      <c r="J4" s="6"/>
      <c r="K4" t="s">
        <v>11</v>
      </c>
      <c r="L4">
        <v>0.83</v>
      </c>
      <c r="M4" t="s">
        <v>12</v>
      </c>
    </row>
    <row r="5" spans="1:17" ht="16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f>54/46</f>
        <v>1.173913043478261</v>
      </c>
      <c r="I5" s="6">
        <v>23194</v>
      </c>
      <c r="J5" s="6"/>
    </row>
    <row r="6" spans="1:17" ht="16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f>51/46</f>
        <v>1.1086956521739131</v>
      </c>
      <c r="I6" s="6">
        <v>17682</v>
      </c>
      <c r="J6" s="6"/>
    </row>
    <row r="7" spans="1:17" ht="16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f>50/46</f>
        <v>1.0869565217391304</v>
      </c>
      <c r="I7" s="6">
        <v>23275</v>
      </c>
      <c r="J7" s="6"/>
    </row>
    <row r="8" spans="1:17" ht="16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f>70/46</f>
        <v>1.5217391304347827</v>
      </c>
      <c r="I8" s="6">
        <v>27299</v>
      </c>
      <c r="J8" s="6"/>
    </row>
    <row r="9" spans="1:17" ht="16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f>61/46</f>
        <v>1.326086956521739</v>
      </c>
      <c r="I9" s="6">
        <v>14931</v>
      </c>
      <c r="J9" s="6"/>
    </row>
    <row r="10" spans="1:17" ht="16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f>48/46</f>
        <v>1.0434782608695652</v>
      </c>
      <c r="I10" s="6">
        <v>12439</v>
      </c>
      <c r="J10" s="6"/>
    </row>
    <row r="11" spans="1:17" ht="16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f>71/46</f>
        <v>1.5434782608695652</v>
      </c>
      <c r="I11" s="6">
        <v>23666</v>
      </c>
      <c r="J11" s="6"/>
    </row>
    <row r="12" spans="1:17" ht="16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f>51/46</f>
        <v>1.1086956521739131</v>
      </c>
      <c r="I12" s="6">
        <v>21169</v>
      </c>
      <c r="J12" s="6"/>
    </row>
    <row r="13" spans="1:17" ht="16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f>68/46</f>
        <v>1.4782608695652173</v>
      </c>
      <c r="I13" s="6">
        <v>16269</v>
      </c>
      <c r="J13" s="6"/>
    </row>
    <row r="14" spans="1:17" ht="16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f>68/46</f>
        <v>1.4782608695652173</v>
      </c>
      <c r="I14" s="6">
        <v>19615</v>
      </c>
      <c r="J14" s="6"/>
    </row>
    <row r="15" spans="1:17" ht="16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f>71/46</f>
        <v>1.5434782608695652</v>
      </c>
      <c r="I15" s="6">
        <v>13152</v>
      </c>
      <c r="J15" s="6"/>
    </row>
    <row r="16" spans="1:17" ht="16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f>65/46</f>
        <v>1.4130434782608696</v>
      </c>
      <c r="I16" s="6">
        <v>14605</v>
      </c>
      <c r="J16" s="6"/>
    </row>
    <row r="17" spans="1:10" ht="16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f>60/46</f>
        <v>1.3043478260869565</v>
      </c>
      <c r="I17" s="6">
        <v>15707</v>
      </c>
      <c r="J17" s="6"/>
    </row>
    <row r="18" spans="1:10" ht="16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f>66/46</f>
        <v>1.4347826086956521</v>
      </c>
      <c r="I18" s="6">
        <v>11856</v>
      </c>
      <c r="J18" s="6"/>
    </row>
    <row r="19" spans="1:10" ht="16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f>58/46</f>
        <v>1.2608695652173914</v>
      </c>
      <c r="I19" s="6">
        <v>16310</v>
      </c>
      <c r="J19" s="6"/>
    </row>
    <row r="20" spans="1:10" ht="16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f>71/46</f>
        <v>1.5434782608695652</v>
      </c>
      <c r="I20" s="6">
        <v>26023</v>
      </c>
      <c r="J20" s="6"/>
    </row>
    <row r="21" spans="1:10" ht="16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f>69/46</f>
        <v>1.5</v>
      </c>
      <c r="I21" s="6">
        <v>15351</v>
      </c>
      <c r="J21" s="6"/>
    </row>
    <row r="22" spans="1:10" ht="16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f>81/46</f>
        <v>1.7608695652173914</v>
      </c>
      <c r="I22" s="6">
        <v>10258</v>
      </c>
      <c r="J22" s="6"/>
    </row>
    <row r="23" spans="1:10" ht="16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f>79/46</f>
        <v>1.7173913043478262</v>
      </c>
      <c r="I23" s="6">
        <v>11768</v>
      </c>
      <c r="J23" s="6"/>
    </row>
    <row r="24" spans="1:10" ht="16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f>79/46</f>
        <v>1.7173913043478262</v>
      </c>
      <c r="I24" s="6">
        <v>20632</v>
      </c>
      <c r="J24" s="6"/>
    </row>
    <row r="25" spans="1:10" ht="16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f>87/46</f>
        <v>1.8913043478260869</v>
      </c>
      <c r="I25" s="6">
        <v>5548</v>
      </c>
      <c r="J25" s="6"/>
    </row>
    <row r="26" spans="1:10" ht="16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f>41/46</f>
        <v>0.89130434782608692</v>
      </c>
      <c r="I26" s="6">
        <v>19219</v>
      </c>
      <c r="J26" s="6"/>
    </row>
    <row r="27" spans="1:10" ht="16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f>46/46</f>
        <v>1</v>
      </c>
      <c r="I27" s="6">
        <v>26420</v>
      </c>
      <c r="J27" s="6"/>
    </row>
    <row r="28" spans="1:10" ht="16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f>48/46</f>
        <v>1.0434782608695652</v>
      </c>
      <c r="I28" s="6">
        <v>30923</v>
      </c>
      <c r="J28" s="6"/>
    </row>
    <row r="29" spans="1:10" ht="16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f>51/46</f>
        <v>1.1086956521739131</v>
      </c>
      <c r="I29" s="6">
        <v>19127</v>
      </c>
      <c r="J29" s="6"/>
    </row>
    <row r="30" spans="1:10" ht="16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f>59/46</f>
        <v>1.2826086956521738</v>
      </c>
      <c r="I30" s="6">
        <v>12764</v>
      </c>
      <c r="J30" s="6"/>
    </row>
    <row r="31" spans="1:10" ht="16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f>53/46</f>
        <v>1.1521739130434783</v>
      </c>
      <c r="I31" s="6">
        <v>22100</v>
      </c>
      <c r="J31" s="6"/>
    </row>
    <row r="32" spans="1:10" ht="16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f>51/46</f>
        <v>1.1086956521739131</v>
      </c>
      <c r="I32" s="6">
        <v>17558</v>
      </c>
      <c r="J32" s="6"/>
    </row>
    <row r="33" spans="1:10" ht="16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f>44/46</f>
        <v>0.95652173913043481</v>
      </c>
      <c r="I33" s="6">
        <v>18790</v>
      </c>
      <c r="J33" s="6"/>
    </row>
    <row r="34" spans="1:10" ht="16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f>55/46</f>
        <v>1.1956521739130435</v>
      </c>
      <c r="I34" s="6">
        <v>23037</v>
      </c>
      <c r="J34" s="6"/>
    </row>
    <row r="35" spans="1:10" ht="16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f>52/46</f>
        <v>1.1304347826086956</v>
      </c>
      <c r="I35" s="6">
        <v>20028</v>
      </c>
      <c r="J35" s="6"/>
    </row>
    <row r="36" spans="1:10" ht="16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f>64/46</f>
        <v>1.3913043478260869</v>
      </c>
      <c r="I36" s="6">
        <v>12704</v>
      </c>
      <c r="J36" s="6"/>
    </row>
    <row r="37" spans="1:10" ht="16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f>58/46</f>
        <v>1.2608695652173914</v>
      </c>
      <c r="I37" s="6">
        <v>26020</v>
      </c>
      <c r="J37" s="6"/>
    </row>
    <row r="38" spans="1:10" ht="16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f>58/46</f>
        <v>1.2608695652173914</v>
      </c>
      <c r="I38" s="6">
        <v>14048</v>
      </c>
      <c r="J38" s="6"/>
    </row>
    <row r="39" spans="1:10" ht="16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f>68/46</f>
        <v>1.4782608695652173</v>
      </c>
      <c r="I39" s="6">
        <v>23283</v>
      </c>
      <c r="J39" s="6"/>
    </row>
    <row r="40" spans="1:10" ht="16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f>77/46</f>
        <v>1.673913043478261</v>
      </c>
      <c r="I40" s="6">
        <v>18267</v>
      </c>
      <c r="J40" s="6"/>
    </row>
    <row r="41" spans="1:10" ht="16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f>57/46</f>
        <v>1.2391304347826086</v>
      </c>
      <c r="I41" s="6">
        <v>11484</v>
      </c>
      <c r="J41" s="6"/>
    </row>
    <row r="42" spans="1:10" ht="16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f>51/46</f>
        <v>1.1086956521739131</v>
      </c>
      <c r="I42" s="6">
        <v>15219</v>
      </c>
      <c r="J42" s="6"/>
    </row>
    <row r="43" spans="1:10" ht="16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f>77/46</f>
        <v>1.673913043478261</v>
      </c>
      <c r="I43" s="6">
        <v>9111</v>
      </c>
      <c r="J43" s="6"/>
    </row>
    <row r="44" spans="1:10" ht="16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f>63/46</f>
        <v>1.3695652173913044</v>
      </c>
      <c r="I44" s="6">
        <v>21970</v>
      </c>
      <c r="J44" s="6"/>
    </row>
    <row r="45" spans="1:10" ht="16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f>68/46</f>
        <v>1.4782608695652173</v>
      </c>
      <c r="I45" s="6">
        <v>13846</v>
      </c>
      <c r="J45" s="6"/>
    </row>
    <row r="46" spans="1:10" ht="16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f>74/46</f>
        <v>1.6086956521739131</v>
      </c>
      <c r="I46" s="6">
        <v>10332</v>
      </c>
      <c r="J46" s="6"/>
    </row>
    <row r="47" spans="1:10" ht="16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f>59/46</f>
        <v>1.2826086956521738</v>
      </c>
      <c r="I47" s="6">
        <v>14992</v>
      </c>
      <c r="J47" s="6"/>
    </row>
    <row r="48" spans="1:10" ht="16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f>65/46</f>
        <v>1.4130434782608696</v>
      </c>
      <c r="I48" s="6">
        <v>15119</v>
      </c>
      <c r="J48" s="6"/>
    </row>
    <row r="49" spans="1:10" ht="16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f>80/46</f>
        <v>1.7391304347826086</v>
      </c>
      <c r="I49" s="6">
        <v>9341</v>
      </c>
      <c r="J49" s="6"/>
    </row>
    <row r="50" spans="1:10" ht="16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f>45/46</f>
        <v>0.97826086956521741</v>
      </c>
      <c r="I50" s="6">
        <v>22999</v>
      </c>
      <c r="J50" s="6"/>
    </row>
    <row r="51" spans="1:10" ht="16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f>52/46</f>
        <v>1.1304347826086956</v>
      </c>
      <c r="I51" s="6">
        <v>17369</v>
      </c>
      <c r="J51" s="6"/>
    </row>
    <row r="52" spans="1:10" ht="16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f>58/46</f>
        <v>1.2608695652173914</v>
      </c>
      <c r="I52" s="6">
        <v>13454</v>
      </c>
      <c r="J52" s="6"/>
    </row>
    <row r="53" spans="1:10" ht="16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f>43/46</f>
        <v>0.93478260869565222</v>
      </c>
      <c r="I53" s="6">
        <v>26236</v>
      </c>
      <c r="J53" s="6"/>
    </row>
    <row r="54" spans="1:10" ht="16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f>62/46</f>
        <v>1.3478260869565217</v>
      </c>
      <c r="I54" s="6">
        <v>17284</v>
      </c>
      <c r="J54" s="6"/>
    </row>
    <row r="55" spans="1:10" ht="16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f>48/46</f>
        <v>1.0434782608695652</v>
      </c>
      <c r="I55" s="6">
        <v>22055</v>
      </c>
      <c r="J55" s="6"/>
    </row>
    <row r="56" spans="1:10" ht="16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f>61/46</f>
        <v>1.326086956521739</v>
      </c>
      <c r="I56" s="6">
        <v>18034</v>
      </c>
      <c r="J56" s="6"/>
    </row>
    <row r="57" spans="1:10" ht="16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f>59/46</f>
        <v>1.2826086956521738</v>
      </c>
      <c r="I57" s="6">
        <v>23082</v>
      </c>
      <c r="J57" s="6"/>
    </row>
    <row r="58" spans="1:10" ht="16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f>59/46</f>
        <v>1.2826086956521738</v>
      </c>
      <c r="I58" s="6">
        <v>18499</v>
      </c>
      <c r="J58" s="6"/>
    </row>
    <row r="59" spans="1:10" ht="16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f>62/46</f>
        <v>1.3478260869565217</v>
      </c>
      <c r="I59" s="6">
        <v>23228</v>
      </c>
      <c r="J59" s="6"/>
    </row>
    <row r="60" spans="1:10" ht="16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f>60/46</f>
        <v>1.3043478260869565</v>
      </c>
      <c r="I60" s="6">
        <v>12928</v>
      </c>
      <c r="J60" s="6"/>
    </row>
    <row r="61" spans="1:10" ht="16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f>69/46</f>
        <v>1.5</v>
      </c>
      <c r="I61" s="6">
        <v>16703</v>
      </c>
      <c r="J61" s="6"/>
    </row>
    <row r="62" spans="1:10" ht="16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f>66/46</f>
        <v>1.4347826086956521</v>
      </c>
      <c r="I62" s="6">
        <v>21572</v>
      </c>
      <c r="J62" s="6"/>
    </row>
    <row r="63" spans="1:10" ht="16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f>61/46</f>
        <v>1.326086956521739</v>
      </c>
      <c r="I63" s="6">
        <v>17526</v>
      </c>
      <c r="J63" s="6"/>
    </row>
    <row r="64" spans="1:10" ht="16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f>63/46</f>
        <v>1.3695652173913044</v>
      </c>
      <c r="I64" s="6">
        <v>13917</v>
      </c>
      <c r="J64" s="6"/>
    </row>
    <row r="65" spans="1:10" ht="16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f>70/46</f>
        <v>1.5217391304347827</v>
      </c>
      <c r="I65" s="6">
        <v>16794</v>
      </c>
      <c r="J65" s="6"/>
    </row>
    <row r="66" spans="1:10" ht="16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f>62/46</f>
        <v>1.3478260869565217</v>
      </c>
      <c r="I66" s="6">
        <v>14997</v>
      </c>
      <c r="J66" s="6"/>
    </row>
    <row r="67" spans="1:10" ht="16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f>61/46</f>
        <v>1.326086956521739</v>
      </c>
      <c r="I67" s="6">
        <v>24078</v>
      </c>
      <c r="J67" s="6"/>
    </row>
    <row r="68" spans="1:10" ht="16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f>73/46</f>
        <v>1.5869565217391304</v>
      </c>
      <c r="I68" s="6">
        <v>14978</v>
      </c>
      <c r="J68" s="6"/>
    </row>
    <row r="69" spans="1:10" ht="16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f>62/46</f>
        <v>1.3478260869565217</v>
      </c>
      <c r="I69" s="6">
        <v>10559</v>
      </c>
      <c r="J69" s="6"/>
    </row>
    <row r="70" spans="1:10" ht="16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f>70/46</f>
        <v>1.5217391304347827</v>
      </c>
      <c r="I70" s="6">
        <v>10207</v>
      </c>
      <c r="J70" s="6"/>
    </row>
    <row r="71" spans="1:10" ht="16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f>75/46</f>
        <v>1.6304347826086956</v>
      </c>
      <c r="I71" s="6">
        <v>8215</v>
      </c>
      <c r="J71" s="6"/>
    </row>
    <row r="72" spans="1:10" ht="16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f>69/46</f>
        <v>1.5</v>
      </c>
      <c r="I72" s="6">
        <v>21773</v>
      </c>
      <c r="J72" s="6"/>
    </row>
    <row r="73" spans="1:10" ht="16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f>84/46</f>
        <v>1.826086956521739</v>
      </c>
      <c r="I73" s="6">
        <v>13348</v>
      </c>
      <c r="J73" s="6"/>
    </row>
    <row r="74" spans="1:10" ht="16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f>43/46</f>
        <v>0.93478260869565222</v>
      </c>
      <c r="I74" s="6">
        <v>24995</v>
      </c>
      <c r="J74" s="6"/>
    </row>
    <row r="75" spans="1:10" ht="16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f>37/46</f>
        <v>0.80434782608695654</v>
      </c>
      <c r="I75" s="6">
        <v>13719</v>
      </c>
      <c r="J75" s="6"/>
    </row>
    <row r="76" spans="1:10" ht="16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f>52/46</f>
        <v>1.1304347826086956</v>
      </c>
      <c r="I76" s="6">
        <v>24936</v>
      </c>
      <c r="J76" s="6"/>
    </row>
    <row r="77" spans="1:10" ht="16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f>44/46</f>
        <v>0.95652173913043481</v>
      </c>
      <c r="I77" s="6">
        <v>16656</v>
      </c>
      <c r="J77" s="6"/>
    </row>
    <row r="78" spans="1:10" ht="16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f>48/46</f>
        <v>1.0434782608695652</v>
      </c>
      <c r="I78" s="6">
        <v>15177</v>
      </c>
      <c r="J78" s="6"/>
    </row>
    <row r="79" spans="1:10" ht="16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f>40/46</f>
        <v>0.86956521739130432</v>
      </c>
      <c r="I79" s="6">
        <v>27283</v>
      </c>
      <c r="J79" s="6"/>
    </row>
    <row r="80" spans="1:10" ht="16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f>56/46</f>
        <v>1.2173913043478262</v>
      </c>
      <c r="I80" s="6">
        <v>19171</v>
      </c>
      <c r="J80" s="6"/>
    </row>
    <row r="81" spans="1:10" ht="16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f>62/46</f>
        <v>1.3478260869565217</v>
      </c>
      <c r="I81" s="6">
        <v>14962</v>
      </c>
      <c r="J81" s="6"/>
    </row>
    <row r="82" spans="1:10" ht="16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f>54/46</f>
        <v>1.173913043478261</v>
      </c>
      <c r="I82" s="6">
        <v>17108</v>
      </c>
      <c r="J82" s="6"/>
    </row>
    <row r="83" spans="1:10" ht="16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f>66/46</f>
        <v>1.4347826086956521</v>
      </c>
      <c r="I83" s="6">
        <v>9952</v>
      </c>
      <c r="J83" s="6"/>
    </row>
    <row r="84" spans="1:10" ht="16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f>64/46</f>
        <v>1.3913043478260869</v>
      </c>
      <c r="I84" s="6">
        <v>22630</v>
      </c>
      <c r="J84" s="6"/>
    </row>
    <row r="85" spans="1:10" ht="16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f>50/46</f>
        <v>1.0869565217391304</v>
      </c>
      <c r="I85" s="6">
        <v>15748</v>
      </c>
      <c r="J85" s="6"/>
    </row>
    <row r="86" spans="1:10" ht="16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f>64/46</f>
        <v>1.3913043478260869</v>
      </c>
      <c r="I86" s="6">
        <v>15512</v>
      </c>
      <c r="J86" s="6"/>
    </row>
    <row r="87" spans="1:10" ht="16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f>60/46</f>
        <v>1.3043478260869565</v>
      </c>
      <c r="I87" s="6">
        <v>16141</v>
      </c>
      <c r="J87" s="6"/>
    </row>
    <row r="88" spans="1:10" ht="16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f>67/46</f>
        <v>1.4565217391304348</v>
      </c>
      <c r="I88" s="6">
        <v>25092</v>
      </c>
      <c r="J88" s="6"/>
    </row>
    <row r="89" spans="1:10" ht="16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f>65/46</f>
        <v>1.4130434782608696</v>
      </c>
      <c r="I89" s="6">
        <v>21239</v>
      </c>
      <c r="J89" s="6"/>
    </row>
    <row r="90" spans="1:10" ht="16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f>65/46</f>
        <v>1.4130434782608696</v>
      </c>
      <c r="I90" s="6">
        <v>14213</v>
      </c>
      <c r="J90" s="6"/>
    </row>
    <row r="91" spans="1:10" ht="16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f>61/46</f>
        <v>1.326086956521739</v>
      </c>
      <c r="I91" s="6">
        <v>16134</v>
      </c>
      <c r="J91" s="6"/>
    </row>
    <row r="92" spans="1:10" ht="16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f>74/46</f>
        <v>1.6086956521739131</v>
      </c>
      <c r="I92" s="6">
        <v>11063</v>
      </c>
      <c r="J92" s="6"/>
    </row>
    <row r="93" spans="1:10" ht="16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f>66/46</f>
        <v>1.4347826086956521</v>
      </c>
      <c r="I93" s="6">
        <v>14217</v>
      </c>
      <c r="J93" s="6"/>
    </row>
    <row r="94" spans="1:10" ht="16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f>74/46</f>
        <v>1.6086956521739131</v>
      </c>
      <c r="I94" s="6">
        <v>15458</v>
      </c>
      <c r="J94" s="6"/>
    </row>
    <row r="95" spans="1:10" ht="16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f>70/46</f>
        <v>1.5217391304347827</v>
      </c>
      <c r="I95" s="6">
        <v>9041</v>
      </c>
      <c r="J95" s="6"/>
    </row>
    <row r="96" spans="1:10" ht="16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f>77/46</f>
        <v>1.673913043478261</v>
      </c>
      <c r="I96" s="6">
        <v>11557</v>
      </c>
      <c r="J96" s="6"/>
    </row>
    <row r="97" spans="1:10" ht="16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f>75/46</f>
        <v>1.6304347826086956</v>
      </c>
      <c r="I97" s="6">
        <v>6616</v>
      </c>
      <c r="J97" s="6"/>
    </row>
    <row r="98" spans="1:10" ht="16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f>45/46</f>
        <v>0.97826086956521741</v>
      </c>
      <c r="I98" s="6">
        <v>10265</v>
      </c>
      <c r="J98" s="6"/>
    </row>
    <row r="99" spans="1:10" ht="16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f>50/46</f>
        <v>1.0869565217391304</v>
      </c>
      <c r="I99" s="6">
        <v>16664</v>
      </c>
      <c r="J99" s="6"/>
    </row>
    <row r="100" spans="1:10" ht="16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f>48/46</f>
        <v>1.0434782608695652</v>
      </c>
      <c r="I100" s="6">
        <v>26169</v>
      </c>
      <c r="J100" s="6"/>
    </row>
    <row r="101" spans="1:10" ht="16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f>37/46</f>
        <v>0.80434782608695654</v>
      </c>
      <c r="I101" s="6">
        <v>19562</v>
      </c>
      <c r="J101" s="6"/>
    </row>
    <row r="102" spans="1:10" ht="16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f>59/46</f>
        <v>1.2826086956521738</v>
      </c>
      <c r="I102" s="6">
        <v>10822</v>
      </c>
      <c r="J102" s="6"/>
    </row>
    <row r="103" spans="1:10" ht="16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f>54/46</f>
        <v>1.173913043478261</v>
      </c>
      <c r="I103" s="6">
        <v>19603</v>
      </c>
      <c r="J103" s="6"/>
    </row>
    <row r="104" spans="1:10" ht="16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f>56/46</f>
        <v>1.2173913043478262</v>
      </c>
      <c r="I104" s="6">
        <v>22419</v>
      </c>
      <c r="J104" s="6"/>
    </row>
    <row r="105" spans="1:10" ht="16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f>56/46</f>
        <v>1.2173913043478262</v>
      </c>
      <c r="I105" s="6">
        <v>29232</v>
      </c>
      <c r="J105" s="6"/>
    </row>
    <row r="106" spans="1:10" ht="16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f>59/46</f>
        <v>1.2826086956521738</v>
      </c>
      <c r="I106" s="6">
        <v>14911</v>
      </c>
      <c r="J106" s="6"/>
    </row>
    <row r="107" spans="1:10" ht="16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f>64/46</f>
        <v>1.3913043478260869</v>
      </c>
      <c r="I107" s="6">
        <v>16111</v>
      </c>
      <c r="J107" s="6"/>
    </row>
    <row r="108" spans="1:10" ht="16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f>61/46</f>
        <v>1.326086956521739</v>
      </c>
      <c r="I108" s="6">
        <v>21124</v>
      </c>
      <c r="J108" s="6"/>
    </row>
    <row r="109" spans="1:10" ht="16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f>60/46</f>
        <v>1.3043478260869565</v>
      </c>
      <c r="I109" s="6">
        <v>16708</v>
      </c>
      <c r="J109" s="6"/>
    </row>
    <row r="110" spans="1:10" ht="16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f>49/46</f>
        <v>1.0652173913043479</v>
      </c>
      <c r="I110" s="6">
        <v>21993</v>
      </c>
      <c r="J110" s="6"/>
    </row>
    <row r="111" spans="1:10" ht="16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f>69/46</f>
        <v>1.5</v>
      </c>
      <c r="I111" s="6">
        <v>23492</v>
      </c>
      <c r="J111" s="6"/>
    </row>
    <row r="112" spans="1:10" ht="16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f>61/46</f>
        <v>1.326086956521739</v>
      </c>
      <c r="I112" s="6">
        <v>24052</v>
      </c>
      <c r="J112" s="6"/>
    </row>
    <row r="113" spans="1:10" ht="16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f>75/46</f>
        <v>1.6304347826086956</v>
      </c>
      <c r="I113" s="6">
        <v>13613</v>
      </c>
      <c r="J113" s="6"/>
    </row>
    <row r="114" spans="1:10" ht="16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f>83/46</f>
        <v>1.8043478260869565</v>
      </c>
      <c r="I114" s="6">
        <v>18276</v>
      </c>
      <c r="J114" s="6"/>
    </row>
    <row r="115" spans="1:10" ht="16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f>67/46</f>
        <v>1.4565217391304348</v>
      </c>
      <c r="I115" s="6">
        <v>15413</v>
      </c>
      <c r="J115" s="6"/>
    </row>
    <row r="116" spans="1:10" ht="16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f>69/46</f>
        <v>1.5</v>
      </c>
      <c r="I116" s="6">
        <v>17022</v>
      </c>
      <c r="J116" s="6"/>
    </row>
    <row r="117" spans="1:10" ht="16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f>54/46</f>
        <v>1.173913043478261</v>
      </c>
      <c r="I117" s="6">
        <v>25645</v>
      </c>
      <c r="J117" s="6"/>
    </row>
    <row r="118" spans="1:10" ht="16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f>67/46</f>
        <v>1.4565217391304348</v>
      </c>
      <c r="I118" s="6">
        <v>10240</v>
      </c>
      <c r="J118" s="6"/>
    </row>
    <row r="119" spans="1:10" ht="16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f>76/46</f>
        <v>1.6521739130434783</v>
      </c>
      <c r="I119" s="6">
        <v>10902</v>
      </c>
      <c r="J119" s="6"/>
    </row>
    <row r="120" spans="1:10" ht="16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f>64/46</f>
        <v>1.3913043478260869</v>
      </c>
      <c r="I120" s="6">
        <v>12882</v>
      </c>
      <c r="J120" s="6"/>
    </row>
    <row r="121" spans="1:10" ht="16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f>91/46</f>
        <v>1.9782608695652173</v>
      </c>
      <c r="I121" s="6">
        <v>10928</v>
      </c>
      <c r="J121" s="6"/>
    </row>
    <row r="122" spans="1:10" ht="16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f>35/46</f>
        <v>0.76086956521739135</v>
      </c>
      <c r="I122" s="6">
        <v>16823</v>
      </c>
      <c r="J122" s="6"/>
    </row>
    <row r="123" spans="1:10" ht="16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f>31/46</f>
        <v>0.67391304347826086</v>
      </c>
      <c r="I123" s="6">
        <v>24627</v>
      </c>
      <c r="J123" s="6"/>
    </row>
    <row r="124" spans="1:10" ht="16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f>42/46</f>
        <v>0.91304347826086951</v>
      </c>
      <c r="I124" s="6">
        <v>25583</v>
      </c>
      <c r="J124" s="6"/>
    </row>
    <row r="125" spans="1:10" ht="16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f>35/46</f>
        <v>0.76086956521739135</v>
      </c>
      <c r="I125" s="6">
        <v>17199</v>
      </c>
      <c r="J125" s="6"/>
    </row>
    <row r="126" spans="1:10" ht="16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f>43/46</f>
        <v>0.93478260869565222</v>
      </c>
      <c r="I126" s="6">
        <v>29663</v>
      </c>
      <c r="J126" s="6"/>
    </row>
    <row r="127" spans="1:10" ht="16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f>45/46</f>
        <v>0.97826086956521741</v>
      </c>
      <c r="I127" s="6">
        <v>22641</v>
      </c>
      <c r="J127" s="6"/>
    </row>
    <row r="128" spans="1:10" ht="16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f>51/46</f>
        <v>1.1086956521739131</v>
      </c>
      <c r="I128" s="6">
        <v>18989</v>
      </c>
      <c r="J128" s="6"/>
    </row>
    <row r="129" spans="1:10" ht="16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f>51/46</f>
        <v>1.1086956521739131</v>
      </c>
      <c r="I129" s="6">
        <v>16463</v>
      </c>
      <c r="J129" s="6"/>
    </row>
    <row r="130" spans="1:10" ht="16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f>67/46</f>
        <v>1.4565217391304348</v>
      </c>
      <c r="I130" s="6">
        <v>10310</v>
      </c>
      <c r="J130" s="6"/>
    </row>
    <row r="131" spans="1:10" ht="16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f>49/46</f>
        <v>1.0652173913043479</v>
      </c>
      <c r="I131" s="6">
        <v>17603</v>
      </c>
      <c r="J131" s="6"/>
    </row>
    <row r="132" spans="1:10" ht="16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f>45/46</f>
        <v>0.97826086956521741</v>
      </c>
      <c r="I132" s="6">
        <v>13035</v>
      </c>
      <c r="J132" s="6"/>
    </row>
    <row r="133" spans="1:10" ht="16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f>54/46</f>
        <v>1.173913043478261</v>
      </c>
      <c r="I133" s="6">
        <v>15994</v>
      </c>
      <c r="J133" s="6"/>
    </row>
    <row r="134" spans="1:10" ht="16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f>58/46</f>
        <v>1.2608695652173914</v>
      </c>
      <c r="I134" s="6">
        <v>22446</v>
      </c>
      <c r="J134" s="6"/>
    </row>
    <row r="135" spans="1:10" ht="16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f>58/46</f>
        <v>1.2608695652173914</v>
      </c>
      <c r="I135" s="6">
        <v>20157</v>
      </c>
      <c r="J135" s="6"/>
    </row>
    <row r="136" spans="1:10" ht="16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f>46/46</f>
        <v>1</v>
      </c>
      <c r="I136" s="6">
        <v>14131</v>
      </c>
      <c r="J136" s="6"/>
    </row>
    <row r="137" spans="1:10" ht="16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f>47/46</f>
        <v>1.0217391304347827</v>
      </c>
      <c r="I137" s="6">
        <v>19676</v>
      </c>
      <c r="J137" s="6"/>
    </row>
    <row r="138" spans="1:10" ht="16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f>59/46</f>
        <v>1.2826086956521738</v>
      </c>
      <c r="I138" s="6">
        <v>17285</v>
      </c>
      <c r="J138" s="6"/>
    </row>
    <row r="139" spans="1:10" ht="16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f>71/46</f>
        <v>1.5434782608695652</v>
      </c>
      <c r="I139" s="6">
        <v>15292</v>
      </c>
      <c r="J139" s="6"/>
    </row>
    <row r="140" spans="1:10" ht="16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f>70/46</f>
        <v>1.5217391304347827</v>
      </c>
      <c r="I140" s="6">
        <v>12631</v>
      </c>
      <c r="J140" s="6"/>
    </row>
    <row r="141" spans="1:10" ht="16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f>79/46</f>
        <v>1.7173913043478262</v>
      </c>
      <c r="I141" s="6">
        <v>17566</v>
      </c>
      <c r="J141" s="6"/>
    </row>
    <row r="142" spans="1:10" ht="16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f>71/46</f>
        <v>1.5434782608695652</v>
      </c>
      <c r="I142" s="6">
        <v>10025</v>
      </c>
      <c r="J142" s="6"/>
    </row>
    <row r="143" spans="1:10" ht="16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f>80/46</f>
        <v>1.7391304347826086</v>
      </c>
      <c r="I143" s="6">
        <v>15632</v>
      </c>
      <c r="J143" s="6"/>
    </row>
    <row r="144" spans="1:10" ht="16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f>69/46</f>
        <v>1.5</v>
      </c>
      <c r="I144" s="6">
        <v>13158</v>
      </c>
      <c r="J144" s="6"/>
    </row>
    <row r="145" spans="1:10" ht="16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f>81/46</f>
        <v>1.7608695652173914</v>
      </c>
      <c r="I145" s="6">
        <v>15056</v>
      </c>
      <c r="J145" s="6"/>
    </row>
    <row r="146" spans="1:10" ht="16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f>40/46</f>
        <v>0.86956521739130432</v>
      </c>
      <c r="I146" s="6">
        <v>51106</v>
      </c>
      <c r="J146" s="6"/>
    </row>
    <row r="147" spans="1:10" ht="16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f>40/46</f>
        <v>0.86956521739130432</v>
      </c>
      <c r="I147" s="6">
        <v>27996</v>
      </c>
      <c r="J147" s="6"/>
    </row>
    <row r="148" spans="1:10" ht="16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f>64/46</f>
        <v>1.3913043478260869</v>
      </c>
      <c r="I148" s="6">
        <v>17505</v>
      </c>
      <c r="J148" s="6"/>
    </row>
    <row r="149" spans="1:10" ht="16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f>45/46</f>
        <v>0.97826086956521741</v>
      </c>
      <c r="I149" s="6">
        <v>27129</v>
      </c>
      <c r="J149" s="6"/>
    </row>
    <row r="150" spans="1:10" ht="16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f>58/46</f>
        <v>1.2608695652173914</v>
      </c>
      <c r="I150" s="6">
        <v>20343</v>
      </c>
      <c r="J150" s="6"/>
    </row>
    <row r="151" spans="1:10" ht="16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f>57/46</f>
        <v>1.2391304347826086</v>
      </c>
      <c r="I151" s="6">
        <v>19199</v>
      </c>
      <c r="J151" s="6"/>
    </row>
    <row r="152" spans="1:10" ht="16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f>47/46</f>
        <v>1.0217391304347827</v>
      </c>
      <c r="I152" s="6">
        <v>27698</v>
      </c>
      <c r="J152" s="6"/>
    </row>
    <row r="153" spans="1:10" ht="16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f>69/46</f>
        <v>1.5</v>
      </c>
      <c r="I153" s="6">
        <v>26354</v>
      </c>
      <c r="J153" s="6"/>
    </row>
    <row r="154" spans="1:10" ht="16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f>50/46</f>
        <v>1.0869565217391304</v>
      </c>
      <c r="I154" s="6">
        <v>29042</v>
      </c>
      <c r="J154" s="6"/>
    </row>
    <row r="155" spans="1:10" ht="16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f>65/46</f>
        <v>1.4130434782608696</v>
      </c>
      <c r="I155" s="6">
        <v>10467</v>
      </c>
      <c r="J155" s="6"/>
    </row>
    <row r="156" spans="1:10" ht="16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f>63/46</f>
        <v>1.3695652173913044</v>
      </c>
      <c r="I156" s="6">
        <v>12607</v>
      </c>
      <c r="J156" s="6"/>
    </row>
    <row r="157" spans="1:10" ht="16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f>61/46</f>
        <v>1.326086956521739</v>
      </c>
      <c r="I157" s="6">
        <v>16564</v>
      </c>
      <c r="J157" s="6"/>
    </row>
    <row r="158" spans="1:10" ht="16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f>48/46</f>
        <v>1.0434782608695652</v>
      </c>
      <c r="I158" s="6">
        <v>32107</v>
      </c>
      <c r="J158" s="6"/>
    </row>
    <row r="159" spans="1:10" ht="16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f>67/46</f>
        <v>1.4565217391304348</v>
      </c>
      <c r="I159" s="6">
        <v>13857</v>
      </c>
      <c r="J159" s="6"/>
    </row>
    <row r="160" spans="1:10" ht="16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f>58/46</f>
        <v>1.2608695652173914</v>
      </c>
      <c r="I160" s="6">
        <v>21570</v>
      </c>
      <c r="J160" s="6"/>
    </row>
    <row r="161" spans="1:10" ht="16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f>58/46</f>
        <v>1.2608695652173914</v>
      </c>
      <c r="I161" s="6">
        <v>16980</v>
      </c>
      <c r="J161" s="6"/>
    </row>
    <row r="162" spans="1:10" ht="16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f>66/46</f>
        <v>1.4347826086956521</v>
      </c>
      <c r="I162" s="6">
        <v>19256</v>
      </c>
      <c r="J162" s="6"/>
    </row>
    <row r="163" spans="1:10" ht="16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f>66/46</f>
        <v>1.4347826086956521</v>
      </c>
      <c r="I163" s="6">
        <v>14616</v>
      </c>
      <c r="J163" s="6"/>
    </row>
    <row r="164" spans="1:10" ht="16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f>64/46</f>
        <v>1.3913043478260869</v>
      </c>
      <c r="I164" s="6">
        <v>18717</v>
      </c>
      <c r="J164" s="6"/>
    </row>
    <row r="165" spans="1:10" ht="16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f>63/46</f>
        <v>1.3695652173913044</v>
      </c>
      <c r="I165" s="6">
        <v>5228</v>
      </c>
      <c r="J165" s="6"/>
    </row>
    <row r="166" spans="1:10" ht="16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f>72/46</f>
        <v>1.5652173913043479</v>
      </c>
      <c r="I166" s="6">
        <v>20333</v>
      </c>
      <c r="J166" s="6"/>
    </row>
    <row r="167" spans="1:10" ht="16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f>65/46</f>
        <v>1.4130434782608696</v>
      </c>
      <c r="I167" s="6">
        <v>12688</v>
      </c>
      <c r="J167" s="6"/>
    </row>
    <row r="168" spans="1:10" ht="16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f>57/46</f>
        <v>1.2391304347826086</v>
      </c>
      <c r="I168" s="6">
        <v>11722</v>
      </c>
      <c r="J168" s="6"/>
    </row>
    <row r="169" spans="1:10" ht="16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f>98/46</f>
        <v>2.1304347826086958</v>
      </c>
      <c r="I169" s="6">
        <v>9783</v>
      </c>
      <c r="J169" s="6"/>
    </row>
    <row r="170" spans="1:10" ht="16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f>39/46</f>
        <v>0.84782608695652173</v>
      </c>
      <c r="I170" s="6">
        <v>28342</v>
      </c>
      <c r="J170" s="6"/>
    </row>
    <row r="171" spans="1:10" ht="16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f>39/46</f>
        <v>0.84782608695652173</v>
      </c>
      <c r="I171" s="6">
        <v>20164</v>
      </c>
      <c r="J171" s="6"/>
    </row>
    <row r="172" spans="1:10" ht="16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f>46/46</f>
        <v>1</v>
      </c>
      <c r="I172" s="6">
        <v>19896</v>
      </c>
      <c r="J172" s="6"/>
    </row>
    <row r="173" spans="1:10" ht="16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f>42/46</f>
        <v>0.91304347826086951</v>
      </c>
      <c r="I173" s="6">
        <v>32235</v>
      </c>
      <c r="J173" s="6"/>
    </row>
    <row r="174" spans="1:10" ht="16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f>45/46</f>
        <v>0.97826086956521741</v>
      </c>
      <c r="I174" s="6">
        <v>25528</v>
      </c>
      <c r="J174" s="6"/>
    </row>
    <row r="175" spans="1:10" ht="16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f>48/46</f>
        <v>1.0434782608695652</v>
      </c>
      <c r="I175" s="6">
        <v>27175</v>
      </c>
      <c r="J175" s="6"/>
    </row>
    <row r="176" spans="1:10" ht="16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f>46/46</f>
        <v>1</v>
      </c>
      <c r="I176" s="6">
        <v>13774</v>
      </c>
      <c r="J176" s="6"/>
    </row>
    <row r="177" spans="1:10" ht="16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f>45/46</f>
        <v>0.97826086956521741</v>
      </c>
      <c r="I177" s="6">
        <v>13368</v>
      </c>
      <c r="J177" s="6"/>
    </row>
    <row r="178" spans="1:10" ht="16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f>52/46</f>
        <v>1.1304347826086956</v>
      </c>
      <c r="I178" s="6">
        <v>10234</v>
      </c>
      <c r="J178" s="6"/>
    </row>
    <row r="179" spans="1:10" ht="16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f>55/46</f>
        <v>1.1956521739130435</v>
      </c>
      <c r="I179" s="6">
        <v>26414</v>
      </c>
      <c r="J179" s="6"/>
    </row>
    <row r="180" spans="1:10" ht="16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f>58/46</f>
        <v>1.2608695652173914</v>
      </c>
      <c r="I180" s="6">
        <v>20953</v>
      </c>
      <c r="J180" s="6"/>
    </row>
    <row r="181" spans="1:10" ht="16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f>60/46</f>
        <v>1.3043478260869565</v>
      </c>
      <c r="I181" s="6">
        <v>16272</v>
      </c>
      <c r="J181" s="6"/>
    </row>
    <row r="182" spans="1:10" ht="16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f>64/46</f>
        <v>1.3913043478260869</v>
      </c>
      <c r="I182" s="6">
        <v>31525</v>
      </c>
      <c r="J182" s="6"/>
    </row>
    <row r="183" spans="1:10" ht="16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f>60/46</f>
        <v>1.3043478260869565</v>
      </c>
      <c r="I183" s="6">
        <v>25773</v>
      </c>
      <c r="J183" s="6"/>
    </row>
    <row r="184" spans="1:10" ht="16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f>60/46</f>
        <v>1.3043478260869565</v>
      </c>
      <c r="I184" s="6">
        <v>25995</v>
      </c>
      <c r="J184" s="6"/>
    </row>
    <row r="185" spans="1:10" ht="16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f>70/46</f>
        <v>1.5217391304347827</v>
      </c>
      <c r="I185" s="6">
        <v>13928</v>
      </c>
      <c r="J185" s="6"/>
    </row>
    <row r="186" spans="1:10" ht="16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f>65/46</f>
        <v>1.4130434782608696</v>
      </c>
      <c r="I186" s="6">
        <v>24680</v>
      </c>
      <c r="J186" s="6"/>
    </row>
    <row r="187" spans="1:10" ht="16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f>70/46</f>
        <v>1.5217391304347827</v>
      </c>
      <c r="I187" s="6">
        <v>15622</v>
      </c>
      <c r="J187" s="6"/>
    </row>
    <row r="188" spans="1:10" ht="16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f>68/46</f>
        <v>1.4782608695652173</v>
      </c>
      <c r="I188" s="6">
        <v>21042</v>
      </c>
      <c r="J188" s="6"/>
    </row>
    <row r="189" spans="1:10" ht="16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f>70/46</f>
        <v>1.5217391304347827</v>
      </c>
      <c r="I189" s="6">
        <v>16656</v>
      </c>
      <c r="J189" s="6"/>
    </row>
    <row r="190" spans="1:10" ht="16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f>74/46</f>
        <v>1.6086956521739131</v>
      </c>
      <c r="I190" s="6">
        <v>15887</v>
      </c>
      <c r="J190" s="6"/>
    </row>
    <row r="191" spans="1:10" ht="16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f>72/46</f>
        <v>1.5652173913043479</v>
      </c>
      <c r="I191" s="6">
        <v>13704</v>
      </c>
      <c r="J191" s="6"/>
    </row>
    <row r="192" spans="1:10" ht="16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f>81/46</f>
        <v>1.7608695652173914</v>
      </c>
      <c r="I192" s="6">
        <v>4645</v>
      </c>
      <c r="J192" s="6"/>
    </row>
    <row r="193" spans="1:10" ht="16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f>80/46</f>
        <v>1.7391304347826086</v>
      </c>
      <c r="I193" s="6">
        <v>27635</v>
      </c>
      <c r="J193" s="6"/>
    </row>
    <row r="194" spans="1:10" ht="16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f>57/46</f>
        <v>1.2391304347826086</v>
      </c>
      <c r="I194" s="6">
        <v>26014</v>
      </c>
      <c r="J194" s="6"/>
    </row>
    <row r="195" spans="1:10" ht="16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f>41/46</f>
        <v>0.89130434782608692</v>
      </c>
      <c r="I195" s="6">
        <v>26177</v>
      </c>
      <c r="J195" s="6"/>
    </row>
    <row r="196" spans="1:10" ht="16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f>50/46</f>
        <v>1.0869565217391304</v>
      </c>
      <c r="I196" s="6">
        <v>33598</v>
      </c>
      <c r="J196" s="6"/>
    </row>
    <row r="197" spans="1:10" ht="16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f>62/46</f>
        <v>1.3478260869565217</v>
      </c>
      <c r="I197" s="6">
        <v>24148</v>
      </c>
      <c r="J197" s="6"/>
    </row>
    <row r="198" spans="1:10" ht="16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f>61/46</f>
        <v>1.326086956521739</v>
      </c>
      <c r="I198" s="6">
        <v>35379</v>
      </c>
      <c r="J198" s="6"/>
    </row>
    <row r="199" spans="1:10" ht="16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f>54/46</f>
        <v>1.173913043478261</v>
      </c>
      <c r="I199" s="6">
        <v>26850</v>
      </c>
      <c r="J199" s="6"/>
    </row>
    <row r="200" spans="1:10" ht="16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f>41/46</f>
        <v>0.89130434782608692</v>
      </c>
      <c r="I200" s="6">
        <v>23217</v>
      </c>
      <c r="J200" s="6"/>
    </row>
    <row r="201" spans="1:10" ht="16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f>53/46</f>
        <v>1.1521739130434783</v>
      </c>
      <c r="I201" s="6">
        <v>21080</v>
      </c>
      <c r="J201" s="6"/>
    </row>
    <row r="202" spans="1:10" ht="16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f>54/46</f>
        <v>1.173913043478261</v>
      </c>
      <c r="I202" s="6">
        <v>28144</v>
      </c>
      <c r="J202" s="6"/>
    </row>
    <row r="203" spans="1:10" ht="16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f>62/46</f>
        <v>1.3478260869565217</v>
      </c>
      <c r="I203" s="6">
        <v>18737</v>
      </c>
      <c r="J203" s="6"/>
    </row>
    <row r="204" spans="1:10" ht="16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f>59/46</f>
        <v>1.2826086956521738</v>
      </c>
      <c r="I204" s="6">
        <v>10257</v>
      </c>
      <c r="J204" s="6"/>
    </row>
    <row r="205" spans="1:10" ht="16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f>62/46</f>
        <v>1.3478260869565217</v>
      </c>
      <c r="I205" s="6">
        <v>24669</v>
      </c>
      <c r="J205" s="6"/>
    </row>
    <row r="206" spans="1:10" ht="16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f>68/46</f>
        <v>1.4782608695652173</v>
      </c>
      <c r="I206" s="6">
        <v>12269</v>
      </c>
      <c r="J206" s="6"/>
    </row>
    <row r="207" spans="1:10" ht="16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f>67/46</f>
        <v>1.4565217391304348</v>
      </c>
      <c r="I207" s="6">
        <v>14160</v>
      </c>
      <c r="J207" s="6"/>
    </row>
    <row r="208" spans="1:10" ht="16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f>69/46</f>
        <v>1.5</v>
      </c>
      <c r="I208" s="6">
        <v>14550</v>
      </c>
      <c r="J208" s="6"/>
    </row>
    <row r="209" spans="1:10" ht="16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f>52/46</f>
        <v>1.1304347826086956</v>
      </c>
      <c r="I209" s="6">
        <v>25200</v>
      </c>
      <c r="J209" s="6"/>
    </row>
    <row r="210" spans="1:10" ht="16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f>58/46</f>
        <v>1.2608695652173914</v>
      </c>
      <c r="I210" s="6">
        <v>22483</v>
      </c>
      <c r="J210" s="6"/>
    </row>
    <row r="211" spans="1:10" ht="16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f>64/46</f>
        <v>1.3913043478260869</v>
      </c>
      <c r="I211" s="6">
        <v>12079</v>
      </c>
      <c r="J211" s="6"/>
    </row>
    <row r="212" spans="1:10" ht="16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f>71/46</f>
        <v>1.5434782608695652</v>
      </c>
      <c r="I212" s="6">
        <v>13866</v>
      </c>
      <c r="J212" s="6"/>
    </row>
    <row r="213" spans="1:10" ht="16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f>66/46</f>
        <v>1.4347826086956521</v>
      </c>
      <c r="I213" s="6">
        <v>14991</v>
      </c>
      <c r="J213" s="6"/>
    </row>
    <row r="214" spans="1:10" ht="16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f>64/46</f>
        <v>1.3913043478260869</v>
      </c>
      <c r="I214" s="6">
        <v>13636</v>
      </c>
      <c r="J214" s="6"/>
    </row>
    <row r="215" spans="1:10" ht="16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f>83/46</f>
        <v>1.8043478260869565</v>
      </c>
      <c r="I215" s="6">
        <v>10036</v>
      </c>
      <c r="J215" s="6"/>
    </row>
    <row r="216" spans="1:10" ht="16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f>78/46</f>
        <v>1.6956521739130435</v>
      </c>
      <c r="I216" s="6">
        <v>14636</v>
      </c>
      <c r="J216" s="6"/>
    </row>
    <row r="217" spans="1:10" ht="16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f>77/46</f>
        <v>1.673913043478261</v>
      </c>
      <c r="I217" s="6">
        <v>17765</v>
      </c>
      <c r="J217" s="6"/>
    </row>
    <row r="218" spans="1:10" ht="16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f>35/46</f>
        <v>0.76086956521739135</v>
      </c>
      <c r="I218" s="6">
        <v>35321</v>
      </c>
      <c r="J218" s="6"/>
    </row>
    <row r="219" spans="1:10" ht="16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f>45/46</f>
        <v>0.97826086956521741</v>
      </c>
      <c r="I219" s="6">
        <v>24053</v>
      </c>
      <c r="J219" s="6"/>
    </row>
    <row r="220" spans="1:10" ht="16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f>38/46</f>
        <v>0.82608695652173914</v>
      </c>
      <c r="I220" s="6">
        <v>11699</v>
      </c>
      <c r="J220" s="6"/>
    </row>
    <row r="221" spans="1:10" ht="16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f>48/46</f>
        <v>1.0434782608695652</v>
      </c>
      <c r="I221" s="6">
        <v>18324</v>
      </c>
      <c r="J221" s="6"/>
    </row>
    <row r="222" spans="1:10" ht="16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f>58/46</f>
        <v>1.2608695652173914</v>
      </c>
      <c r="I222" s="6">
        <v>22822</v>
      </c>
      <c r="J222" s="6"/>
    </row>
    <row r="223" spans="1:10" ht="16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f>53/46</f>
        <v>1.1521739130434783</v>
      </c>
      <c r="I223" s="6">
        <v>16151</v>
      </c>
      <c r="J223" s="6"/>
    </row>
    <row r="224" spans="1:10" ht="16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f>50/46</f>
        <v>1.0869565217391304</v>
      </c>
      <c r="I224" s="6">
        <v>27724</v>
      </c>
      <c r="J224" s="6"/>
    </row>
    <row r="225" spans="1:10" ht="16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f>51/46</f>
        <v>1.1086956521739131</v>
      </c>
      <c r="I225" s="6">
        <v>13734</v>
      </c>
      <c r="J225" s="6"/>
    </row>
    <row r="226" spans="1:10" ht="16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f>54/46</f>
        <v>1.173913043478261</v>
      </c>
      <c r="I226" s="6">
        <v>14342</v>
      </c>
      <c r="J226" s="6"/>
    </row>
    <row r="227" spans="1:10" ht="16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f>64/46</f>
        <v>1.3913043478260869</v>
      </c>
      <c r="I227" s="6">
        <v>26727</v>
      </c>
      <c r="J227" s="6"/>
    </row>
    <row r="228" spans="1:10" ht="16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f>63/46</f>
        <v>1.3695652173913044</v>
      </c>
      <c r="I228" s="6">
        <v>13873</v>
      </c>
      <c r="J228" s="6"/>
    </row>
    <row r="229" spans="1:10" ht="16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f>65/46</f>
        <v>1.4130434782608696</v>
      </c>
      <c r="I229" s="6">
        <v>21823</v>
      </c>
      <c r="J229" s="6"/>
    </row>
    <row r="230" spans="1:10" ht="16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f>76/46</f>
        <v>1.6521739130434783</v>
      </c>
      <c r="I230" s="6">
        <v>13721</v>
      </c>
      <c r="J230" s="6"/>
    </row>
    <row r="231" spans="1:10" ht="16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f>58/46</f>
        <v>1.2608695652173914</v>
      </c>
      <c r="I231" s="6">
        <v>14535</v>
      </c>
      <c r="J231" s="6"/>
    </row>
    <row r="232" spans="1:10" ht="16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f>68/46</f>
        <v>1.4782608695652173</v>
      </c>
      <c r="I232" s="6">
        <v>22828</v>
      </c>
      <c r="J232" s="6"/>
    </row>
    <row r="233" spans="1:10" ht="16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f>66/46</f>
        <v>1.4347826086956521</v>
      </c>
      <c r="I233" s="6">
        <v>23733</v>
      </c>
      <c r="J233" s="6"/>
    </row>
    <row r="234" spans="1:10" ht="16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f>61/46</f>
        <v>1.326086956521739</v>
      </c>
      <c r="I234" s="6">
        <v>19934</v>
      </c>
      <c r="J234" s="6"/>
    </row>
    <row r="235" spans="1:10" ht="16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f>70/46</f>
        <v>1.5217391304347827</v>
      </c>
      <c r="I235" s="6">
        <v>21748</v>
      </c>
      <c r="J235" s="6"/>
    </row>
    <row r="236" spans="1:10" ht="16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f>82/46</f>
        <v>1.7826086956521738</v>
      </c>
      <c r="I236" s="6">
        <v>10048</v>
      </c>
      <c r="J236" s="6"/>
    </row>
    <row r="237" spans="1:10" ht="16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f>75/46</f>
        <v>1.6304347826086956</v>
      </c>
      <c r="I237" s="6">
        <v>20412</v>
      </c>
      <c r="J237" s="6"/>
    </row>
    <row r="238" spans="1:10" ht="16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f>69/46</f>
        <v>1.5</v>
      </c>
      <c r="I238" s="6">
        <v>14061</v>
      </c>
      <c r="J238" s="6"/>
    </row>
    <row r="239" spans="1:10" ht="16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f>65/46</f>
        <v>1.4130434782608696</v>
      </c>
      <c r="I239" s="6">
        <v>18017</v>
      </c>
      <c r="J239" s="6"/>
    </row>
    <row r="240" spans="1:10" ht="16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f>56/46</f>
        <v>1.2173913043478262</v>
      </c>
      <c r="I240" s="6">
        <v>10592</v>
      </c>
      <c r="J240" s="6"/>
    </row>
    <row r="241" spans="1:10" ht="16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f>87/46</f>
        <v>1.8913043478260869</v>
      </c>
      <c r="I241" s="6">
        <v>11946</v>
      </c>
      <c r="J241" s="6"/>
    </row>
    <row r="242" spans="1:10" ht="16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f>36/46</f>
        <v>0.78260869565217395</v>
      </c>
      <c r="I242" s="6">
        <v>1750</v>
      </c>
      <c r="J242" s="6"/>
    </row>
    <row r="243" spans="1:10" ht="16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f>30/46</f>
        <v>0.65217391304347827</v>
      </c>
      <c r="I243" s="6">
        <v>1983</v>
      </c>
      <c r="J243" s="6"/>
    </row>
    <row r="244" spans="1:10" ht="16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f>42/46</f>
        <v>0.91304347826086951</v>
      </c>
      <c r="I244" s="6">
        <v>2000</v>
      </c>
      <c r="J244" s="6"/>
    </row>
    <row r="245" spans="1:10" ht="16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>
        <f>39/46</f>
        <v>0.84782608695652173</v>
      </c>
      <c r="I245" s="6"/>
      <c r="J245" s="6"/>
    </row>
    <row r="246" spans="1:10" ht="16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>
        <f>50/46</f>
        <v>1.0869565217391304</v>
      </c>
      <c r="I246" s="6"/>
      <c r="J246" s="6"/>
    </row>
    <row r="247" spans="1:10" ht="16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f>46/46</f>
        <v>1</v>
      </c>
      <c r="I247" s="6">
        <v>1600</v>
      </c>
      <c r="J247" s="6"/>
    </row>
    <row r="248" spans="1:10" ht="16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f>54/46</f>
        <v>1.173913043478261</v>
      </c>
      <c r="I248" s="6">
        <v>6000</v>
      </c>
      <c r="J248" s="6"/>
    </row>
    <row r="249" spans="1:10" ht="16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>
        <f>49/46</f>
        <v>1.0652173913043479</v>
      </c>
      <c r="I249" s="6"/>
      <c r="J249" s="6"/>
    </row>
    <row r="250" spans="1:10" ht="16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f>55/46</f>
        <v>1.1956521739130435</v>
      </c>
      <c r="I250" s="6">
        <v>2000</v>
      </c>
      <c r="J250" s="6"/>
    </row>
    <row r="251" spans="1:10" ht="16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f>53/46</f>
        <v>1.1521739130434783</v>
      </c>
      <c r="I251" s="6">
        <v>1000</v>
      </c>
      <c r="J251" s="6"/>
    </row>
    <row r="252" spans="1:10" ht="16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f>52/46</f>
        <v>1.1304347826086956</v>
      </c>
      <c r="I252" s="6">
        <v>2000</v>
      </c>
      <c r="J252" s="6"/>
    </row>
    <row r="253" spans="1:10" ht="16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f>52/46</f>
        <v>1.1304347826086956</v>
      </c>
      <c r="I253" s="6">
        <v>1500</v>
      </c>
      <c r="J253" s="6"/>
    </row>
    <row r="254" spans="1:10" ht="16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>
        <f>56/46</f>
        <v>1.2173913043478262</v>
      </c>
      <c r="I254" s="6"/>
      <c r="J254" s="6"/>
    </row>
    <row r="255" spans="1:10" ht="16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>
        <f>52/46</f>
        <v>1.1304347826086956</v>
      </c>
      <c r="I255" s="6"/>
      <c r="J255" s="6"/>
    </row>
    <row r="256" spans="1:10" ht="16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>
        <f>54/46</f>
        <v>1.173913043478261</v>
      </c>
      <c r="I256" s="6"/>
      <c r="J256" s="6"/>
    </row>
    <row r="257" spans="1:10" ht="16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>
        <f>61/46</f>
        <v>1.326086956521739</v>
      </c>
      <c r="I257" s="6"/>
      <c r="J257" s="6"/>
    </row>
    <row r="258" spans="1:10" ht="16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>
        <f>45/46</f>
        <v>0.97826086956521741</v>
      </c>
      <c r="I258" s="6"/>
      <c r="J258" s="6"/>
    </row>
    <row r="259" spans="1:10" ht="16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>
        <f>61/46</f>
        <v>1.326086956521739</v>
      </c>
      <c r="I259" s="6"/>
      <c r="J259" s="6"/>
    </row>
    <row r="260" spans="1:10" ht="16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>
        <f>68/46</f>
        <v>1.4782608695652173</v>
      </c>
      <c r="I260" s="6"/>
      <c r="J260" s="6"/>
    </row>
    <row r="261" spans="1:10" ht="16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6">
        <f>71/46</f>
        <v>1.5434782608695652</v>
      </c>
      <c r="I261" s="9"/>
      <c r="J261" s="9"/>
    </row>
    <row r="262" spans="1:10" ht="16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>
        <f>58/46</f>
        <v>1.2608695652173914</v>
      </c>
      <c r="I262" s="6"/>
      <c r="J262" s="6"/>
    </row>
    <row r="263" spans="1:10" ht="16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f>69/46</f>
        <v>1.5</v>
      </c>
      <c r="I263" s="6">
        <v>3000</v>
      </c>
      <c r="J263" s="6"/>
    </row>
    <row r="264" spans="1:10" ht="16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>
        <f>60/46</f>
        <v>1.3043478260869565</v>
      </c>
      <c r="I264" s="6"/>
      <c r="J264" s="6"/>
    </row>
    <row r="265" spans="1:10" ht="16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>
        <f>61/46</f>
        <v>1.326086956521739</v>
      </c>
      <c r="I265" s="6"/>
      <c r="J265" s="6"/>
    </row>
    <row r="266" spans="1:10" ht="16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6">
        <f>43/46</f>
        <v>0.93478260869565222</v>
      </c>
      <c r="I266" s="9">
        <v>17774</v>
      </c>
      <c r="J266" s="9"/>
    </row>
    <row r="267" spans="1:10" ht="16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6">
        <f>39/46</f>
        <v>0.84782608695652173</v>
      </c>
      <c r="I267" s="9">
        <v>9634</v>
      </c>
      <c r="J267" s="9"/>
    </row>
    <row r="268" spans="1:10" ht="16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6">
        <f>47/46</f>
        <v>1.0217391304347827</v>
      </c>
      <c r="I268" s="9">
        <v>17325</v>
      </c>
      <c r="J268" s="6"/>
    </row>
    <row r="269" spans="1:10" ht="16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6">
        <f>40/46</f>
        <v>0.86956521739130432</v>
      </c>
      <c r="I269" s="9">
        <v>27176</v>
      </c>
      <c r="J269" s="6"/>
    </row>
    <row r="270" spans="1:10" ht="16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6">
        <f>45/46</f>
        <v>0.97826086956521741</v>
      </c>
      <c r="I270" s="9">
        <v>27611</v>
      </c>
      <c r="J270" s="6"/>
    </row>
    <row r="271" spans="1:10" ht="16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6">
        <f>55/46</f>
        <v>1.1956521739130435</v>
      </c>
      <c r="I271" s="9">
        <v>9857</v>
      </c>
      <c r="J271" s="6"/>
    </row>
    <row r="272" spans="1:10" ht="16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6">
        <f>50/46</f>
        <v>1.0869565217391304</v>
      </c>
      <c r="I272" s="9">
        <v>21825</v>
      </c>
      <c r="J272" s="6"/>
    </row>
    <row r="273" spans="1:10" ht="16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f>50/46</f>
        <v>1.0869565217391304</v>
      </c>
      <c r="I273" s="9">
        <v>14279</v>
      </c>
      <c r="J273" s="6"/>
    </row>
    <row r="274" spans="1:10" ht="16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f>45/46</f>
        <v>0.97826086956521741</v>
      </c>
      <c r="I274" s="9">
        <v>12958</v>
      </c>
      <c r="J274" s="6"/>
    </row>
    <row r="275" spans="1:10" ht="16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f>45/46</f>
        <v>0.97826086956521741</v>
      </c>
      <c r="I275" s="9">
        <v>21875</v>
      </c>
      <c r="J275" s="6"/>
    </row>
    <row r="276" spans="1:10" ht="16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f>59/46</f>
        <v>1.2826086956521738</v>
      </c>
      <c r="I276" s="9">
        <v>14437</v>
      </c>
      <c r="J276" s="6"/>
    </row>
    <row r="277" spans="1:10" ht="16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f>59/46</f>
        <v>1.2826086956521738</v>
      </c>
      <c r="I277" s="9">
        <v>19541</v>
      </c>
      <c r="J277" s="6"/>
    </row>
    <row r="278" spans="1:10" ht="16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f>56/46</f>
        <v>1.2173913043478262</v>
      </c>
      <c r="I278" s="9">
        <v>12608</v>
      </c>
      <c r="J278" s="6"/>
    </row>
    <row r="279" spans="1:10" ht="16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f>52/46</f>
        <v>1.1304347826086956</v>
      </c>
      <c r="I279" s="9">
        <v>20921</v>
      </c>
      <c r="J279" s="6"/>
    </row>
    <row r="280" spans="1:10" ht="16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f>68/46</f>
        <v>1.4782608695652173</v>
      </c>
      <c r="I280" s="9">
        <v>17389</v>
      </c>
      <c r="J280" s="6"/>
    </row>
    <row r="281" spans="1:10" ht="16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f>58/46</f>
        <v>1.2608695652173914</v>
      </c>
      <c r="I281" s="9">
        <v>12104</v>
      </c>
      <c r="J281" s="6"/>
    </row>
    <row r="282" spans="1:10" ht="16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f>77/46</f>
        <v>1.673913043478261</v>
      </c>
      <c r="I282" s="9">
        <v>19093</v>
      </c>
      <c r="J282" s="6"/>
    </row>
    <row r="283" spans="1:10" ht="16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f>68/46</f>
        <v>1.4782608695652173</v>
      </c>
      <c r="I283" s="9">
        <v>18869</v>
      </c>
      <c r="J283" s="6"/>
    </row>
    <row r="284" spans="1:10" ht="16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f>54/46</f>
        <v>1.173913043478261</v>
      </c>
      <c r="I284" s="9">
        <v>12888</v>
      </c>
      <c r="J284" s="6"/>
    </row>
    <row r="285" spans="1:10" ht="16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f>75/46</f>
        <v>1.6304347826086956</v>
      </c>
      <c r="I285" s="9">
        <v>16162</v>
      </c>
      <c r="J285" s="6"/>
    </row>
    <row r="286" spans="1:10" ht="16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f>87/46</f>
        <v>1.8913043478260869</v>
      </c>
      <c r="I286" s="9">
        <v>13193</v>
      </c>
      <c r="J286" s="6"/>
    </row>
    <row r="287" spans="1:10" ht="16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f>87/46</f>
        <v>1.8913043478260869</v>
      </c>
      <c r="I287" s="9">
        <v>10088</v>
      </c>
      <c r="J287" s="6"/>
    </row>
    <row r="288" spans="1:10" ht="16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f>53/46</f>
        <v>1.1521739130434783</v>
      </c>
      <c r="I288" s="9">
        <v>23112</v>
      </c>
      <c r="J288" s="6"/>
    </row>
    <row r="289" spans="1:10" ht="16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f>73/46</f>
        <v>1.5869565217391304</v>
      </c>
      <c r="I289" s="9">
        <v>13233</v>
      </c>
      <c r="J289" s="6"/>
    </row>
    <row r="290" spans="1:10" ht="16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f>35/46</f>
        <v>0.76086956521739135</v>
      </c>
      <c r="I290" s="9">
        <v>19776</v>
      </c>
      <c r="J290" s="9"/>
    </row>
    <row r="291" spans="1:10" ht="16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f>39/46</f>
        <v>0.84782608695652173</v>
      </c>
      <c r="I291" s="9">
        <v>28729</v>
      </c>
      <c r="J291" s="9"/>
    </row>
    <row r="292" spans="1:10" ht="16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f>39/46</f>
        <v>0.84782608695652173</v>
      </c>
      <c r="I292" s="9">
        <v>9854</v>
      </c>
      <c r="J292" s="6"/>
    </row>
    <row r="293" spans="1:10" ht="16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f>56/46</f>
        <v>1.2173913043478262</v>
      </c>
      <c r="I293" s="9">
        <v>26012</v>
      </c>
      <c r="J293" s="6"/>
    </row>
    <row r="294" spans="1:10" ht="16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f>46/46</f>
        <v>1</v>
      </c>
      <c r="I294" s="9">
        <v>19950</v>
      </c>
      <c r="J294" s="6"/>
    </row>
    <row r="295" spans="1:10" ht="16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f>55/46</f>
        <v>1.1956521739130435</v>
      </c>
      <c r="I295" s="9">
        <v>38585</v>
      </c>
      <c r="J295" s="6"/>
    </row>
    <row r="296" spans="1:10" ht="16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f>54/46</f>
        <v>1.173913043478261</v>
      </c>
      <c r="I296" s="9">
        <v>14772</v>
      </c>
      <c r="J296" s="6"/>
    </row>
    <row r="297" spans="1:10" ht="16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f>50/46</f>
        <v>1.0869565217391304</v>
      </c>
      <c r="I297" s="9">
        <v>14767</v>
      </c>
      <c r="J297" s="6"/>
    </row>
    <row r="298" spans="1:10" ht="16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f>53/46</f>
        <v>1.1521739130434783</v>
      </c>
      <c r="I298" s="9">
        <v>23111</v>
      </c>
      <c r="J298" s="6"/>
    </row>
    <row r="299" spans="1:10" ht="16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f>64/46</f>
        <v>1.3913043478260869</v>
      </c>
      <c r="I299" s="9">
        <v>16821</v>
      </c>
      <c r="J299" s="6"/>
    </row>
    <row r="300" spans="1:10" ht="16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f>53/46</f>
        <v>1.1521739130434783</v>
      </c>
      <c r="I300" s="9">
        <v>19172</v>
      </c>
      <c r="J300" s="6"/>
    </row>
    <row r="301" spans="1:10" ht="16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f>59/46</f>
        <v>1.2826086956521738</v>
      </c>
      <c r="I301" s="9">
        <v>15858</v>
      </c>
      <c r="J301" s="6"/>
    </row>
    <row r="302" spans="1:10" ht="16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f>54/46</f>
        <v>1.173913043478261</v>
      </c>
      <c r="I302" s="9">
        <v>26504</v>
      </c>
      <c r="J302" s="6"/>
    </row>
    <row r="303" spans="1:10" ht="16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f>56/46</f>
        <v>1.2173913043478262</v>
      </c>
      <c r="I303" s="9">
        <v>20351</v>
      </c>
      <c r="J303" s="6"/>
    </row>
    <row r="304" spans="1:10" ht="16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f>61/46</f>
        <v>1.326086956521739</v>
      </c>
      <c r="I304" s="9">
        <v>17973</v>
      </c>
      <c r="J304" s="6"/>
    </row>
    <row r="305" spans="1:11" ht="16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f>54/46</f>
        <v>1.173913043478261</v>
      </c>
      <c r="I305" s="9">
        <v>20570</v>
      </c>
      <c r="J305" s="6"/>
      <c r="K305" t="s">
        <v>79</v>
      </c>
    </row>
    <row r="306" spans="1:11" ht="16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f>58/46</f>
        <v>1.2608695652173914</v>
      </c>
      <c r="I306" s="9">
        <v>16758</v>
      </c>
      <c r="J306" s="6"/>
    </row>
    <row r="307" spans="1:11" ht="16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f>62/46</f>
        <v>1.3478260869565217</v>
      </c>
      <c r="I307" s="9">
        <v>18978</v>
      </c>
      <c r="J307" s="6"/>
    </row>
    <row r="308" spans="1:11" ht="16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f>60/46</f>
        <v>1.3043478260869565</v>
      </c>
      <c r="I308" s="9">
        <v>10515</v>
      </c>
      <c r="J308" s="6"/>
    </row>
    <row r="309" spans="1:11" ht="16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f>71/46</f>
        <v>1.5434782608695652</v>
      </c>
      <c r="I309" s="9">
        <v>14977</v>
      </c>
      <c r="J309" s="6"/>
    </row>
    <row r="310" spans="1:11" ht="16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f>58/46</f>
        <v>1.2608695652173914</v>
      </c>
      <c r="I310" s="9">
        <v>19020</v>
      </c>
      <c r="J310" s="6"/>
    </row>
    <row r="311" spans="1:11" ht="16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f>68/46</f>
        <v>1.4782608695652173</v>
      </c>
      <c r="I311" s="9">
        <v>14027</v>
      </c>
      <c r="J311" s="6"/>
    </row>
    <row r="312" spans="1:11" ht="16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f>72/46</f>
        <v>1.5652173913043479</v>
      </c>
      <c r="I312" s="9">
        <v>11805</v>
      </c>
      <c r="J312" s="6"/>
      <c r="K312" t="s">
        <v>79</v>
      </c>
    </row>
    <row r="313" spans="1:11" ht="16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f>65/46</f>
        <v>1.4130434782608696</v>
      </c>
      <c r="I313" s="9">
        <v>12210</v>
      </c>
      <c r="J313" s="6"/>
      <c r="K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2025-06-12T13:42:56Z</dcterms:modified>
  <cp:category/>
  <cp:contentStatus/>
</cp:coreProperties>
</file>