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Analyse et traitement collectif du risque\Calcul-prestations\ATCR-TP2\"/>
    </mc:Choice>
  </mc:AlternateContent>
  <xr:revisionPtr revIDLastSave="0" documentId="13_ncr:1_{97EF01B3-858F-4E7F-A4C8-97FC1B0C75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O13" i="1"/>
  <c r="J6" i="2"/>
  <c r="R8" i="3"/>
  <c r="R5" i="3"/>
  <c r="R10" i="3"/>
  <c r="N12" i="3"/>
  <c r="R9" i="1"/>
  <c r="D5" i="3"/>
  <c r="D6" i="3"/>
  <c r="D7" i="3"/>
  <c r="N13" i="3"/>
  <c r="J11" i="2"/>
  <c r="O31" i="2"/>
  <c r="G3" i="1"/>
  <c r="N15" i="3"/>
  <c r="N16" i="3"/>
  <c r="N33" i="3"/>
  <c r="J7" i="3"/>
  <c r="N31" i="4"/>
  <c r="N32" i="4"/>
  <c r="N34" i="4"/>
  <c r="J4" i="4"/>
  <c r="E4" i="4"/>
  <c r="E5" i="4"/>
  <c r="E6" i="4"/>
  <c r="H3" i="4"/>
  <c r="N9" i="4"/>
  <c r="G3" i="4"/>
  <c r="G4" i="4"/>
  <c r="G5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F23" i="4"/>
  <c r="E23" i="4"/>
  <c r="G23" i="4"/>
  <c r="F24" i="4"/>
  <c r="E24" i="4"/>
  <c r="G24" i="4"/>
  <c r="F25" i="4"/>
  <c r="E25" i="4"/>
  <c r="G25" i="4"/>
  <c r="F26" i="4"/>
  <c r="E26" i="4"/>
  <c r="G26" i="4"/>
  <c r="F27" i="4"/>
  <c r="E27" i="4"/>
  <c r="G27" i="4"/>
  <c r="F28" i="4"/>
  <c r="E28" i="4"/>
  <c r="G28" i="4"/>
  <c r="F29" i="4"/>
  <c r="E29" i="4"/>
  <c r="G29" i="4"/>
  <c r="F30" i="4"/>
  <c r="E30" i="4"/>
  <c r="G30" i="4"/>
  <c r="F31" i="4"/>
  <c r="E31" i="4"/>
  <c r="G31" i="4"/>
  <c r="F32" i="4"/>
  <c r="E32" i="4"/>
  <c r="G32" i="4"/>
  <c r="E33" i="4"/>
  <c r="H33" i="4"/>
  <c r="G33" i="4"/>
  <c r="F34" i="4"/>
  <c r="E34" i="4"/>
  <c r="G34" i="4"/>
  <c r="F35" i="4"/>
  <c r="E35" i="4"/>
  <c r="G35" i="4"/>
  <c r="F36" i="4"/>
  <c r="E36" i="4"/>
  <c r="G36" i="4"/>
  <c r="F37" i="4"/>
  <c r="E37" i="4"/>
  <c r="G37" i="4"/>
  <c r="G38" i="4"/>
  <c r="N12" i="4"/>
  <c r="N13" i="4"/>
  <c r="N14" i="4"/>
  <c r="N15" i="4"/>
  <c r="N40" i="4"/>
  <c r="N43" i="4"/>
  <c r="N44" i="4"/>
  <c r="N45" i="4"/>
  <c r="N16" i="4"/>
  <c r="J5" i="4"/>
  <c r="J10" i="4"/>
  <c r="J11" i="4"/>
  <c r="N8" i="4"/>
  <c r="N10" i="4"/>
  <c r="N11" i="4"/>
  <c r="E7" i="3"/>
  <c r="E6" i="3"/>
  <c r="E5" i="3"/>
  <c r="E4" i="3"/>
  <c r="E3" i="3"/>
  <c r="F3" i="3"/>
  <c r="N9" i="3"/>
  <c r="D4" i="3"/>
  <c r="D3" i="3"/>
  <c r="G3" i="3"/>
  <c r="E3" i="1"/>
  <c r="E4" i="1"/>
  <c r="E5" i="1"/>
  <c r="E6" i="1"/>
  <c r="F3" i="1"/>
  <c r="O9" i="1"/>
  <c r="O33" i="2"/>
  <c r="E3" i="2"/>
  <c r="E4" i="2"/>
  <c r="E5" i="2"/>
  <c r="E6" i="2"/>
  <c r="F3" i="2"/>
  <c r="O9" i="2"/>
  <c r="G3" i="2"/>
  <c r="G4" i="2"/>
  <c r="G5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E26" i="2"/>
  <c r="E27" i="2"/>
  <c r="E28" i="2"/>
  <c r="E29" i="2"/>
  <c r="E30" i="2"/>
  <c r="E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O12" i="2"/>
  <c r="O13" i="2"/>
  <c r="O14" i="2"/>
  <c r="O15" i="2"/>
  <c r="R5" i="2"/>
  <c r="R8" i="2"/>
  <c r="R9" i="2"/>
  <c r="R10" i="2"/>
  <c r="O16" i="2"/>
  <c r="O34" i="2"/>
  <c r="O32" i="2"/>
  <c r="O14" i="1"/>
  <c r="O8" i="1"/>
  <c r="O10" i="1"/>
  <c r="O11" i="1"/>
  <c r="E7" i="1"/>
  <c r="R5" i="1"/>
  <c r="R8" i="1"/>
  <c r="R10" i="1"/>
  <c r="N41" i="4"/>
  <c r="N31" i="3"/>
  <c r="N8" i="3"/>
  <c r="R9" i="3"/>
  <c r="R6" i="3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F33" i="4"/>
  <c r="G39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N32" i="3"/>
  <c r="J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O8" i="2"/>
  <c r="O10" i="2"/>
  <c r="O11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6" i="3"/>
  <c r="N10" i="3"/>
  <c r="N11" i="3"/>
  <c r="G5" i="3"/>
  <c r="G4" i="3"/>
  <c r="J5" i="3"/>
  <c r="J10" i="3"/>
  <c r="J11" i="3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O15" i="1"/>
  <c r="O16" i="1"/>
  <c r="L5" i="1"/>
  <c r="L11" i="1"/>
  <c r="L10" i="1"/>
  <c r="G25" i="2"/>
  <c r="G26" i="2"/>
  <c r="G27" i="2"/>
  <c r="G28" i="2"/>
  <c r="G29" i="2"/>
  <c r="G30" i="2"/>
  <c r="G31" i="2"/>
  <c r="E40" i="2"/>
  <c r="G40" i="2"/>
  <c r="E41" i="2"/>
  <c r="J5" i="2"/>
  <c r="J7" i="2"/>
  <c r="J10" i="2"/>
  <c r="E42" i="2"/>
  <c r="G41" i="2"/>
  <c r="G42" i="2"/>
  <c r="E43" i="2"/>
  <c r="E44" i="2"/>
  <c r="G43" i="2"/>
  <c r="G44" i="2"/>
  <c r="E45" i="2"/>
  <c r="E46" i="2"/>
  <c r="G45" i="2"/>
  <c r="G46" i="2"/>
  <c r="E47" i="2"/>
  <c r="E48" i="2"/>
  <c r="G47" i="2"/>
  <c r="G48" i="2"/>
  <c r="E49" i="2"/>
  <c r="E50" i="2"/>
  <c r="G49" i="2"/>
  <c r="G50" i="2"/>
  <c r="E51" i="2"/>
  <c r="E52" i="2"/>
  <c r="G51" i="2"/>
  <c r="G52" i="2"/>
  <c r="E53" i="2"/>
  <c r="E54" i="2"/>
  <c r="G53" i="2"/>
  <c r="G54" i="2"/>
  <c r="E55" i="2"/>
  <c r="E56" i="2"/>
  <c r="G55" i="2"/>
  <c r="G56" i="2"/>
  <c r="E57" i="2"/>
  <c r="E58" i="2"/>
  <c r="G57" i="2"/>
  <c r="G58" i="2"/>
  <c r="E59" i="2"/>
  <c r="E60" i="2"/>
  <c r="G59" i="2"/>
  <c r="G60" i="2"/>
  <c r="E61" i="2"/>
  <c r="E62" i="2"/>
  <c r="G62" i="2"/>
  <c r="G61" i="2"/>
</calcChain>
</file>

<file path=xl/sharedStrings.xml><?xml version="1.0" encoding="utf-8"?>
<sst xmlns="http://schemas.openxmlformats.org/spreadsheetml/2006/main" count="221" uniqueCount="82">
  <si>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</si>
  <si>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</si>
  <si>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</si>
  <si>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</si>
  <si>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</si>
  <si>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</si>
  <si>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</si>
  <si>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</si>
  <si>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</si>
  <si>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</si>
  <si>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</si>
  <si>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</si>
  <si>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</si>
  <si>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</si>
  <si>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</si>
  <si>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</si>
  <si>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</si>
  <si>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</si>
  <si>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</si>
  <si>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</si>
  <si>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</si>
  <si>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</si>
  <si>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</si>
  <si>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</si>
  <si>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</si>
  <si>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</si>
  <si>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</si>
  <si>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</si>
  <si>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</si>
  <si>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</si>
  <si>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</si>
  <si>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</si>
  <si>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</si>
  <si>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</si>
  <si>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</si>
  <si>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</si>
  <si>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</si>
  <si>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>Période cotisable (en années, 18 à 65 ans)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</si>
  <si>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</si>
  <si>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</si>
  <si>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</si>
  <si>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</si>
  <si>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</si>
  <si>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</si>
  <si>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</si>
  <si>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</si>
  <si>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</si>
  <si>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</si>
  <si>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</si>
  <si>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</si>
  <si>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</si>
  <si>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</si>
  <si>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</si>
  <si>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</si>
  <si>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</si>
  <si>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</si>
  <si>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>Calcul de la rente obtenue du RRQ S1</t>
  </si>
  <si>
    <t>Somme des salaires admissibles au S1</t>
  </si>
  <si>
    <t>Rente annuelle S1 de base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</si>
  <si>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</si>
  <si>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</si>
  <si>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</si>
  <si>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</si>
  <si>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</si>
  <si>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</si>
  <si>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</si>
  <si>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</si>
  <si>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</si>
  <si>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</si>
  <si>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du revenu remplacé (%)</t>
  </si>
  <si>
    <t>Nombre d'années de cotisations au S1</t>
  </si>
  <si>
    <t>Nombre d'années maximum de cotisations au S1</t>
  </si>
  <si>
    <t>Elle n'a pas contribué au S2 pour l'année de 2024</t>
  </si>
  <si>
    <t>Rente annuelle S1 à 65 ans</t>
  </si>
  <si>
    <t>MGA 2020</t>
  </si>
  <si>
    <t>MGA moyen des 5 dernières années à partir de 2020</t>
  </si>
  <si>
    <t>MGA 2025</t>
  </si>
  <si>
    <t>revenus trop élevés.</t>
  </si>
  <si>
    <t xml:space="preserve">Indexation du SRG célibataire </t>
  </si>
  <si>
    <t>Montant du SRG après diminution selon les autres revenus</t>
  </si>
  <si>
    <t>Elle aura droit à la rente de la RRQ, la PSV et du SRG.</t>
  </si>
  <si>
    <t xml:space="preserve">Par contre, il n'aura pas droit au SRG en raison de 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</si>
</sst>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  <numFmt numFmtId="167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  <xf numFmtId="16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2"/>
  <sheetViews>
    <sheetView tabSelected="1" zoomScale="70" zoomScaleNormal="70" workbookViewId="0">
      <selection activeCell="O13" sqref="O13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1.42578125" style="6" bestFit="1" customWidth="1"/>
    <col min="6" max="6" width="11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" width="10.85546875" style="1"/>
    <col min="17" max="17" width="48.2851562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74</v>
      </c>
      <c r="G2" s="36" t="s">
        <v>21</v>
      </c>
      <c r="K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L3" s="14" t="s">
        <v>5</v>
      </c>
      <c r="N3" s="126" t="s">
        <v>29</v>
      </c>
      <c r="O3" s="126"/>
      <c r="Q3" s="116" t="s">
        <v>56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69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K5" s="12" t="s">
        <v>6</v>
      </c>
      <c r="L5" s="28">
        <f>O16</f>
        <v>7995.0987517423328</v>
      </c>
      <c r="N5" s="12" t="s">
        <v>15</v>
      </c>
      <c r="O5" s="28">
        <v>7217</v>
      </c>
      <c r="Q5" s="12" t="s">
        <v>57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70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>E6/(1+$O$6)</f>
        <v>51497.313114388468</v>
      </c>
      <c r="G7" s="38">
        <f t="shared" si="0"/>
        <v>48487.943578541737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71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38</v>
      </c>
      <c r="Q8" s="12" t="s">
        <v>58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K9" s="13" t="s">
        <v>10</v>
      </c>
      <c r="L9" s="18">
        <v>0</v>
      </c>
      <c r="N9" s="12" t="s">
        <v>75</v>
      </c>
      <c r="O9" s="28">
        <f>AVERAGE(E3,E4,E5,E6,F3)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K10" s="11" t="s">
        <v>11</v>
      </c>
      <c r="L10" s="70">
        <f>L5</f>
        <v>7995.0987517423328</v>
      </c>
      <c r="N10" s="12" t="s">
        <v>23</v>
      </c>
      <c r="O10" s="31">
        <f>O8-7</f>
        <v>35</v>
      </c>
      <c r="Q10" s="12" t="s">
        <v>59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K11" s="13" t="s">
        <v>12</v>
      </c>
      <c r="L11" s="17">
        <f>L5/D3</f>
        <v>0.16844056411074873</v>
      </c>
      <c r="N11" s="12" t="s">
        <v>24</v>
      </c>
      <c r="O11" s="31">
        <f>O10*0.15</f>
        <v>5.25</v>
      </c>
      <c r="Q11" s="11" t="s">
        <v>60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61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K13" s="1" t="s">
        <v>33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K14" s="1" t="s">
        <v>45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K15" s="1" t="s">
        <v>46</v>
      </c>
      <c r="N15" s="13" t="s">
        <v>64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2" t="s">
        <v>65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.7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2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</row>
    <row r="33" spans="2:7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</row>
    <row r="34" spans="2:7" x14ac:dyDescent="0.2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</row>
    <row r="35" spans="2:7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</row>
    <row r="36" spans="2:7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</row>
    <row r="37" spans="2:7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</row>
    <row r="38" spans="2:7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2"/>
  <sheetViews>
    <sheetView topLeftCell="A40" zoomScale="60" zoomScaleNormal="60" workbookViewId="0">
      <selection activeCell="O32" sqref="O32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0.85546875" style="6"/>
    <col min="6" max="6" width="12.42578125" style="1" bestFit="1" customWidth="1"/>
    <col min="7" max="7" width="11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1" width="10.85546875" style="1"/>
    <col min="12" max="12" width="10.85546875" style="1" customWidth="1"/>
    <col min="13" max="13" width="10.85546875" style="1"/>
    <col min="14" max="14" width="51.28515625" style="1" customWidth="1"/>
    <col min="15" max="16" width="10.85546875" style="1"/>
    <col min="17" max="17" width="43.710937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74</v>
      </c>
      <c r="G2" s="36" t="s">
        <v>21</v>
      </c>
      <c r="I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J3" s="14" t="s">
        <v>5</v>
      </c>
      <c r="N3" s="126" t="s">
        <v>29</v>
      </c>
      <c r="O3" s="126"/>
      <c r="Q3" s="116" t="s">
        <v>56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69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I5" s="12" t="s">
        <v>6</v>
      </c>
      <c r="J5" s="28">
        <f>O31</f>
        <v>9156.5734834015293</v>
      </c>
      <c r="N5" s="12" t="s">
        <v>15</v>
      </c>
      <c r="O5" s="28">
        <v>7217</v>
      </c>
      <c r="Q5" s="12" t="s">
        <v>57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70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I7" s="12" t="s">
        <v>8</v>
      </c>
      <c r="J7" s="28">
        <f>O34</f>
        <v>8107.0879070413857</v>
      </c>
      <c r="N7" s="12" t="s">
        <v>16</v>
      </c>
      <c r="O7" s="28">
        <v>10779.84</v>
      </c>
      <c r="Q7" s="12" t="s">
        <v>71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38</v>
      </c>
      <c r="Q8" s="12" t="s">
        <v>58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I9" s="13" t="s">
        <v>10</v>
      </c>
      <c r="J9" s="18">
        <v>0</v>
      </c>
      <c r="N9" s="12" t="s">
        <v>20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I10" s="11" t="s">
        <v>11</v>
      </c>
      <c r="J10" s="70">
        <f>SUM(J5:J7)</f>
        <v>25756.398651846805</v>
      </c>
      <c r="N10" s="12" t="s">
        <v>23</v>
      </c>
      <c r="O10" s="40">
        <f>O8-7</f>
        <v>35</v>
      </c>
      <c r="Q10" s="12" t="s">
        <v>59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I11" s="13" t="s">
        <v>12</v>
      </c>
      <c r="J11" s="17">
        <f>J10/D3</f>
        <v>0.5426352385494867</v>
      </c>
      <c r="N11" s="12" t="s">
        <v>24</v>
      </c>
      <c r="O11" s="31">
        <f>O10*0.15</f>
        <v>5.25</v>
      </c>
      <c r="Q11" s="11" t="s">
        <v>60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61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N15" s="13" t="s">
        <v>64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4" t="s">
        <v>65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.7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J21" s="35"/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5.75" thickBot="1" x14ac:dyDescent="0.3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26" t="s">
        <v>39</v>
      </c>
      <c r="O30" s="127"/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O16*((1+O6)^5)</f>
        <v>9156.5734834015293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  <c r="N32" s="78" t="s">
        <v>36</v>
      </c>
      <c r="O32" s="76">
        <f>O5*(1+O6)^6</f>
        <v>8492.7372614038886</v>
      </c>
    </row>
    <row r="33" spans="2:15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  <c r="N33" s="78" t="s">
        <v>78</v>
      </c>
      <c r="O33" s="76">
        <f>O7*(1+O6)^6</f>
        <v>12685.37464874215</v>
      </c>
    </row>
    <row r="34" spans="2:15" ht="15.75" thickBot="1" x14ac:dyDescent="0.3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  <c r="N34" s="79" t="s">
        <v>79</v>
      </c>
      <c r="O34" s="80">
        <f>O33-(O31/2)</f>
        <v>8107.0879070413857</v>
      </c>
    </row>
    <row r="35" spans="2:15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  <c r="N35" s="54"/>
      <c r="O35" s="55"/>
    </row>
    <row r="36" spans="2:15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  <c r="N36" s="54"/>
      <c r="O36" s="73"/>
    </row>
    <row r="37" spans="2:15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  <c r="N37" s="54"/>
      <c r="O37" s="72"/>
    </row>
    <row r="38" spans="2:15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7"/>
  <sheetViews>
    <sheetView topLeftCell="A43" zoomScale="70" zoomScaleNormal="70" workbookViewId="0">
      <selection activeCell="R9" sqref="R9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1" style="5" customWidth="1"/>
    <col min="5" max="5" width="11" style="6" customWidth="1"/>
    <col min="6" max="6" width="12.42578125" style="1" bestFit="1" customWidth="1"/>
    <col min="7" max="7" width="12.140625" style="1" bestFit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9.42578125" style="1" customWidth="1"/>
    <col min="14" max="16" width="10.85546875" style="1"/>
    <col min="17" max="17" width="43.85546875" style="1" customWidth="1"/>
    <col min="18" max="18" width="12.7109375" style="1" customWidth="1"/>
    <col min="19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76</v>
      </c>
      <c r="G2" s="89" t="s">
        <v>21</v>
      </c>
      <c r="I2" s="1" t="s">
        <v>4</v>
      </c>
    </row>
    <row r="3" spans="2:18" ht="16.5" thickTop="1" thickBot="1" x14ac:dyDescent="0.3">
      <c r="B3" s="61">
        <v>2024</v>
      </c>
      <c r="C3" s="58">
        <v>64</v>
      </c>
      <c r="D3" s="85">
        <f t="shared" ref="D3:E7" si="0">D4*(1+$N$6)</f>
        <v>54360.857384573552</v>
      </c>
      <c r="E3" s="30">
        <f t="shared" si="0"/>
        <v>65738.689948352316</v>
      </c>
      <c r="F3" s="125">
        <f>E3*(1+N6)</f>
        <v>67546.503921932002</v>
      </c>
      <c r="G3" s="90">
        <f>D3*($N$9/E3)</f>
        <v>52944.888948161155</v>
      </c>
      <c r="J3" s="14" t="s">
        <v>5</v>
      </c>
      <c r="M3" s="126" t="s">
        <v>29</v>
      </c>
      <c r="N3" s="126"/>
      <c r="Q3" s="116" t="s">
        <v>62</v>
      </c>
    </row>
    <row r="4" spans="2:18" x14ac:dyDescent="0.25">
      <c r="B4" s="62">
        <v>2023</v>
      </c>
      <c r="C4" s="59">
        <v>63</v>
      </c>
      <c r="D4" s="85">
        <f t="shared" si="0"/>
        <v>52905.943926592263</v>
      </c>
      <c r="E4" s="30">
        <f t="shared" si="0"/>
        <v>63979.260290367209</v>
      </c>
      <c r="G4" s="90">
        <f t="shared" ref="G4:G66" si="1">D4*($N$9/E4)</f>
        <v>52944.888948161155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69</v>
      </c>
      <c r="R4" s="117">
        <v>8.33</v>
      </c>
    </row>
    <row r="5" spans="2:18" x14ac:dyDescent="0.25">
      <c r="B5" s="62">
        <v>2022</v>
      </c>
      <c r="C5" s="59">
        <v>62</v>
      </c>
      <c r="D5" s="85">
        <f>D6*(1+$N$6)</f>
        <v>51489.969758240644</v>
      </c>
      <c r="E5" s="30">
        <f t="shared" si="0"/>
        <v>62266.919990625014</v>
      </c>
      <c r="G5" s="90">
        <f t="shared" si="1"/>
        <v>52944.888948161162</v>
      </c>
      <c r="I5" s="12" t="s">
        <v>6</v>
      </c>
      <c r="J5" s="28">
        <f>N16</f>
        <v>14398.564752910162</v>
      </c>
      <c r="M5" s="12" t="s">
        <v>15</v>
      </c>
      <c r="N5" s="28">
        <v>7217</v>
      </c>
      <c r="Q5" s="12" t="s">
        <v>57</v>
      </c>
      <c r="R5" s="118">
        <f>G8*0.15+G7*0.3+G6*0.5+G5*0.75+G4+G3</f>
        <v>195896.08910819629</v>
      </c>
    </row>
    <row r="6" spans="2:18" x14ac:dyDescent="0.25">
      <c r="B6" s="62">
        <v>2021</v>
      </c>
      <c r="C6" s="59">
        <v>61</v>
      </c>
      <c r="D6" s="85">
        <f>D7*(1+$N$6)</f>
        <v>50111.892708750012</v>
      </c>
      <c r="E6" s="30">
        <f t="shared" si="0"/>
        <v>60600.40875000001</v>
      </c>
      <c r="G6" s="90">
        <f t="shared" si="1"/>
        <v>52944.888948161162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70</v>
      </c>
      <c r="R6" s="119">
        <f>B3-B8+1</f>
        <v>6</v>
      </c>
    </row>
    <row r="7" spans="2:18" x14ac:dyDescent="0.25">
      <c r="B7" s="62">
        <v>2020</v>
      </c>
      <c r="C7" s="59">
        <v>60</v>
      </c>
      <c r="D7" s="85">
        <f>D8*(1+$N$6)</f>
        <v>48770.698500000006</v>
      </c>
      <c r="E7" s="30">
        <f t="shared" si="0"/>
        <v>58978.500000000007</v>
      </c>
      <c r="G7" s="90">
        <f t="shared" si="1"/>
        <v>52944.888948161155</v>
      </c>
      <c r="I7" s="12" t="s">
        <v>8</v>
      </c>
      <c r="J7" s="28">
        <f>N33</f>
        <v>5486.0922722870691</v>
      </c>
      <c r="M7" s="12" t="s">
        <v>16</v>
      </c>
      <c r="N7" s="28">
        <v>10779.84</v>
      </c>
      <c r="Q7" s="12" t="s">
        <v>71</v>
      </c>
      <c r="R7" s="119">
        <v>40</v>
      </c>
    </row>
    <row r="8" spans="2:18" x14ac:dyDescent="0.25">
      <c r="B8" s="62">
        <v>2019</v>
      </c>
      <c r="C8" s="59">
        <v>59</v>
      </c>
      <c r="D8" s="46">
        <v>47465.4</v>
      </c>
      <c r="E8" s="81">
        <v>57400</v>
      </c>
      <c r="G8" s="90">
        <f t="shared" si="1"/>
        <v>52944.888948161148</v>
      </c>
      <c r="I8" s="12" t="s">
        <v>9</v>
      </c>
      <c r="J8" s="16">
        <v>0</v>
      </c>
      <c r="M8" s="12" t="s">
        <v>37</v>
      </c>
      <c r="N8" s="31">
        <f>65-18</f>
        <v>47</v>
      </c>
      <c r="O8" s="1" t="s">
        <v>38</v>
      </c>
      <c r="Q8" s="12" t="s">
        <v>58</v>
      </c>
      <c r="R8" s="118">
        <f>R5*(R4/100)/R7</f>
        <v>407.95360556781873</v>
      </c>
    </row>
    <row r="9" spans="2:18" ht="15.75" thickBot="1" x14ac:dyDescent="0.3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1"/>
        <v>53490.398525712815</v>
      </c>
      <c r="I9" s="13" t="s">
        <v>10</v>
      </c>
      <c r="J9" s="18">
        <v>0</v>
      </c>
      <c r="M9" s="12" t="s">
        <v>20</v>
      </c>
      <c r="N9" s="28">
        <f>AVERAGE(E3:E6,F3)</f>
        <v>64026.356580255306</v>
      </c>
      <c r="Q9" s="12" t="s">
        <v>32</v>
      </c>
      <c r="R9" s="119">
        <f>N14</f>
        <v>0</v>
      </c>
    </row>
    <row r="10" spans="2:18" ht="15.75" thickBot="1" x14ac:dyDescent="0.3">
      <c r="B10" s="62">
        <v>2017</v>
      </c>
      <c r="C10" s="59">
        <v>57</v>
      </c>
      <c r="D10" s="46">
        <v>46323.45</v>
      </c>
      <c r="E10" s="81">
        <f t="shared" ref="E10:E67" si="2">E9/(1.0275)</f>
        <v>54368.610178722593</v>
      </c>
      <c r="G10" s="90">
        <f t="shared" si="1"/>
        <v>54552.09757942929</v>
      </c>
      <c r="I10" s="11" t="s">
        <v>11</v>
      </c>
      <c r="J10" s="70">
        <f>SUM(J5:J7)</f>
        <v>28377.39428660112</v>
      </c>
      <c r="M10" s="12" t="s">
        <v>23</v>
      </c>
      <c r="N10" s="31">
        <f>N8-7</f>
        <v>40</v>
      </c>
      <c r="Q10" s="13" t="s">
        <v>73</v>
      </c>
      <c r="R10" s="121">
        <f>R8*(1-(R9/100))</f>
        <v>407.95360556781873</v>
      </c>
    </row>
    <row r="11" spans="2:18" ht="15.75" thickBot="1" x14ac:dyDescent="0.3">
      <c r="B11" s="62">
        <v>2016</v>
      </c>
      <c r="C11" s="59">
        <v>56</v>
      </c>
      <c r="D11" s="46">
        <v>45538.98</v>
      </c>
      <c r="E11" s="81">
        <f t="shared" si="2"/>
        <v>52913.489225034151</v>
      </c>
      <c r="G11" s="90">
        <f t="shared" si="1"/>
        <v>55103.056224114152</v>
      </c>
      <c r="I11" s="13" t="s">
        <v>12</v>
      </c>
      <c r="J11" s="17">
        <f>J10/D3</f>
        <v>0.52201888733738067</v>
      </c>
      <c r="M11" s="12" t="s">
        <v>24</v>
      </c>
      <c r="N11" s="31">
        <f>N10*0.15</f>
        <v>6</v>
      </c>
    </row>
    <row r="12" spans="2:18" x14ac:dyDescent="0.25">
      <c r="B12" s="62">
        <v>2015</v>
      </c>
      <c r="C12" s="59">
        <v>55</v>
      </c>
      <c r="D12" s="46">
        <v>44665.14</v>
      </c>
      <c r="E12" s="81">
        <f t="shared" si="2"/>
        <v>51497.313114388468</v>
      </c>
      <c r="G12" s="90">
        <f t="shared" si="1"/>
        <v>55531.9492882048</v>
      </c>
      <c r="M12" s="12" t="s">
        <v>31</v>
      </c>
      <c r="N12" s="69">
        <f>AVERAGE(G3:G29,G37:G43)</f>
        <v>55962.444589369377</v>
      </c>
      <c r="Q12" s="116"/>
    </row>
    <row r="13" spans="2:18" x14ac:dyDescent="0.25">
      <c r="B13" s="62">
        <v>2014</v>
      </c>
      <c r="C13" s="59">
        <v>54</v>
      </c>
      <c r="D13" s="46">
        <v>43811.159999999996</v>
      </c>
      <c r="E13" s="81">
        <f t="shared" si="2"/>
        <v>50119.039527385365</v>
      </c>
      <c r="G13" s="90">
        <f t="shared" si="1"/>
        <v>55968.130650666404</v>
      </c>
      <c r="I13" s="1" t="s">
        <v>80</v>
      </c>
      <c r="M13" s="12" t="s">
        <v>30</v>
      </c>
      <c r="N13" s="69">
        <f>N12*0.25</f>
        <v>13990.611147342344</v>
      </c>
    </row>
    <row r="14" spans="2:18" x14ac:dyDescent="0.25">
      <c r="B14" s="62">
        <v>2013</v>
      </c>
      <c r="C14" s="59">
        <v>53</v>
      </c>
      <c r="D14" s="46">
        <v>42699</v>
      </c>
      <c r="E14" s="81">
        <f t="shared" si="2"/>
        <v>48777.654041250957</v>
      </c>
      <c r="G14" s="90">
        <f t="shared" si="1"/>
        <v>56047.414607277169</v>
      </c>
      <c r="M14" s="12" t="s">
        <v>32</v>
      </c>
      <c r="N14" s="40">
        <v>0</v>
      </c>
    </row>
    <row r="15" spans="2:18" ht="15.75" thickBot="1" x14ac:dyDescent="0.3">
      <c r="B15" s="62">
        <v>2012</v>
      </c>
      <c r="C15" s="59">
        <v>52</v>
      </c>
      <c r="D15" s="46">
        <v>42291.87</v>
      </c>
      <c r="E15" s="81">
        <f t="shared" si="2"/>
        <v>47472.169383212604</v>
      </c>
      <c r="G15" s="90">
        <f t="shared" si="1"/>
        <v>57039.616774356829</v>
      </c>
      <c r="M15" s="13" t="s">
        <v>66</v>
      </c>
      <c r="N15" s="29">
        <f>N13*(1-N14/100)</f>
        <v>13990.611147342344</v>
      </c>
      <c r="Q15" s="116" t="s">
        <v>63</v>
      </c>
    </row>
    <row r="16" spans="2:18" ht="15.75" thickBot="1" x14ac:dyDescent="0.3">
      <c r="B16" s="62">
        <v>2011</v>
      </c>
      <c r="C16" s="59">
        <v>51</v>
      </c>
      <c r="D16" s="46">
        <v>41576.909999999996</v>
      </c>
      <c r="E16" s="81">
        <f t="shared" si="2"/>
        <v>46201.624703856542</v>
      </c>
      <c r="G16" s="90">
        <f t="shared" si="1"/>
        <v>57617.412422792535</v>
      </c>
      <c r="M16" s="122" t="s">
        <v>67</v>
      </c>
      <c r="N16" s="123">
        <f>N15+R10</f>
        <v>14398.564752910162</v>
      </c>
      <c r="Q16" s="1" t="s">
        <v>72</v>
      </c>
    </row>
    <row r="17" spans="2:17" x14ac:dyDescent="0.25">
      <c r="B17" s="62">
        <v>2010</v>
      </c>
      <c r="C17" s="59">
        <v>50</v>
      </c>
      <c r="D17" s="46">
        <v>40812.300000000003</v>
      </c>
      <c r="E17" s="81">
        <f t="shared" si="2"/>
        <v>44965.084869933373</v>
      </c>
      <c r="G17" s="90">
        <f t="shared" si="1"/>
        <v>58113.153354851558</v>
      </c>
      <c r="M17" s="54"/>
      <c r="N17" s="68"/>
      <c r="Q17" s="1" t="s">
        <v>68</v>
      </c>
    </row>
    <row r="18" spans="2:17" ht="15.75" thickBot="1" x14ac:dyDescent="0.3">
      <c r="B18" s="62">
        <v>2009</v>
      </c>
      <c r="C18" s="59">
        <v>49</v>
      </c>
      <c r="D18" s="46">
        <v>40137.06</v>
      </c>
      <c r="E18" s="81">
        <f t="shared" si="2"/>
        <v>43761.639776090873</v>
      </c>
      <c r="G18" s="90">
        <f t="shared" si="1"/>
        <v>58723.341465077501</v>
      </c>
      <c r="M18" s="126" t="s">
        <v>17</v>
      </c>
      <c r="N18" s="126"/>
    </row>
    <row r="19" spans="2:17" x14ac:dyDescent="0.25">
      <c r="B19" s="62">
        <v>2008</v>
      </c>
      <c r="C19" s="59">
        <v>48</v>
      </c>
      <c r="D19" s="46">
        <v>39620.699999999997</v>
      </c>
      <c r="E19" s="81">
        <f t="shared" si="2"/>
        <v>42590.403675027614</v>
      </c>
      <c r="G19" s="90">
        <f t="shared" si="1"/>
        <v>59561.986909429696</v>
      </c>
      <c r="M19" s="11" t="s">
        <v>18</v>
      </c>
      <c r="N19" s="32"/>
    </row>
    <row r="20" spans="2:17" x14ac:dyDescent="0.25">
      <c r="B20" s="62">
        <v>2007</v>
      </c>
      <c r="C20" s="59">
        <v>47</v>
      </c>
      <c r="D20" s="46">
        <v>38766.720000000001</v>
      </c>
      <c r="E20" s="81">
        <f t="shared" si="2"/>
        <v>41450.514525574319</v>
      </c>
      <c r="G20" s="90">
        <f t="shared" si="1"/>
        <v>59880.845064914771</v>
      </c>
      <c r="M20" s="12" t="s">
        <v>19</v>
      </c>
      <c r="N20" s="33"/>
    </row>
    <row r="21" spans="2:17" x14ac:dyDescent="0.25">
      <c r="B21" s="62">
        <v>2006</v>
      </c>
      <c r="C21" s="59">
        <v>46</v>
      </c>
      <c r="D21" s="46">
        <v>37882.949999999997</v>
      </c>
      <c r="E21" s="81">
        <f t="shared" si="2"/>
        <v>40341.133358223182</v>
      </c>
      <c r="G21" s="90">
        <f t="shared" si="1"/>
        <v>60124.916260379796</v>
      </c>
      <c r="M21" s="12"/>
      <c r="N21" s="28"/>
    </row>
    <row r="22" spans="2:17" x14ac:dyDescent="0.25">
      <c r="B22" s="62">
        <v>2005</v>
      </c>
      <c r="C22" s="59">
        <v>45</v>
      </c>
      <c r="D22" s="46">
        <v>37336.800000000003</v>
      </c>
      <c r="E22" s="81">
        <f t="shared" si="2"/>
        <v>39261.443657638127</v>
      </c>
      <c r="G22" s="90">
        <f t="shared" si="1"/>
        <v>60887.706810052783</v>
      </c>
      <c r="M22" s="12" t="s">
        <v>25</v>
      </c>
      <c r="N22" s="41"/>
    </row>
    <row r="23" spans="2:17" x14ac:dyDescent="0.25">
      <c r="B23" s="62">
        <v>2004</v>
      </c>
      <c r="C23" s="59">
        <v>44</v>
      </c>
      <c r="D23" s="46">
        <v>36403.379999999997</v>
      </c>
      <c r="E23" s="81">
        <f t="shared" si="2"/>
        <v>38210.650761691606</v>
      </c>
      <c r="G23" s="90">
        <f t="shared" si="1"/>
        <v>60998.065778645992</v>
      </c>
      <c r="M23" s="12" t="s">
        <v>26</v>
      </c>
      <c r="N23" s="42"/>
    </row>
    <row r="24" spans="2:17" x14ac:dyDescent="0.25">
      <c r="B24" s="62">
        <v>2003</v>
      </c>
      <c r="C24" s="59">
        <v>43</v>
      </c>
      <c r="D24" s="46">
        <v>34755</v>
      </c>
      <c r="E24" s="81">
        <f t="shared" si="2"/>
        <v>37187.981276585502</v>
      </c>
      <c r="G24" s="90">
        <f t="shared" si="1"/>
        <v>59837.505198160303</v>
      </c>
      <c r="M24" s="12"/>
      <c r="N24" s="28"/>
    </row>
    <row r="25" spans="2:17" x14ac:dyDescent="0.25">
      <c r="B25" s="62">
        <v>2002</v>
      </c>
      <c r="C25" s="59">
        <v>42</v>
      </c>
      <c r="D25" s="46">
        <v>34546.47</v>
      </c>
      <c r="E25" s="81">
        <f t="shared" si="2"/>
        <v>36192.682507625788</v>
      </c>
      <c r="G25" s="90">
        <f t="shared" si="1"/>
        <v>61114.138371563065</v>
      </c>
      <c r="M25" s="12" t="s">
        <v>27</v>
      </c>
      <c r="N25" s="44"/>
    </row>
    <row r="26" spans="2:17" x14ac:dyDescent="0.25">
      <c r="B26" s="62">
        <v>2001</v>
      </c>
      <c r="C26" s="59">
        <v>41</v>
      </c>
      <c r="D26" s="46">
        <v>33920.879999999997</v>
      </c>
      <c r="E26" s="81">
        <f t="shared" si="2"/>
        <v>35224.021905231908</v>
      </c>
      <c r="G26" s="90">
        <f t="shared" si="1"/>
        <v>61657.648415028474</v>
      </c>
      <c r="M26" s="12"/>
      <c r="N26" s="28"/>
    </row>
    <row r="27" spans="2:17" ht="15.75" thickBot="1" x14ac:dyDescent="0.3">
      <c r="B27" s="62">
        <v>2000</v>
      </c>
      <c r="C27" s="59">
        <v>40</v>
      </c>
      <c r="D27" s="46">
        <v>32769</v>
      </c>
      <c r="E27" s="81">
        <f t="shared" si="2"/>
        <v>34281.286525773146</v>
      </c>
      <c r="G27" s="90">
        <f t="shared" si="1"/>
        <v>61201.894427183201</v>
      </c>
      <c r="M27" s="56" t="s">
        <v>28</v>
      </c>
      <c r="N27" s="57"/>
    </row>
    <row r="28" spans="2:17" x14ac:dyDescent="0.25">
      <c r="B28" s="62">
        <v>1999</v>
      </c>
      <c r="C28" s="59">
        <v>39</v>
      </c>
      <c r="D28" s="46">
        <v>32351.94</v>
      </c>
      <c r="E28" s="81">
        <f t="shared" si="2"/>
        <v>33363.782506835174</v>
      </c>
      <c r="G28" s="90">
        <f t="shared" si="1"/>
        <v>62084.592659080721</v>
      </c>
      <c r="M28" s="54"/>
      <c r="N28" s="55"/>
    </row>
    <row r="29" spans="2:17" x14ac:dyDescent="0.25">
      <c r="B29" s="63">
        <v>1998</v>
      </c>
      <c r="C29" s="59">
        <v>38</v>
      </c>
      <c r="D29" s="46">
        <v>31155.375</v>
      </c>
      <c r="E29" s="81">
        <f t="shared" si="2"/>
        <v>32470.834556530579</v>
      </c>
      <c r="G29" s="90">
        <f t="shared" si="1"/>
        <v>61432.518639727467</v>
      </c>
    </row>
    <row r="30" spans="2:17" ht="15.75" thickBot="1" x14ac:dyDescent="0.3">
      <c r="B30" s="22">
        <v>1997</v>
      </c>
      <c r="C30" s="51">
        <v>37</v>
      </c>
      <c r="D30" s="47">
        <v>0</v>
      </c>
      <c r="E30" s="83">
        <f t="shared" si="2"/>
        <v>31601.785456477446</v>
      </c>
      <c r="G30" s="90">
        <f t="shared" si="1"/>
        <v>0</v>
      </c>
      <c r="M30" s="126" t="s">
        <v>39</v>
      </c>
      <c r="N30" s="127"/>
    </row>
    <row r="31" spans="2:17" x14ac:dyDescent="0.25">
      <c r="B31" s="22">
        <v>1996</v>
      </c>
      <c r="C31" s="51">
        <v>36</v>
      </c>
      <c r="D31" s="47">
        <v>1492</v>
      </c>
      <c r="E31" s="83">
        <f t="shared" si="2"/>
        <v>30755.995578080237</v>
      </c>
      <c r="G31" s="90">
        <f t="shared" si="1"/>
        <v>3105.9740457832272</v>
      </c>
      <c r="M31" s="77" t="s">
        <v>36</v>
      </c>
      <c r="N31" s="75">
        <f>N5*(1+N6)^6</f>
        <v>8492.7372614038886</v>
      </c>
    </row>
    <row r="32" spans="2:17" x14ac:dyDescent="0.25">
      <c r="B32" s="22">
        <v>1995</v>
      </c>
      <c r="C32" s="51">
        <v>35</v>
      </c>
      <c r="D32" s="47">
        <v>1302</v>
      </c>
      <c r="E32" s="83">
        <f t="shared" si="2"/>
        <v>29932.842411756919</v>
      </c>
      <c r="G32" s="90">
        <f t="shared" si="1"/>
        <v>2784.9782897580635</v>
      </c>
      <c r="M32" s="78" t="s">
        <v>78</v>
      </c>
      <c r="N32" s="76">
        <f>N7*(1+N6)^6</f>
        <v>12685.37464874215</v>
      </c>
    </row>
    <row r="33" spans="2:14" ht="15.75" thickBot="1" x14ac:dyDescent="0.3">
      <c r="B33" s="22">
        <v>1994</v>
      </c>
      <c r="C33" s="51">
        <v>34</v>
      </c>
      <c r="D33" s="47">
        <v>0</v>
      </c>
      <c r="E33" s="83">
        <f t="shared" si="2"/>
        <v>29131.720108765858</v>
      </c>
      <c r="G33" s="90">
        <f t="shared" si="1"/>
        <v>0</v>
      </c>
      <c r="M33" s="79" t="s">
        <v>79</v>
      </c>
      <c r="N33" s="80">
        <f>N32-(N16/2)</f>
        <v>5486.0922722870691</v>
      </c>
    </row>
    <row r="34" spans="2:14" x14ac:dyDescent="0.25">
      <c r="B34" s="22">
        <v>1993</v>
      </c>
      <c r="C34" s="51">
        <v>33</v>
      </c>
      <c r="D34" s="47">
        <v>0</v>
      </c>
      <c r="E34" s="83">
        <f t="shared" si="2"/>
        <v>28352.039035295238</v>
      </c>
      <c r="G34" s="90">
        <f t="shared" si="1"/>
        <v>0</v>
      </c>
      <c r="M34" s="54"/>
      <c r="N34" s="55"/>
    </row>
    <row r="35" spans="2:14" x14ac:dyDescent="0.25">
      <c r="B35" s="22">
        <v>1992</v>
      </c>
      <c r="C35" s="51">
        <v>32</v>
      </c>
      <c r="D35" s="47">
        <v>0</v>
      </c>
      <c r="E35" s="83">
        <f t="shared" si="2"/>
        <v>27593.225338486849</v>
      </c>
      <c r="G35" s="90">
        <f t="shared" si="1"/>
        <v>0</v>
      </c>
      <c r="M35" s="54"/>
      <c r="N35" s="73"/>
    </row>
    <row r="36" spans="2:14" x14ac:dyDescent="0.25">
      <c r="B36" s="22">
        <v>1991</v>
      </c>
      <c r="C36" s="51">
        <v>31</v>
      </c>
      <c r="D36" s="47">
        <v>0</v>
      </c>
      <c r="E36" s="83">
        <f t="shared" si="2"/>
        <v>26854.72052407479</v>
      </c>
      <c r="G36" s="90">
        <f t="shared" si="1"/>
        <v>0</v>
      </c>
    </row>
    <row r="37" spans="2:14" x14ac:dyDescent="0.25">
      <c r="B37" s="61">
        <v>1990</v>
      </c>
      <c r="C37" s="59">
        <v>30</v>
      </c>
      <c r="D37" s="46">
        <v>24854.79</v>
      </c>
      <c r="E37" s="81">
        <f t="shared" si="2"/>
        <v>26135.981045328259</v>
      </c>
      <c r="G37" s="90">
        <f t="shared" si="1"/>
        <v>60887.771708566332</v>
      </c>
    </row>
    <row r="38" spans="2:14" x14ac:dyDescent="0.25">
      <c r="B38" s="62">
        <v>1989</v>
      </c>
      <c r="C38" s="59">
        <v>29</v>
      </c>
      <c r="D38" s="46">
        <v>24825</v>
      </c>
      <c r="E38" s="81">
        <f t="shared" si="2"/>
        <v>25436.47790299587</v>
      </c>
      <c r="G38" s="90">
        <f t="shared" si="1"/>
        <v>62487.200789604387</v>
      </c>
    </row>
    <row r="39" spans="2:14" x14ac:dyDescent="0.25">
      <c r="B39" s="62">
        <v>1988</v>
      </c>
      <c r="C39" s="59">
        <v>28</v>
      </c>
      <c r="D39" s="46">
        <v>22789.35</v>
      </c>
      <c r="E39" s="81">
        <f t="shared" si="2"/>
        <v>24755.696255957049</v>
      </c>
      <c r="G39" s="90">
        <f t="shared" si="1"/>
        <v>58940.739708790381</v>
      </c>
    </row>
    <row r="40" spans="2:14" x14ac:dyDescent="0.25">
      <c r="B40" s="62">
        <v>1987</v>
      </c>
      <c r="C40" s="59">
        <v>27</v>
      </c>
      <c r="D40" s="46">
        <v>22243.200000000001</v>
      </c>
      <c r="E40" s="81">
        <f t="shared" si="2"/>
        <v>24093.135042293965</v>
      </c>
      <c r="G40" s="90">
        <f t="shared" si="1"/>
        <v>59110.242489652272</v>
      </c>
    </row>
    <row r="41" spans="2:14" x14ac:dyDescent="0.25">
      <c r="B41" s="62">
        <v>1986</v>
      </c>
      <c r="C41" s="59">
        <v>26</v>
      </c>
      <c r="D41" s="46">
        <v>20853</v>
      </c>
      <c r="E41" s="81">
        <f t="shared" si="2"/>
        <v>23448.306610505075</v>
      </c>
      <c r="G41" s="90">
        <f t="shared" si="1"/>
        <v>56939.788273235361</v>
      </c>
    </row>
    <row r="42" spans="2:14" x14ac:dyDescent="0.25">
      <c r="B42" s="62">
        <v>1985</v>
      </c>
      <c r="C42" s="59">
        <v>25</v>
      </c>
      <c r="D42" s="46">
        <v>19860</v>
      </c>
      <c r="E42" s="81">
        <f t="shared" si="2"/>
        <v>22820.736360588879</v>
      </c>
      <c r="G42" s="90">
        <f t="shared" si="1"/>
        <v>55719.649953094602</v>
      </c>
    </row>
    <row r="43" spans="2:14" x14ac:dyDescent="0.25">
      <c r="B43" s="67">
        <v>1984</v>
      </c>
      <c r="C43" s="64">
        <v>24</v>
      </c>
      <c r="D43" s="48">
        <v>0</v>
      </c>
      <c r="E43" s="84">
        <f t="shared" si="2"/>
        <v>22209.962394733699</v>
      </c>
      <c r="G43" s="90">
        <f t="shared" si="1"/>
        <v>0</v>
      </c>
    </row>
    <row r="44" spans="2:14" x14ac:dyDescent="0.25">
      <c r="B44" s="21">
        <v>1983</v>
      </c>
      <c r="C44" s="52">
        <v>23</v>
      </c>
      <c r="D44" s="49">
        <v>0</v>
      </c>
      <c r="E44" s="82">
        <f t="shared" si="2"/>
        <v>21615.535177356396</v>
      </c>
      <c r="G44" s="90">
        <f t="shared" si="1"/>
        <v>0</v>
      </c>
    </row>
    <row r="45" spans="2:14" x14ac:dyDescent="0.25">
      <c r="B45" s="21">
        <v>1982</v>
      </c>
      <c r="C45" s="52">
        <v>22</v>
      </c>
      <c r="D45" s="49">
        <v>0</v>
      </c>
      <c r="E45" s="82">
        <f t="shared" si="2"/>
        <v>21037.017204239801</v>
      </c>
      <c r="G45" s="90">
        <f t="shared" si="1"/>
        <v>0</v>
      </c>
    </row>
    <row r="46" spans="2:14" x14ac:dyDescent="0.25">
      <c r="B46" s="21">
        <v>1981</v>
      </c>
      <c r="C46" s="52">
        <v>21</v>
      </c>
      <c r="D46" s="49">
        <v>0</v>
      </c>
      <c r="E46" s="82">
        <f t="shared" si="2"/>
        <v>20473.982680525351</v>
      </c>
      <c r="G46" s="90">
        <f t="shared" si="1"/>
        <v>0</v>
      </c>
    </row>
    <row r="47" spans="2:14" x14ac:dyDescent="0.25">
      <c r="B47" s="21">
        <v>1980</v>
      </c>
      <c r="C47" s="52">
        <v>20</v>
      </c>
      <c r="D47" s="49">
        <v>0</v>
      </c>
      <c r="E47" s="82">
        <f t="shared" si="2"/>
        <v>19926.017207323941</v>
      </c>
      <c r="G47" s="90">
        <f t="shared" si="1"/>
        <v>0</v>
      </c>
    </row>
    <row r="48" spans="2:14" x14ac:dyDescent="0.25">
      <c r="B48" s="21">
        <v>1979</v>
      </c>
      <c r="C48" s="52">
        <v>19</v>
      </c>
      <c r="D48" s="49">
        <v>0</v>
      </c>
      <c r="E48" s="82">
        <f t="shared" si="2"/>
        <v>19392.717476714297</v>
      </c>
      <c r="G48" s="90">
        <f t="shared" si="1"/>
        <v>0</v>
      </c>
    </row>
    <row r="49" spans="2:7" x14ac:dyDescent="0.25">
      <c r="B49" s="21">
        <v>1978</v>
      </c>
      <c r="C49" s="53">
        <v>18</v>
      </c>
      <c r="D49" s="49">
        <v>0</v>
      </c>
      <c r="E49" s="82">
        <f t="shared" si="2"/>
        <v>18873.690974904424</v>
      </c>
      <c r="G49" s="90">
        <f t="shared" si="1"/>
        <v>0</v>
      </c>
    </row>
    <row r="50" spans="2:7" x14ac:dyDescent="0.25">
      <c r="B50" s="2">
        <v>1977</v>
      </c>
      <c r="C50" s="4">
        <v>17</v>
      </c>
      <c r="D50" s="20">
        <v>0</v>
      </c>
      <c r="E50" s="81">
        <f t="shared" si="2"/>
        <v>18368.555693337639</v>
      </c>
      <c r="G50" s="90">
        <f t="shared" si="1"/>
        <v>0</v>
      </c>
    </row>
    <row r="51" spans="2:7" x14ac:dyDescent="0.25">
      <c r="B51" s="2">
        <v>1976</v>
      </c>
      <c r="C51" s="4">
        <v>16</v>
      </c>
      <c r="D51" s="20">
        <v>0</v>
      </c>
      <c r="E51" s="81">
        <f t="shared" si="2"/>
        <v>17876.939847530546</v>
      </c>
      <c r="G51" s="90">
        <f t="shared" si="1"/>
        <v>0</v>
      </c>
    </row>
    <row r="52" spans="2:7" x14ac:dyDescent="0.25">
      <c r="B52" s="2">
        <v>1975</v>
      </c>
      <c r="C52" s="4">
        <v>15</v>
      </c>
      <c r="D52" s="20">
        <v>0</v>
      </c>
      <c r="E52" s="81">
        <f t="shared" si="2"/>
        <v>17398.481603436052</v>
      </c>
      <c r="G52" s="90">
        <f t="shared" si="1"/>
        <v>0</v>
      </c>
    </row>
    <row r="53" spans="2:7" x14ac:dyDescent="0.25">
      <c r="B53" s="2">
        <v>1974</v>
      </c>
      <c r="C53" s="4">
        <v>14</v>
      </c>
      <c r="D53" s="20">
        <v>0</v>
      </c>
      <c r="E53" s="81">
        <f t="shared" si="2"/>
        <v>16932.828811129977</v>
      </c>
      <c r="G53" s="90">
        <f t="shared" si="1"/>
        <v>0</v>
      </c>
    </row>
    <row r="54" spans="2:7" x14ac:dyDescent="0.25">
      <c r="B54" s="2">
        <v>1973</v>
      </c>
      <c r="C54" s="4">
        <v>13</v>
      </c>
      <c r="D54" s="20">
        <v>0</v>
      </c>
      <c r="E54" s="81">
        <f t="shared" si="2"/>
        <v>16479.638745625281</v>
      </c>
      <c r="G54" s="90">
        <f t="shared" si="1"/>
        <v>0</v>
      </c>
    </row>
    <row r="55" spans="2:7" x14ac:dyDescent="0.25">
      <c r="B55" s="2">
        <v>1972</v>
      </c>
      <c r="C55" s="4">
        <v>12</v>
      </c>
      <c r="D55" s="20">
        <v>0</v>
      </c>
      <c r="E55" s="81">
        <f t="shared" si="2"/>
        <v>16038.577854623143</v>
      </c>
      <c r="G55" s="90">
        <f t="shared" si="1"/>
        <v>0</v>
      </c>
    </row>
    <row r="56" spans="2:7" x14ac:dyDescent="0.25">
      <c r="B56" s="2">
        <v>1971</v>
      </c>
      <c r="C56" s="4">
        <v>11</v>
      </c>
      <c r="D56" s="20">
        <v>0</v>
      </c>
      <c r="E56" s="81">
        <f t="shared" si="2"/>
        <v>15609.321513015224</v>
      </c>
      <c r="G56" s="90">
        <f t="shared" si="1"/>
        <v>0</v>
      </c>
    </row>
    <row r="57" spans="2:7" x14ac:dyDescent="0.25">
      <c r="B57" s="2">
        <v>1970</v>
      </c>
      <c r="C57" s="4">
        <v>10</v>
      </c>
      <c r="D57" s="20">
        <v>0</v>
      </c>
      <c r="E57" s="81">
        <f t="shared" si="2"/>
        <v>15191.55378395642</v>
      </c>
      <c r="G57" s="90">
        <f t="shared" si="1"/>
        <v>0</v>
      </c>
    </row>
    <row r="58" spans="2:7" x14ac:dyDescent="0.25">
      <c r="B58" s="2">
        <v>1969</v>
      </c>
      <c r="C58" s="4">
        <v>9</v>
      </c>
      <c r="D58" s="20">
        <v>0</v>
      </c>
      <c r="E58" s="81">
        <f t="shared" si="2"/>
        <v>14784.967186332282</v>
      </c>
      <c r="G58" s="90">
        <f t="shared" si="1"/>
        <v>0</v>
      </c>
    </row>
    <row r="59" spans="2:7" x14ac:dyDescent="0.25">
      <c r="B59" s="2">
        <v>1968</v>
      </c>
      <c r="C59" s="4">
        <v>8</v>
      </c>
      <c r="D59" s="20">
        <v>0</v>
      </c>
      <c r="E59" s="81">
        <f t="shared" si="2"/>
        <v>14389.262468449908</v>
      </c>
      <c r="G59" s="90">
        <f t="shared" si="1"/>
        <v>0</v>
      </c>
    </row>
    <row r="60" spans="2:7" x14ac:dyDescent="0.25">
      <c r="B60" s="2">
        <v>1967</v>
      </c>
      <c r="C60" s="4">
        <v>7</v>
      </c>
      <c r="D60" s="20">
        <v>0</v>
      </c>
      <c r="E60" s="81">
        <f t="shared" si="2"/>
        <v>14004.148387785797</v>
      </c>
      <c r="G60" s="90">
        <f t="shared" si="1"/>
        <v>0</v>
      </c>
    </row>
    <row r="61" spans="2:7" x14ac:dyDescent="0.25">
      <c r="B61" s="2">
        <v>1966</v>
      </c>
      <c r="C61" s="4">
        <v>6</v>
      </c>
      <c r="D61" s="20">
        <v>0</v>
      </c>
      <c r="E61" s="81">
        <f t="shared" si="2"/>
        <v>13629.341496628513</v>
      </c>
      <c r="G61" s="90">
        <f t="shared" si="1"/>
        <v>0</v>
      </c>
    </row>
    <row r="62" spans="2:7" x14ac:dyDescent="0.25">
      <c r="B62" s="2">
        <v>1965</v>
      </c>
      <c r="C62" s="4">
        <v>5</v>
      </c>
      <c r="D62" s="20">
        <v>0</v>
      </c>
      <c r="E62" s="81">
        <f t="shared" si="2"/>
        <v>13264.565933458405</v>
      </c>
      <c r="G62" s="90">
        <f t="shared" si="1"/>
        <v>0</v>
      </c>
    </row>
    <row r="63" spans="2:7" x14ac:dyDescent="0.25">
      <c r="B63" s="2">
        <v>1964</v>
      </c>
      <c r="C63" s="4">
        <v>4</v>
      </c>
      <c r="D63" s="20">
        <v>0</v>
      </c>
      <c r="E63" s="81">
        <f t="shared" si="2"/>
        <v>12909.553219910855</v>
      </c>
      <c r="G63" s="90">
        <f t="shared" si="1"/>
        <v>0</v>
      </c>
    </row>
    <row r="64" spans="2:7" x14ac:dyDescent="0.25">
      <c r="B64" s="2">
        <v>1963</v>
      </c>
      <c r="C64" s="4">
        <v>3</v>
      </c>
      <c r="D64" s="20">
        <v>0</v>
      </c>
      <c r="E64" s="81">
        <f t="shared" si="2"/>
        <v>12564.04206317358</v>
      </c>
      <c r="G64" s="90">
        <f t="shared" si="1"/>
        <v>0</v>
      </c>
    </row>
    <row r="65" spans="2:7" x14ac:dyDescent="0.25">
      <c r="B65" s="2">
        <v>1962</v>
      </c>
      <c r="C65" s="4">
        <v>2</v>
      </c>
      <c r="D65" s="20">
        <v>0</v>
      </c>
      <c r="E65" s="81">
        <f t="shared" si="2"/>
        <v>12227.778163672583</v>
      </c>
      <c r="G65" s="90">
        <f t="shared" si="1"/>
        <v>0</v>
      </c>
    </row>
    <row r="66" spans="2:7" x14ac:dyDescent="0.25">
      <c r="B66" s="2">
        <v>1961</v>
      </c>
      <c r="C66" s="4">
        <v>1</v>
      </c>
      <c r="D66" s="20">
        <v>0</v>
      </c>
      <c r="E66" s="81">
        <f t="shared" si="2"/>
        <v>11900.51402790519</v>
      </c>
      <c r="G66" s="90">
        <f t="shared" si="1"/>
        <v>0</v>
      </c>
    </row>
    <row r="67" spans="2:7" x14ac:dyDescent="0.25">
      <c r="B67" s="25">
        <v>1960</v>
      </c>
      <c r="C67" s="26">
        <v>0</v>
      </c>
      <c r="D67" s="20">
        <v>0</v>
      </c>
      <c r="E67" s="81">
        <f t="shared" si="2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2"/>
  <sheetViews>
    <sheetView zoomScale="60" zoomScaleNormal="60" workbookViewId="0">
      <selection activeCell="N45" sqref="N45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0.85546875" style="6"/>
    <col min="6" max="6" width="12.42578125" style="1" customWidth="1"/>
    <col min="7" max="7" width="12.7109375" style="1" customWidth="1"/>
    <col min="8" max="8" width="12.42578125" style="1" bestFit="1" customWidth="1"/>
    <col min="9" max="9" width="47.28515625" style="1" bestFit="1" customWidth="1"/>
    <col min="10" max="10" width="11.42578125" style="1" bestFit="1" customWidth="1"/>
    <col min="11" max="12" width="10.85546875" style="1"/>
    <col min="13" max="13" width="48.85546875" style="1" customWidth="1"/>
    <col min="14" max="16384" width="10.85546875" style="1"/>
  </cols>
  <sheetData>
    <row r="1" spans="2:20" ht="9.9499999999999993" customHeight="1" thickBot="1" x14ac:dyDescent="0.3">
      <c r="B1" s="3"/>
      <c r="E1" s="5"/>
    </row>
    <row r="2" spans="2:20" ht="15.75" thickBot="1" x14ac:dyDescent="0.3">
      <c r="B2" s="60" t="s">
        <v>0</v>
      </c>
      <c r="C2" s="50" t="s">
        <v>1</v>
      </c>
      <c r="D2" s="9" t="s">
        <v>2</v>
      </c>
      <c r="E2" s="9" t="s">
        <v>3</v>
      </c>
      <c r="F2" s="89" t="s">
        <v>51</v>
      </c>
      <c r="G2" s="110" t="s">
        <v>21</v>
      </c>
      <c r="H2" s="1" t="s">
        <v>74</v>
      </c>
      <c r="I2" s="1" t="s">
        <v>4</v>
      </c>
      <c r="P2" s="7" t="s">
        <v>0</v>
      </c>
      <c r="Q2" s="8" t="s">
        <v>48</v>
      </c>
      <c r="R2" s="9" t="s">
        <v>2</v>
      </c>
      <c r="S2" s="10" t="s">
        <v>3</v>
      </c>
      <c r="T2" s="1" t="s">
        <v>47</v>
      </c>
    </row>
    <row r="3" spans="2:20" ht="16.5" thickTop="1" thickBot="1" x14ac:dyDescent="0.3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47490.894261242873</v>
      </c>
      <c r="H3" s="125">
        <f>E3*(1+N6)</f>
        <v>58978.500000000007</v>
      </c>
      <c r="J3" s="14" t="s">
        <v>5</v>
      </c>
      <c r="M3" s="126" t="s">
        <v>29</v>
      </c>
      <c r="N3" s="126"/>
      <c r="P3" s="2">
        <v>2019</v>
      </c>
      <c r="Q3" s="4">
        <v>59</v>
      </c>
      <c r="R3" s="19">
        <v>49248</v>
      </c>
      <c r="S3" s="84">
        <v>57400</v>
      </c>
    </row>
    <row r="4" spans="2:20" x14ac:dyDescent="0.2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47980.293181078327</v>
      </c>
      <c r="I4" s="11" t="s">
        <v>13</v>
      </c>
      <c r="J4" s="27">
        <f>N34</f>
        <v>22392.720000000001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x14ac:dyDescent="0.2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48932.663722566213</v>
      </c>
      <c r="I5" s="12" t="s">
        <v>6</v>
      </c>
      <c r="J5" s="28">
        <f>N16</f>
        <v>8532.345452032805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2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49426.746045462991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2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49811.123465812692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2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50202.686944382411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38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5.75" thickBot="1" x14ac:dyDescent="0.3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50273.249789630972</v>
      </c>
      <c r="I9" s="13" t="s">
        <v>10</v>
      </c>
      <c r="J9" s="18">
        <v>0</v>
      </c>
      <c r="M9" s="12" t="s">
        <v>20</v>
      </c>
      <c r="N9" s="28">
        <f>AVERAGE(E3:E6,H3)</f>
        <v>55904.869272478842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2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51163.512895431697</v>
      </c>
      <c r="I10" s="11" t="s">
        <v>11</v>
      </c>
      <c r="J10" s="70">
        <f>SUM(J4:J5)</f>
        <v>30925.065452032806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5.75" thickBot="1" x14ac:dyDescent="0.3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>D11*($N$9/E11)</f>
        <v>51682.355148147013</v>
      </c>
      <c r="I11" s="13" t="s">
        <v>12</v>
      </c>
      <c r="J11" s="17">
        <f>J10/D3</f>
        <v>0.63421721154268385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x14ac:dyDescent="0.2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52126.389973417186</v>
      </c>
      <c r="M12" s="12" t="s">
        <v>31</v>
      </c>
      <c r="N12" s="69">
        <f>AVERAGE(G3:G38)</f>
        <v>50880.035960652254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2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52673.29061792195</v>
      </c>
      <c r="I13" s="1" t="s">
        <v>54</v>
      </c>
      <c r="M13" s="12" t="s">
        <v>30</v>
      </c>
      <c r="N13" s="69">
        <f>N12*0.25</f>
        <v>12720.008990163064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2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53426.11933172663</v>
      </c>
      <c r="I14" s="1" t="s">
        <v>55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5.75" thickBot="1" x14ac:dyDescent="0.3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53712.515857983111</v>
      </c>
      <c r="M15" s="13" t="s">
        <v>64</v>
      </c>
      <c r="N15" s="29">
        <f>N13*(1-N14/100)</f>
        <v>8522.4060234092522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5.75" thickBot="1" x14ac:dyDescent="0.3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53931.30079310407</v>
      </c>
      <c r="I16" s="1" t="s">
        <v>81</v>
      </c>
      <c r="M16" s="122" t="s">
        <v>65</v>
      </c>
      <c r="N16" s="123">
        <f>N15+N45</f>
        <v>8532.345452032805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2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54615.596525525048</v>
      </c>
      <c r="I17" s="1" t="s">
        <v>77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5.75" thickBot="1" x14ac:dyDescent="0.3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54714.440987194954</v>
      </c>
      <c r="M18" s="126" t="s">
        <v>17</v>
      </c>
      <c r="N18" s="12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2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53673.993155453536</v>
      </c>
      <c r="M19" s="11" t="s">
        <v>49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2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54817.929154407706</v>
      </c>
      <c r="J20" s="35"/>
      <c r="M20" s="12" t="s">
        <v>50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x14ac:dyDescent="0.2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55306.488985822252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2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54896.586594105727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2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55967.231478850452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x14ac:dyDescent="0.2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>F24*($N$9/E24)</f>
        <v>55380.037180377636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2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ref="G25:G37" si="4">F25*($N$9/E25)</f>
        <v>55677.926978860363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x14ac:dyDescent="0.2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55904.877310158699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5.75" thickBot="1" x14ac:dyDescent="0.3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54570.708667357954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x14ac:dyDescent="0.2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54496.832719539365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x14ac:dyDescent="0.2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54580.721053974674</v>
      </c>
      <c r="M29" s="126"/>
      <c r="N29" s="12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5.75" thickBot="1" x14ac:dyDescent="0.3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54689.804116585801</v>
      </c>
      <c r="M30" s="126" t="s">
        <v>41</v>
      </c>
      <c r="N30" s="12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x14ac:dyDescent="0.2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55276.761955550952</v>
      </c>
      <c r="M31" s="77" t="s">
        <v>40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2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>AVERAGE(D32,R32)</f>
        <v>25660.5</v>
      </c>
      <c r="G32" s="111">
        <f t="shared" si="4"/>
        <v>54887.815210704131</v>
      </c>
      <c r="M32" s="78" t="s">
        <v>42</v>
      </c>
      <c r="N32" s="92">
        <f>60-25</f>
        <v>35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2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55904.869272478842</v>
      </c>
      <c r="H33" s="35">
        <f>E33</f>
        <v>25436.47790299587</v>
      </c>
      <c r="I33" s="1" t="s">
        <v>52</v>
      </c>
      <c r="M33" s="78" t="s">
        <v>43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5.75" thickBot="1" x14ac:dyDescent="0.3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53132.408422016</v>
      </c>
      <c r="I34" s="1" t="s">
        <v>53</v>
      </c>
      <c r="M34" s="79" t="s">
        <v>44</v>
      </c>
      <c r="N34" s="80">
        <f>N31*N32*N33</f>
        <v>22392.720000000001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x14ac:dyDescent="0.2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53286.023929810843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x14ac:dyDescent="0.2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51328.906200330173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2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25738.192656467909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5.75" thickBot="1" x14ac:dyDescent="0.3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6" t="s">
        <v>62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2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69</v>
      </c>
      <c r="N39" s="117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2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57</v>
      </c>
      <c r="N40" s="118">
        <f>G3*0.15</f>
        <v>7123.6341391864307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2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70</v>
      </c>
      <c r="N41" s="119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2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71</v>
      </c>
      <c r="N42" s="119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2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58</v>
      </c>
      <c r="N43" s="118">
        <f>N40*(N39/100)/N42</f>
        <v>14.834968094855743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2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32</v>
      </c>
      <c r="N44" s="119">
        <f>N14</f>
        <v>33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5.75" thickBot="1" x14ac:dyDescent="0.3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59</v>
      </c>
      <c r="N45" s="121">
        <f>N43*(1-(N44/100))</f>
        <v>9.9394286235533471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6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6"/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2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Utilisateur</cp:lastModifiedBy>
  <dcterms:created xsi:type="dcterms:W3CDTF">2020-02-19T22:08:10Z</dcterms:created>
  <dcterms:modified xsi:type="dcterms:W3CDTF">2020-04-28T18:08:45Z</dcterms:modified>
</cp:coreProperties>
</file>