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M:\groupe\BO\ETUDOC\SITE INTERNET CNC\VidéoVàD\"/>
    </mc:Choice>
  </mc:AlternateContent>
  <xr:revisionPtr revIDLastSave="0" documentId="13_ncr:1_{26A5017F-73C7-4665-A28E-5EDD74E2D110}" xr6:coauthVersionLast="47" xr6:coauthVersionMax="47" xr10:uidLastSave="{00000000-0000-0000-0000-000000000000}"/>
  <bookViews>
    <workbookView xWindow="0" yWindow="0" windowWidth="9600" windowHeight="10200" tabRatio="911" xr2:uid="{00000000-000D-0000-FFFF-FFFF00000000}"/>
  </bookViews>
  <sheets>
    <sheet name="Sommaire" sheetId="15" r:id="rId1"/>
    <sheet name="Sources" sheetId="16" r:id="rId2"/>
    <sheet name="CA 100% TypeAchat" sheetId="17" r:id="rId3"/>
    <sheet name="100% Acte" sheetId="18" r:id="rId4"/>
    <sheet name="StructureGenre" sheetId="9" r:id="rId5"/>
    <sheet name="StructureNatioCinema" sheetId="20" r:id="rId6"/>
    <sheet name="PoidsTop" sheetId="14" r:id="rId7"/>
    <sheet name="StructureGenreAV" sheetId="19" r:id="rId8"/>
    <sheet name="CA 100% Support" sheetId="13" r:id="rId9"/>
  </sheets>
  <definedNames>
    <definedName name="_xlnm.Database" localSheetId="3">#REF!</definedName>
    <definedName name="_xlnm.Database" localSheetId="2">#REF!</definedName>
    <definedName name="_xlnm.Database" localSheetId="7">#REF!</definedName>
    <definedName name="_xlnm.Database" localSheetId="5">#REF!</definedName>
    <definedName name="_xlnm.Datab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9" l="1"/>
  <c r="O10" i="17"/>
  <c r="O12" i="17" s="1"/>
  <c r="G11" i="18"/>
  <c r="G15" i="18"/>
  <c r="G17" i="18"/>
  <c r="G18" i="18"/>
  <c r="G19" i="18" l="1"/>
  <c r="F14" i="9" l="1"/>
  <c r="F21" i="9"/>
  <c r="F11" i="18"/>
  <c r="F15" i="18"/>
  <c r="F17" i="18"/>
  <c r="F18" i="18"/>
  <c r="N10" i="17"/>
  <c r="N12" i="17" s="1"/>
  <c r="M10" i="17"/>
  <c r="M12" i="17" s="1"/>
  <c r="E11" i="18"/>
  <c r="E15" i="18"/>
  <c r="E17" i="18"/>
  <c r="E18" i="18"/>
  <c r="E21" i="9"/>
  <c r="F19" i="18" l="1"/>
  <c r="E19" i="18"/>
  <c r="C21" i="9" l="1"/>
  <c r="B21" i="9"/>
  <c r="B14" i="9"/>
  <c r="C14" i="9"/>
  <c r="D21" i="9"/>
  <c r="D14" i="9"/>
  <c r="D15" i="18"/>
  <c r="D11" i="18"/>
  <c r="C17" i="18"/>
  <c r="D17" i="18"/>
  <c r="C18" i="18"/>
  <c r="D18" i="18"/>
  <c r="B18" i="18"/>
  <c r="B17" i="18"/>
  <c r="B15" i="18"/>
  <c r="B11" i="18"/>
  <c r="C15" i="18"/>
  <c r="C11" i="18"/>
  <c r="L10" i="17"/>
  <c r="L12" i="17" s="1"/>
  <c r="D19" i="18" l="1"/>
  <c r="C19" i="18"/>
  <c r="B19" i="18"/>
  <c r="N24" i="19" l="1"/>
  <c r="N30" i="9"/>
  <c r="N35" i="9"/>
  <c r="H45" i="18"/>
  <c r="H49" i="18"/>
  <c r="K10" i="17"/>
  <c r="K12" i="17" s="1"/>
  <c r="H53" i="18" l="1"/>
  <c r="M35" i="9" l="1"/>
  <c r="M30" i="9"/>
  <c r="G49" i="18"/>
  <c r="G53" i="18" s="1"/>
  <c r="G45" i="18"/>
  <c r="I10" i="17"/>
  <c r="I12" i="17" s="1"/>
  <c r="J10" i="17"/>
  <c r="J12" i="17" s="1"/>
  <c r="L35" i="9" l="1"/>
  <c r="K35" i="9"/>
  <c r="F29" i="9"/>
  <c r="F27" i="9"/>
  <c r="L30" i="9"/>
  <c r="K30" i="9"/>
  <c r="I24" i="19"/>
  <c r="J24" i="19"/>
  <c r="K24" i="19"/>
  <c r="L24" i="19"/>
  <c r="L15" i="19"/>
  <c r="L14" i="19"/>
  <c r="L13" i="19"/>
  <c r="L12" i="19"/>
  <c r="L11" i="19"/>
  <c r="L10" i="19"/>
  <c r="K15" i="19"/>
  <c r="K14" i="19"/>
  <c r="K13" i="19"/>
  <c r="K12" i="19"/>
  <c r="K11" i="19"/>
  <c r="K10" i="19"/>
  <c r="J15" i="19"/>
  <c r="J14" i="19"/>
  <c r="J13" i="19"/>
  <c r="J12" i="19"/>
  <c r="J11" i="19"/>
  <c r="J10" i="19"/>
  <c r="I15" i="19"/>
  <c r="I14" i="19"/>
  <c r="I13" i="19"/>
  <c r="I12" i="19"/>
  <c r="I11" i="19"/>
  <c r="I10" i="19"/>
  <c r="H15" i="19"/>
  <c r="H14" i="19"/>
  <c r="H13" i="19"/>
  <c r="H12" i="19"/>
  <c r="H11" i="19"/>
  <c r="H10" i="19"/>
  <c r="G15" i="19"/>
  <c r="G14" i="19"/>
  <c r="G13" i="19"/>
  <c r="G12" i="19"/>
  <c r="G11" i="19"/>
  <c r="G10" i="19"/>
  <c r="G16" i="19" s="1"/>
  <c r="F15" i="19"/>
  <c r="F14" i="19"/>
  <c r="F13" i="19"/>
  <c r="F12" i="19"/>
  <c r="F11" i="19"/>
  <c r="F10" i="19"/>
  <c r="K16" i="19" l="1"/>
  <c r="L16" i="19"/>
  <c r="H33" i="20" l="1"/>
  <c r="H32" i="20"/>
  <c r="H31" i="20"/>
  <c r="H34" i="20" s="1"/>
  <c r="G33" i="20"/>
  <c r="G32" i="20"/>
  <c r="G31" i="20"/>
  <c r="H28" i="20"/>
  <c r="H27" i="20"/>
  <c r="H26" i="20"/>
  <c r="G28" i="20"/>
  <c r="G27" i="20"/>
  <c r="G26" i="20"/>
  <c r="G29" i="20" s="1"/>
  <c r="G34" i="20" l="1"/>
  <c r="H29" i="20"/>
  <c r="E45" i="18"/>
  <c r="F45" i="18"/>
  <c r="E52" i="18"/>
  <c r="E51" i="18"/>
  <c r="E49" i="18"/>
  <c r="E53" i="18" s="1"/>
  <c r="F49" i="18"/>
  <c r="D52" i="18"/>
  <c r="C52" i="18"/>
  <c r="B52" i="18"/>
  <c r="D51" i="18"/>
  <c r="C51" i="18"/>
  <c r="B51" i="18"/>
  <c r="D49" i="18"/>
  <c r="C49" i="18"/>
  <c r="B49" i="18"/>
  <c r="D45" i="18"/>
  <c r="C45" i="18"/>
  <c r="B45" i="18"/>
  <c r="D27" i="18"/>
  <c r="E27" i="18"/>
  <c r="F27" i="18"/>
  <c r="G27" i="18"/>
  <c r="F10" i="17"/>
  <c r="F12" i="17" s="1"/>
  <c r="G10" i="17"/>
  <c r="G12" i="17" s="1"/>
  <c r="H10" i="17"/>
  <c r="H12" i="17" s="1"/>
  <c r="F53" i="18" l="1"/>
  <c r="B53" i="18"/>
  <c r="C53" i="18"/>
  <c r="D53" i="18"/>
  <c r="F29" i="20" l="1"/>
  <c r="F34" i="20"/>
  <c r="J16" i="19"/>
  <c r="J30" i="9"/>
  <c r="J35" i="9"/>
  <c r="G31" i="18"/>
  <c r="G33" i="18"/>
  <c r="G34" i="18"/>
  <c r="G35" i="18" l="1"/>
  <c r="E29" i="20" l="1"/>
  <c r="E34" i="20"/>
  <c r="I16" i="19"/>
  <c r="I30" i="9"/>
  <c r="I35" i="9"/>
  <c r="F31" i="18"/>
  <c r="F33" i="18"/>
  <c r="F34" i="18"/>
  <c r="F35" i="18" l="1"/>
  <c r="D29" i="20" l="1"/>
  <c r="D34" i="20"/>
  <c r="H16" i="19"/>
  <c r="H24" i="19"/>
  <c r="H30" i="9"/>
  <c r="H35" i="9"/>
  <c r="E31" i="18"/>
  <c r="E33" i="18"/>
  <c r="E34" i="18"/>
  <c r="E10" i="17"/>
  <c r="E12" i="17" s="1"/>
  <c r="E35" i="18" l="1"/>
  <c r="C34" i="20" l="1"/>
  <c r="B34" i="20"/>
  <c r="C29" i="20"/>
  <c r="B29" i="20"/>
  <c r="G24" i="19"/>
  <c r="F24" i="19"/>
  <c r="E24" i="19"/>
  <c r="D24" i="19"/>
  <c r="C24" i="19"/>
  <c r="B24" i="19"/>
  <c r="F16" i="19"/>
  <c r="E16" i="19"/>
  <c r="D16" i="19"/>
  <c r="C16" i="19"/>
  <c r="B16" i="19"/>
  <c r="D10" i="17"/>
  <c r="D12" i="17" s="1"/>
  <c r="D34" i="18"/>
  <c r="C34" i="18"/>
  <c r="B34" i="18"/>
  <c r="D33" i="18"/>
  <c r="C33" i="18"/>
  <c r="B33" i="18"/>
  <c r="D31" i="18"/>
  <c r="D35" i="18" s="1"/>
  <c r="C31" i="18"/>
  <c r="B31" i="18"/>
  <c r="C27" i="18"/>
  <c r="B27" i="18"/>
  <c r="B35" i="18" s="1"/>
  <c r="C12" i="17"/>
  <c r="B12" i="17"/>
  <c r="C35" i="18" l="1"/>
  <c r="G35" i="9" l="1"/>
  <c r="F35" i="9"/>
  <c r="E35" i="9"/>
  <c r="D35" i="9"/>
  <c r="C35" i="9"/>
  <c r="B35" i="9"/>
  <c r="B30" i="9"/>
  <c r="C30" i="9"/>
  <c r="D30" i="9"/>
  <c r="E30" i="9"/>
  <c r="F30" i="9"/>
  <c r="G30" i="9"/>
  <c r="B11" i="13"/>
  <c r="C11" i="13"/>
  <c r="D11" i="13"/>
  <c r="E11" i="13"/>
</calcChain>
</file>

<file path=xl/sharedStrings.xml><?xml version="1.0" encoding="utf-8"?>
<sst xmlns="http://schemas.openxmlformats.org/spreadsheetml/2006/main" count="165" uniqueCount="61">
  <si>
    <t>autres</t>
  </si>
  <si>
    <t>adultes</t>
  </si>
  <si>
    <t>cinéma</t>
  </si>
  <si>
    <t>documentaire</t>
  </si>
  <si>
    <t>musique</t>
  </si>
  <si>
    <t>humour</t>
  </si>
  <si>
    <t>total</t>
  </si>
  <si>
    <t>TVIP</t>
  </si>
  <si>
    <t>séries et fictions TV</t>
  </si>
  <si>
    <t>ordinateur</t>
  </si>
  <si>
    <t>programmes jeunesses</t>
  </si>
  <si>
    <t>audiovisuel</t>
  </si>
  <si>
    <t>films français</t>
  </si>
  <si>
    <t>films américains</t>
  </si>
  <si>
    <t>autres films</t>
  </si>
  <si>
    <t>location</t>
  </si>
  <si>
    <t>vente</t>
  </si>
  <si>
    <t>paiement à l'acte</t>
  </si>
  <si>
    <t>abonnement</t>
  </si>
  <si>
    <t>volume (millions)</t>
  </si>
  <si>
    <t>prix moyen (€)</t>
  </si>
  <si>
    <t>volume</t>
  </si>
  <si>
    <t>top 10</t>
  </si>
  <si>
    <t>top 20</t>
  </si>
  <si>
    <t>top 30</t>
  </si>
  <si>
    <t>Poids des films cinématographiques les plus performants dans le total des transactions en paiement à l'acte</t>
  </si>
  <si>
    <t>Sources</t>
  </si>
  <si>
    <t>CONSOMMATION DES MENAGES EN VIDEO A LA DEMANDE</t>
  </si>
  <si>
    <t>Retour au menu "Consommation des ménages en vidéo à la demande"</t>
  </si>
  <si>
    <t>Estimation 100% du chiffre d'affaires de la VàD payante selon le support d'achat (M€)</t>
  </si>
  <si>
    <t>Estimation 100% du chiffre d'affaires de la VàD payante selon le support d'achat</t>
  </si>
  <si>
    <t>CA (M€)</t>
  </si>
  <si>
    <t>Estimation 100% du marché de la VàD en paiement à l'acte selon le support d'achat</t>
  </si>
  <si>
    <t>Estimation 100% du chiffre d'affaires de la VàD payante selon le type d'achat (M€)</t>
  </si>
  <si>
    <t>nc</t>
  </si>
  <si>
    <t>Estimation 100% du chiffre d'affaires de la VàD payante selon le type d'achat</t>
  </si>
  <si>
    <t>Structure du marché de la VàD en paiement à l'acte selon le genre</t>
  </si>
  <si>
    <t>chiffre d'affaires</t>
  </si>
  <si>
    <t>Structure du marché de la VàD en paiement à l'acte selon le genre (%)</t>
  </si>
  <si>
    <t>Structure du marché de la VàD en paiement à l'acte selon le genre de programmes audiovisuels (%)</t>
  </si>
  <si>
    <t>Structure du marché de la VàD en paiement à l'acte selon le genre de programmes audiovisuels</t>
  </si>
  <si>
    <t>Structure du chiffre d'affaires de la VàD en paiement à l'acte selon la nationalité des films</t>
  </si>
  <si>
    <t>Structure du chiffre d'affaires de la VàD en paiement à l'acte selon la nationalité des films (%)</t>
  </si>
  <si>
    <t>Poids des films cinématographiques les plus performants dans le total des transactions en paiement à l'acte (%)</t>
  </si>
  <si>
    <t>TVIP : télévision par protocole internet, proposée dans les offres triple play des opérateurs.</t>
  </si>
  <si>
    <t>Estimation 100% du marché de la VàD en location à l'acte selon le support d'achat</t>
  </si>
  <si>
    <t>Série interrompue en 2015.</t>
  </si>
  <si>
    <t>-</t>
  </si>
  <si>
    <t>Source AQOA à partir de 2018</t>
  </si>
  <si>
    <t>Série interrompue en 2019.</t>
  </si>
  <si>
    <t>Estimation 100% du marché de la VàD en location et en paiement à l'acte selon le support d'achat</t>
  </si>
  <si>
    <t>série interrompue en 2019</t>
  </si>
  <si>
    <t>Structure du marché de la VàD (VOD+EST) selon le genre (%)</t>
  </si>
  <si>
    <t>Structure du chiffre d'affaires de la VàD (VOD+EST) selon la nationalité des films* (%)</t>
  </si>
  <si>
    <t>*les films regroupent les films de cinéma ainsi que les films sortis directement en vidéo</t>
  </si>
  <si>
    <t>films européens</t>
  </si>
  <si>
    <t>Mis à jour le 29/06/2023.</t>
  </si>
  <si>
    <t>(série interrompue en 2019)</t>
  </si>
  <si>
    <t>(série interrompue en 2015)</t>
  </si>
  <si>
    <t>Mis à jour le 30/05/2024</t>
  </si>
  <si>
    <t>DTV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</si>
</sst>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 &quot;€&quot;_-;\-* #,##0.00\ &quot;€&quot;_-;_-* &quot;-&quot;??\ &quot;€&quot;_-;_-@_-"/>
    <numFmt numFmtId="43" formatCode="_-* #,##0.00_-;\-* #,##0.00_-;_-* &quot;-&quot;??_-;_-@_-"/>
    <numFmt numFmtId="164" formatCode="0.00,,"/>
    <numFmt numFmtId="165" formatCode="0.0"/>
    <numFmt numFmtId="166" formatCode="#,##0.00,,"/>
  </numFmts>
  <fonts count="26" x14ac:knownFonts="1">
    <font>
      <sz val="10"/>
      <name val="Arial"/>
    </font>
    <font>
      <sz val="11"/>
      <color theme="1"/>
      <name val="Calibri"/>
      <family val="2"/>
      <scheme val="minor"/>
    </font>
    <font>
      <sz val="10"/>
      <name val="Arial"/>
      <family val="2"/>
    </font>
    <font>
      <sz val="9"/>
      <name val="Arial"/>
      <family val="2"/>
    </font>
    <font>
      <b/>
      <sz val="9"/>
      <name val="Arial"/>
      <family val="2"/>
    </font>
    <font>
      <sz val="9"/>
      <name val="Arial"/>
      <family val="2"/>
    </font>
    <font>
      <sz val="8"/>
      <name val="Arial"/>
      <family val="2"/>
    </font>
    <font>
      <b/>
      <i/>
      <sz val="9"/>
      <name val="Arial"/>
      <family val="2"/>
    </font>
    <font>
      <b/>
      <sz val="10"/>
      <name val="Arial"/>
      <family val="2"/>
    </font>
    <font>
      <sz val="10"/>
      <name val="Arial"/>
      <family val="2"/>
    </font>
    <font>
      <sz val="10"/>
      <name val="MS Sans Serif"/>
      <family val="2"/>
    </font>
    <font>
      <b/>
      <sz val="20"/>
      <name val="Arial"/>
      <family val="2"/>
    </font>
    <font>
      <sz val="10"/>
      <color rgb="FFFF0000"/>
      <name val="Arial"/>
      <family val="2"/>
    </font>
    <font>
      <sz val="12"/>
      <name val="Arial"/>
      <family val="2"/>
    </font>
    <font>
      <u/>
      <sz val="10"/>
      <color indexed="12"/>
      <name val="Arial"/>
      <family val="2"/>
    </font>
    <font>
      <u/>
      <sz val="12"/>
      <color theme="1"/>
      <name val="Arial"/>
      <family val="2"/>
    </font>
    <font>
      <u/>
      <sz val="12"/>
      <name val="Arial"/>
      <family val="2"/>
    </font>
    <font>
      <sz val="12"/>
      <color theme="1"/>
      <name val="Arial"/>
      <family val="2"/>
    </font>
    <font>
      <sz val="12"/>
      <color rgb="FFFF0000"/>
      <name val="Arial"/>
      <family val="2"/>
    </font>
    <font>
      <sz val="10"/>
      <color indexed="12"/>
      <name val="Arial"/>
      <family val="2"/>
    </font>
    <font>
      <b/>
      <sz val="12"/>
      <name val="Arial"/>
      <family val="2"/>
    </font>
    <font>
      <sz val="9"/>
      <color rgb="FF00B0F0"/>
      <name val="Arial"/>
      <family val="2"/>
    </font>
    <font>
      <sz val="8"/>
      <color rgb="FFFF0000"/>
      <name val="Arial"/>
      <family val="2"/>
    </font>
    <font>
      <i/>
      <sz val="8"/>
      <name val="Arial"/>
      <family val="2"/>
    </font>
    <font>
      <b/>
      <sz val="9"/>
      <color rgb="FFFF0000"/>
      <name val="Arial"/>
      <family val="2"/>
    </font>
    <font>
      <sz val="9"/>
      <color rgb="FFFF0000"/>
      <name val="Arial"/>
      <family val="2"/>
    </font>
  </fonts>
  <fills count="2">
    <fill>
      <patternFill patternType="none"/>
    </fill>
    <fill>
      <patternFill patternType="gray125"/>
    </fill>
  </fills>
  <borders count="2">
    <border>
      <left/>
      <right/>
      <top/>
      <bottom/>
      <diagonal/>
    </border>
    <border>
      <left/>
      <right/>
      <top style="thin">
        <color auto="1"/>
      </top>
      <bottom style="thin">
        <color auto="1"/>
      </bottom>
      <diagonal/>
    </border>
  </borders>
  <cellStyleXfs count="9">
    <xf numFmtId="0" fontId="0" fillId="0" borderId="0"/>
    <xf numFmtId="0" fontId="10" fillId="0" borderId="0"/>
    <xf numFmtId="0" fontId="14" fillId="0" borderId="0" applyNumberFormat="0" applyFill="0" applyBorder="0" applyAlignment="0" applyProtection="0">
      <alignment vertical="top"/>
      <protection locked="0"/>
    </xf>
    <xf numFmtId="44" fontId="2" fillId="0" borderId="0" applyFont="0" applyFill="0" applyBorder="0" applyAlignment="0" applyProtection="0"/>
    <xf numFmtId="0" fontId="2"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77">
    <xf numFmtId="0" fontId="0" fillId="0" borderId="0" xfId="0"/>
    <xf numFmtId="0" fontId="3" fillId="0" borderId="0" xfId="0" applyFont="1"/>
    <xf numFmtId="0" fontId="4" fillId="0" borderId="0" xfId="0" applyFont="1"/>
    <xf numFmtId="0" fontId="5" fillId="0" borderId="0" xfId="0" applyFont="1"/>
    <xf numFmtId="0" fontId="7" fillId="0" borderId="0" xfId="0" applyFont="1"/>
    <xf numFmtId="0" fontId="3" fillId="0" borderId="0" xfId="0" applyFont="1" applyAlignment="1">
      <alignment horizontal="right"/>
    </xf>
    <xf numFmtId="0" fontId="8" fillId="0" borderId="0" xfId="0" applyFont="1"/>
    <xf numFmtId="0" fontId="9" fillId="0" borderId="0" xfId="0" applyFont="1"/>
    <xf numFmtId="0" fontId="9" fillId="0" borderId="0" xfId="0" applyFont="1" applyAlignment="1">
      <alignment horizontal="right"/>
    </xf>
    <xf numFmtId="0" fontId="11" fillId="0" borderId="0" xfId="1" applyFont="1"/>
    <xf numFmtId="0" fontId="12" fillId="0" borderId="0" xfId="1" applyFont="1" applyFill="1"/>
    <xf numFmtId="0" fontId="2" fillId="0" borderId="0" xfId="1" applyFont="1"/>
    <xf numFmtId="0" fontId="13" fillId="0" borderId="0" xfId="1" applyFont="1" applyAlignment="1">
      <alignment vertical="center"/>
    </xf>
    <xf numFmtId="0" fontId="15" fillId="0" borderId="0" xfId="2" applyFont="1" applyAlignment="1" applyProtection="1">
      <alignment vertical="center"/>
    </xf>
    <xf numFmtId="0" fontId="16" fillId="0" borderId="0" xfId="2" applyFont="1" applyAlignment="1" applyProtection="1">
      <alignment vertical="center"/>
    </xf>
    <xf numFmtId="0" fontId="17" fillId="0" borderId="0" xfId="1" applyFont="1" applyAlignment="1">
      <alignment vertical="center"/>
    </xf>
    <xf numFmtId="0" fontId="18" fillId="0" borderId="0" xfId="1" applyFont="1" applyAlignment="1">
      <alignment vertical="center"/>
    </xf>
    <xf numFmtId="0" fontId="16" fillId="0" borderId="0" xfId="2" applyFont="1" applyFill="1" applyAlignment="1" applyProtection="1">
      <alignment horizontal="left" vertical="center"/>
    </xf>
    <xf numFmtId="3" fontId="2" fillId="0" borderId="0" xfId="1" applyNumberFormat="1" applyFont="1"/>
    <xf numFmtId="0" fontId="14" fillId="0" borderId="0" xfId="2" applyAlignment="1" applyProtection="1"/>
    <xf numFmtId="3" fontId="19" fillId="0" borderId="0" xfId="1" applyNumberFormat="1" applyFont="1"/>
    <xf numFmtId="0" fontId="19" fillId="0" borderId="0" xfId="1" applyFont="1"/>
    <xf numFmtId="0" fontId="20" fillId="0" borderId="0" xfId="1" applyFont="1"/>
    <xf numFmtId="0" fontId="10" fillId="0" borderId="0" xfId="1"/>
    <xf numFmtId="0" fontId="4" fillId="0" borderId="1" xfId="0" applyFont="1" applyBorder="1"/>
    <xf numFmtId="0" fontId="3" fillId="0" borderId="1" xfId="0" applyFont="1" applyBorder="1"/>
    <xf numFmtId="164" fontId="3" fillId="0" borderId="1" xfId="0" applyNumberFormat="1" applyFont="1" applyBorder="1"/>
    <xf numFmtId="164" fontId="4" fillId="0" borderId="1" xfId="0" applyNumberFormat="1" applyFont="1" applyBorder="1"/>
    <xf numFmtId="0" fontId="6" fillId="0" borderId="0" xfId="0" applyFont="1" applyAlignment="1">
      <alignment horizontal="left"/>
    </xf>
    <xf numFmtId="2" fontId="3" fillId="0" borderId="1" xfId="0" applyNumberFormat="1" applyFont="1" applyBorder="1"/>
    <xf numFmtId="2" fontId="4" fillId="0" borderId="1" xfId="0" applyNumberFormat="1" applyFont="1" applyBorder="1"/>
    <xf numFmtId="166" fontId="3" fillId="0" borderId="1" xfId="0" applyNumberFormat="1" applyFont="1" applyBorder="1" applyAlignment="1">
      <alignment horizontal="right"/>
    </xf>
    <xf numFmtId="166" fontId="3" fillId="0" borderId="1" xfId="0" applyNumberFormat="1" applyFont="1" applyBorder="1"/>
    <xf numFmtId="0" fontId="7" fillId="0" borderId="1" xfId="0" applyFont="1" applyBorder="1"/>
    <xf numFmtId="164" fontId="7" fillId="0" borderId="1" xfId="0" applyNumberFormat="1" applyFont="1" applyBorder="1"/>
    <xf numFmtId="0" fontId="4" fillId="0" borderId="1" xfId="0" applyNumberFormat="1" applyFont="1" applyBorder="1"/>
    <xf numFmtId="0" fontId="5" fillId="0" borderId="1" xfId="0" applyFont="1" applyBorder="1"/>
    <xf numFmtId="165" fontId="5" fillId="0" borderId="1" xfId="0" applyNumberFormat="1" applyFont="1" applyBorder="1"/>
    <xf numFmtId="165" fontId="4" fillId="0" borderId="1" xfId="0" applyNumberFormat="1" applyFont="1" applyBorder="1"/>
    <xf numFmtId="165" fontId="4" fillId="0" borderId="0" xfId="0" applyNumberFormat="1" applyFont="1" applyBorder="1"/>
    <xf numFmtId="0" fontId="6" fillId="0" borderId="0" xfId="0" applyFont="1" applyBorder="1"/>
    <xf numFmtId="0" fontId="4" fillId="0" borderId="1" xfId="0" applyFont="1" applyBorder="1" applyAlignment="1">
      <alignment horizontal="right"/>
    </xf>
    <xf numFmtId="0" fontId="3" fillId="0" borderId="1" xfId="0" applyFont="1" applyBorder="1" applyAlignment="1">
      <alignment horizontal="left"/>
    </xf>
    <xf numFmtId="165" fontId="3" fillId="0" borderId="1" xfId="0" applyNumberFormat="1" applyFont="1" applyBorder="1" applyAlignment="1">
      <alignment horizontal="right"/>
    </xf>
    <xf numFmtId="165" fontId="4" fillId="0" borderId="1" xfId="0" applyNumberFormat="1" applyFont="1" applyBorder="1" applyAlignment="1">
      <alignment horizontal="right"/>
    </xf>
    <xf numFmtId="0" fontId="16" fillId="0" borderId="0" xfId="2" applyFont="1" applyAlignment="1" applyProtection="1">
      <alignment horizontal="left" vertical="center"/>
    </xf>
    <xf numFmtId="0" fontId="6" fillId="0" borderId="0" xfId="4" applyFont="1" applyBorder="1"/>
    <xf numFmtId="165" fontId="3" fillId="0" borderId="0" xfId="4" applyNumberFormat="1" applyFont="1" applyBorder="1" applyAlignment="1">
      <alignment horizontal="right"/>
    </xf>
    <xf numFmtId="165" fontId="3" fillId="0" borderId="0" xfId="4" applyNumberFormat="1" applyFont="1" applyBorder="1"/>
    <xf numFmtId="0" fontId="3" fillId="0" borderId="0" xfId="4" applyFont="1"/>
    <xf numFmtId="0" fontId="21" fillId="0" borderId="0" xfId="1" applyFont="1"/>
    <xf numFmtId="0" fontId="2" fillId="0" borderId="0" xfId="0" applyFont="1"/>
    <xf numFmtId="165" fontId="5" fillId="0" borderId="0" xfId="0" applyNumberFormat="1" applyFont="1"/>
    <xf numFmtId="0" fontId="22" fillId="0" borderId="0" xfId="0" applyFont="1"/>
    <xf numFmtId="0" fontId="23" fillId="0" borderId="0" xfId="0" applyFont="1"/>
    <xf numFmtId="0" fontId="4" fillId="0" borderId="0" xfId="0" applyFont="1" applyBorder="1"/>
    <xf numFmtId="2" fontId="4" fillId="0" borderId="0" xfId="0" applyNumberFormat="1" applyFont="1" applyBorder="1"/>
    <xf numFmtId="0" fontId="22" fillId="0" borderId="0" xfId="0" applyFont="1" applyBorder="1"/>
    <xf numFmtId="165" fontId="3" fillId="0" borderId="1" xfId="0" applyNumberFormat="1" applyFont="1" applyBorder="1"/>
    <xf numFmtId="0" fontId="3" fillId="0" borderId="0" xfId="0" applyFont="1" applyBorder="1" applyAlignment="1">
      <alignment horizontal="left"/>
    </xf>
    <xf numFmtId="165" fontId="3" fillId="0" borderId="0" xfId="0" applyNumberFormat="1" applyFont="1" applyBorder="1" applyAlignment="1">
      <alignment horizontal="right"/>
    </xf>
    <xf numFmtId="165" fontId="4" fillId="0" borderId="0" xfId="0" applyNumberFormat="1" applyFont="1" applyBorder="1" applyAlignment="1">
      <alignment horizontal="right"/>
    </xf>
    <xf numFmtId="0" fontId="24" fillId="0" borderId="0" xfId="0" applyFont="1"/>
    <xf numFmtId="0" fontId="25" fillId="0" borderId="0" xfId="0" applyFont="1"/>
    <xf numFmtId="0" fontId="24" fillId="0" borderId="1" xfId="0" applyFont="1" applyBorder="1"/>
    <xf numFmtId="0" fontId="24" fillId="0" borderId="1" xfId="0" applyNumberFormat="1" applyFont="1" applyBorder="1"/>
    <xf numFmtId="0" fontId="25" fillId="0" borderId="1" xfId="0" applyFont="1" applyBorder="1"/>
    <xf numFmtId="165" fontId="25" fillId="0" borderId="1" xfId="0" applyNumberFormat="1" applyFont="1" applyBorder="1"/>
    <xf numFmtId="165" fontId="24" fillId="0" borderId="1" xfId="0" applyNumberFormat="1" applyFont="1" applyBorder="1"/>
    <xf numFmtId="3" fontId="2" fillId="0" borderId="0" xfId="1" applyNumberFormat="1" applyFont="1" applyAlignment="1">
      <alignment horizontal="right"/>
    </xf>
    <xf numFmtId="3" fontId="19" fillId="0" borderId="0" xfId="1" applyNumberFormat="1" applyFont="1" applyAlignment="1">
      <alignment horizontal="right"/>
    </xf>
    <xf numFmtId="0" fontId="4" fillId="0" borderId="0" xfId="0" applyFont="1" applyAlignment="1">
      <alignment horizontal="right"/>
    </xf>
    <xf numFmtId="164" fontId="3" fillId="0" borderId="1" xfId="0" applyNumberFormat="1" applyFont="1" applyBorder="1" applyAlignment="1">
      <alignment horizontal="right"/>
    </xf>
    <xf numFmtId="164" fontId="4" fillId="0" borderId="1" xfId="0" applyNumberFormat="1" applyFont="1" applyBorder="1" applyAlignment="1">
      <alignment horizontal="right"/>
    </xf>
    <xf numFmtId="0" fontId="3" fillId="0" borderId="0" xfId="4" applyFont="1" applyAlignment="1">
      <alignment horizontal="right"/>
    </xf>
    <xf numFmtId="166" fontId="7" fillId="0" borderId="1" xfId="0" applyNumberFormat="1" applyFont="1" applyBorder="1"/>
    <xf numFmtId="166" fontId="4" fillId="0" borderId="1" xfId="0" applyNumberFormat="1" applyFont="1" applyBorder="1"/>
  </cellXfs>
  <cellStyles count="9">
    <cellStyle name="Euro" xfId="3" xr:uid="{00000000-0005-0000-0000-000000000000}"/>
    <cellStyle name="Lien hypertexte" xfId="2" builtinId="8"/>
    <cellStyle name="Milliers 2" xfId="8" xr:uid="{B5E0BA64-A7A9-4390-A9FE-D51F6D56AF35}"/>
    <cellStyle name="Milliers 3" xfId="6" xr:uid="{52C667B1-5412-477D-AA3E-981524D56AFF}"/>
    <cellStyle name="Normal" xfId="0" builtinId="0"/>
    <cellStyle name="Normal 2" xfId="1" xr:uid="{00000000-0005-0000-0000-000003000000}"/>
    <cellStyle name="Normal 3" xfId="5" xr:uid="{B91F9F04-46C1-436D-9612-5786DED1BF80}"/>
    <cellStyle name="Normal_Chap 08 Bilan 2007" xfId="4" xr:uid="{00000000-0005-0000-0000-000004000000}"/>
    <cellStyle name="Pourcentage 2" xfId="7" xr:uid="{37740023-5D78-4C62-9E54-A394C50A669B}"/>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28575</xdr:rowOff>
    </xdr:from>
    <xdr:to>
      <xdr:col>1</xdr:col>
      <xdr:colOff>704850</xdr:colOff>
      <xdr:row>1</xdr:row>
      <xdr:rowOff>152400</xdr:rowOff>
    </xdr:to>
    <xdr:pic>
      <xdr:nvPicPr>
        <xdr:cNvPr id="2" name="Picture 2" descr="image_gallery">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28575"/>
          <a:ext cx="14573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0</xdr:rowOff>
    </xdr:from>
    <xdr:to>
      <xdr:col>12</xdr:col>
      <xdr:colOff>0</xdr:colOff>
      <xdr:row>13</xdr:row>
      <xdr:rowOff>19050</xdr:rowOff>
    </xdr:to>
    <xdr:sp macro="" textlink="">
      <xdr:nvSpPr>
        <xdr:cNvPr id="2" name="Rectangle 2">
          <a:extLst>
            <a:ext uri="{FF2B5EF4-FFF2-40B4-BE49-F238E27FC236}">
              <a16:creationId xmlns:a16="http://schemas.microsoft.com/office/drawing/2014/main" id="{00000000-0008-0000-0100-000002000000}"/>
            </a:ext>
          </a:extLst>
        </xdr:cNvPr>
        <xdr:cNvSpPr>
          <a:spLocks noChangeArrowheads="1"/>
        </xdr:cNvSpPr>
      </xdr:nvSpPr>
      <xdr:spPr bwMode="auto">
        <a:xfrm>
          <a:off x="400050" y="996950"/>
          <a:ext cx="8801100" cy="1174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defTabSz="914400" eaLnBrk="1" fontAlgn="auto" latinLnBrk="0" hangingPunct="1">
            <a:lnSpc>
              <a:spcPct val="100000"/>
            </a:lnSpc>
            <a:spcBef>
              <a:spcPts val="0"/>
            </a:spcBef>
            <a:spcAft>
              <a:spcPts val="0"/>
            </a:spcAft>
            <a:buClrTx/>
            <a:buSzTx/>
            <a:buFontTx/>
            <a:buNone/>
            <a:tabLst/>
            <a:defRPr/>
          </a:pPr>
          <a:r>
            <a:rPr lang="fr-FR" sz="1000">
              <a:effectLst/>
              <a:latin typeface="Arial" pitchFamily="34" charset="0"/>
              <a:ea typeface="+mn-ea"/>
              <a:cs typeface="Arial" pitchFamily="34" charset="0"/>
            </a:rPr>
            <a:t>Pour la vidéo à la demande (VàD), les dépenses sont évaluées par AQOA à partir de 2018 pour la VàD à l’acte (location et vente) à partir des données de consommation réelles collectées auprès d'un panel d'acteurs du marché (éditeurs vidéo et services de VàD) et par le CNC pour la VàD par abonnement notamment sur la base des données publiques publiées par les sociétés et d'enquêtes réalisées auprès du public.</a:t>
          </a:r>
        </a:p>
        <a:p>
          <a:endParaRPr lang="fr-FR" sz="1000">
            <a:effectLst/>
            <a:latin typeface="Arial" pitchFamily="34" charset="0"/>
            <a:ea typeface="+mn-ea"/>
            <a:cs typeface="Arial" pitchFamily="34" charset="0"/>
          </a:endParaRPr>
        </a:p>
        <a:p>
          <a:r>
            <a:rPr lang="fr-FR" sz="1000">
              <a:effectLst/>
              <a:latin typeface="Arial" pitchFamily="34" charset="0"/>
              <a:ea typeface="+mn-ea"/>
              <a:cs typeface="Arial" pitchFamily="34" charset="0"/>
            </a:rPr>
            <a:t>Avant 2018, GfK Consumer Choices menait l'analyse qui recense chaque mois la totalité des références vendues ou louées par les services généralistes les plus représentatives du marché de la VàD payante installés en France.</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E20"/>
  <sheetViews>
    <sheetView showGridLines="0" tabSelected="1" workbookViewId="0">
      <selection activeCell="A6" sqref="A6"/>
    </sheetView>
  </sheetViews>
  <sheetFormatPr baseColWidth="10" defaultColWidth="11.453125" defaultRowHeight="12.5" x14ac:dyDescent="0.25"/>
  <cols>
    <col min="1" max="1" width="11.453125" style="11"/>
    <col min="2" max="2" width="74.453125" style="11" bestFit="1" customWidth="1"/>
    <col min="3" max="16384" width="11.453125" style="11"/>
  </cols>
  <sheetData>
    <row r="5" spans="1:2" s="9" customFormat="1" ht="25" x14ac:dyDescent="0.5">
      <c r="A5" s="9" t="s">
        <v>27</v>
      </c>
    </row>
    <row r="7" spans="1:2" x14ac:dyDescent="0.25">
      <c r="A7" s="10"/>
    </row>
    <row r="8" spans="1:2" s="51" customFormat="1" x14ac:dyDescent="0.25">
      <c r="A8" s="50" t="s">
        <v>59</v>
      </c>
    </row>
    <row r="10" spans="1:2" s="12" customFormat="1" ht="21" customHeight="1" x14ac:dyDescent="0.25">
      <c r="B10" s="13" t="s">
        <v>26</v>
      </c>
    </row>
    <row r="11" spans="1:2" s="12" customFormat="1" ht="21" customHeight="1" x14ac:dyDescent="0.25">
      <c r="B11" s="13"/>
    </row>
    <row r="12" spans="1:2" s="15" customFormat="1" ht="21" customHeight="1" x14ac:dyDescent="0.25">
      <c r="B12" s="14" t="s">
        <v>35</v>
      </c>
    </row>
    <row r="13" spans="1:2" s="15" customFormat="1" ht="21" customHeight="1" x14ac:dyDescent="0.25">
      <c r="B13" s="45" t="s">
        <v>32</v>
      </c>
    </row>
    <row r="14" spans="1:2" s="15" customFormat="1" ht="21" customHeight="1" x14ac:dyDescent="0.25">
      <c r="B14" s="14" t="s">
        <v>36</v>
      </c>
    </row>
    <row r="15" spans="1:2" s="15" customFormat="1" ht="21" customHeight="1" x14ac:dyDescent="0.25">
      <c r="B15" s="14" t="s">
        <v>41</v>
      </c>
    </row>
    <row r="16" spans="1:2" s="16" customFormat="1" ht="21" customHeight="1" x14ac:dyDescent="0.25">
      <c r="B16" s="17" t="s">
        <v>25</v>
      </c>
    </row>
    <row r="17" spans="2:5" s="16" customFormat="1" ht="21" customHeight="1" x14ac:dyDescent="0.25">
      <c r="B17" s="17"/>
    </row>
    <row r="18" spans="2:5" s="16" customFormat="1" ht="21" customHeight="1" x14ac:dyDescent="0.25">
      <c r="B18" s="45" t="s">
        <v>40</v>
      </c>
      <c r="E18" s="16" t="s">
        <v>57</v>
      </c>
    </row>
    <row r="19" spans="2:5" s="15" customFormat="1" ht="21" customHeight="1" x14ac:dyDescent="0.25">
      <c r="B19" s="14" t="s">
        <v>30</v>
      </c>
      <c r="D19" s="16" t="s">
        <v>58</v>
      </c>
    </row>
    <row r="20" spans="2:5" s="12" customFormat="1" ht="21" customHeight="1" x14ac:dyDescent="0.25">
      <c r="B20" s="17"/>
    </row>
  </sheetData>
  <hyperlinks>
    <hyperlink ref="B19" location="'CA 100% Support'!A1" display="Estimation 100% du chiffre d'affaires de la VàD payante selon le support d'achat" xr:uid="{00000000-0004-0000-0000-000000000000}"/>
    <hyperlink ref="B13" location="'100% Acte'!A1" display="Estimation 100% du marché de la VàD en paiement à l'acte selon le support d'achat" xr:uid="{00000000-0004-0000-0000-000001000000}"/>
    <hyperlink ref="B12" location="'CA 100% TypeAchat'!A1" display="Estimation 100% du chiffre d'affaires de la VàD payante selon le type d'achat" xr:uid="{00000000-0004-0000-0000-000002000000}"/>
    <hyperlink ref="B10" location="Sources!A1" display="Sources" xr:uid="{00000000-0004-0000-0000-000003000000}"/>
    <hyperlink ref="B16" location="PoidsTop!A1" display="Poids des films cinématographiques les plus performants dans le total des transactions en paiement à l'acte" xr:uid="{00000000-0004-0000-0000-000004000000}"/>
    <hyperlink ref="B14" location="StructureGenre!A1" display="Structure du marché de la VàD en paiement à l'acte selon le genre" xr:uid="{00000000-0004-0000-0000-000005000000}"/>
    <hyperlink ref="B18" location="StructureGenreAV!A1" display="Structure du marché de la VàD en paiement à l'acte selon le genre de programmes audiovisuels" xr:uid="{00000000-0004-0000-0000-000006000000}"/>
    <hyperlink ref="B15" location="StructureNatioCinema!A1" display="Structure du chiffre d'affaires de la VàD en paiement à l'acte selon la nationalité des films" xr:uid="{00000000-0004-0000-0000-000007000000}"/>
  </hyperlinks>
  <pageMargins left="0.78740157480314965" right="0.78740157480314965" top="0.98425196850393704" bottom="0.98425196850393704" header="0.51181102362204722" footer="0.51181102362204722"/>
  <pageSetup paperSize="9" scale="72"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
  <sheetViews>
    <sheetView showGridLines="0" workbookViewId="0">
      <selection activeCell="F17" sqref="F17"/>
    </sheetView>
  </sheetViews>
  <sheetFormatPr baseColWidth="10" defaultColWidth="11.453125" defaultRowHeight="13" x14ac:dyDescent="0.3"/>
  <cols>
    <col min="1" max="1" width="5.7265625" style="23" customWidth="1"/>
    <col min="2" max="12" width="11.453125" style="23"/>
    <col min="13" max="13" width="3.26953125" style="23" customWidth="1"/>
    <col min="14" max="16384" width="11.453125" style="23"/>
  </cols>
  <sheetData>
    <row r="1" spans="1:16" s="11" customFormat="1" ht="12.5" x14ac:dyDescent="0.25">
      <c r="B1" s="18"/>
      <c r="C1" s="18"/>
      <c r="D1" s="18"/>
      <c r="E1" s="18"/>
      <c r="F1" s="18"/>
      <c r="G1" s="18"/>
      <c r="H1" s="18"/>
      <c r="I1" s="18"/>
      <c r="J1" s="18"/>
      <c r="K1" s="18"/>
      <c r="L1" s="18"/>
      <c r="M1" s="18"/>
      <c r="N1" s="18"/>
      <c r="O1" s="18"/>
      <c r="P1" s="18"/>
    </row>
    <row r="2" spans="1:16" s="21" customFormat="1" ht="12.5" x14ac:dyDescent="0.25">
      <c r="A2" s="19" t="s">
        <v>28</v>
      </c>
      <c r="B2" s="20"/>
      <c r="C2" s="20"/>
      <c r="D2" s="20"/>
      <c r="E2" s="20"/>
      <c r="F2" s="20"/>
      <c r="G2" s="20"/>
      <c r="H2" s="20"/>
      <c r="I2" s="20"/>
      <c r="J2" s="20"/>
      <c r="K2" s="20"/>
      <c r="L2" s="20"/>
      <c r="M2" s="20"/>
      <c r="N2" s="20"/>
      <c r="O2" s="20"/>
      <c r="P2" s="20"/>
    </row>
    <row r="3" spans="1:16" s="11" customFormat="1" ht="12.5" x14ac:dyDescent="0.25">
      <c r="B3" s="18"/>
      <c r="C3" s="18"/>
      <c r="D3" s="18"/>
      <c r="E3" s="18"/>
      <c r="F3" s="18"/>
      <c r="G3" s="18"/>
      <c r="H3" s="18"/>
      <c r="I3" s="18"/>
      <c r="J3" s="18"/>
      <c r="K3" s="18"/>
      <c r="L3" s="18"/>
      <c r="M3" s="18"/>
      <c r="N3" s="18"/>
      <c r="O3" s="18"/>
      <c r="P3" s="18"/>
    </row>
    <row r="4" spans="1:16" s="11" customFormat="1" ht="12.5" x14ac:dyDescent="0.25">
      <c r="B4" s="18"/>
      <c r="C4" s="18"/>
      <c r="D4" s="18"/>
      <c r="E4" s="18"/>
      <c r="F4" s="18"/>
      <c r="G4" s="18"/>
      <c r="H4" s="18"/>
      <c r="I4" s="18"/>
      <c r="J4" s="18"/>
      <c r="K4" s="18"/>
      <c r="L4" s="18"/>
      <c r="M4" s="18"/>
      <c r="N4" s="18"/>
      <c r="O4" s="18"/>
      <c r="P4" s="18"/>
    </row>
    <row r="5" spans="1:16" ht="15.5" x14ac:dyDescent="0.35">
      <c r="A5" s="22" t="s">
        <v>26</v>
      </c>
    </row>
  </sheetData>
  <hyperlinks>
    <hyperlink ref="A2" location="Sommaire!A1" display="Retour au menu &quot;Distribution&quot;" xr:uid="{00000000-0004-0000-0100-000000000000}"/>
  </hyperlinks>
  <pageMargins left="0.59055118110236227" right="0.59055118110236227" top="0.59055118110236227" bottom="0.78740157480314965" header="0.51181102362204722" footer="0.51181102362204722"/>
  <pageSetup paperSize="9" orientation="landscape" r:id="rId1"/>
  <headerFooter alignWithMargins="0">
    <oddFooter>&amp;L&amp;"Arial,Gras italique"&amp;9&amp;G&amp;R&amp;"Arial,Gras italique"&amp;9Consommation dse ménages en vidéo à la demande</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3"/>
  <sheetViews>
    <sheetView workbookViewId="0"/>
  </sheetViews>
  <sheetFormatPr baseColWidth="10" defaultColWidth="11.453125" defaultRowHeight="11.5" x14ac:dyDescent="0.25"/>
  <cols>
    <col min="1" max="1" width="14.7265625" style="1" customWidth="1"/>
    <col min="2" max="6" width="7.1796875" style="1" customWidth="1"/>
    <col min="7" max="10" width="6.36328125" style="1" bestFit="1" customWidth="1"/>
    <col min="11" max="11" width="6.7265625" style="1" bestFit="1" customWidth="1"/>
    <col min="12" max="15" width="7.1796875" style="1" bestFit="1" customWidth="1"/>
    <col min="16" max="16384" width="11.453125" style="1"/>
  </cols>
  <sheetData>
    <row r="1" spans="1:17" s="11" customFormat="1" ht="12.5" x14ac:dyDescent="0.25">
      <c r="B1" s="18"/>
      <c r="C1" s="18"/>
      <c r="D1" s="18"/>
      <c r="E1" s="18"/>
      <c r="F1" s="18"/>
      <c r="G1" s="18"/>
      <c r="H1" s="18"/>
      <c r="I1" s="18"/>
      <c r="J1" s="18"/>
      <c r="K1" s="18"/>
      <c r="L1" s="18"/>
      <c r="M1" s="18"/>
      <c r="N1" s="18"/>
      <c r="O1" s="18"/>
      <c r="P1" s="18"/>
      <c r="Q1" s="18"/>
    </row>
    <row r="2" spans="1:17" s="21" customFormat="1" ht="12.5" x14ac:dyDescent="0.25">
      <c r="A2" s="19" t="s">
        <v>28</v>
      </c>
      <c r="B2" s="20"/>
      <c r="C2" s="20"/>
      <c r="D2" s="20"/>
      <c r="E2" s="20"/>
      <c r="F2" s="20"/>
      <c r="G2" s="20"/>
      <c r="H2" s="20"/>
      <c r="I2" s="20"/>
      <c r="J2" s="20"/>
      <c r="K2" s="20"/>
      <c r="L2" s="20"/>
      <c r="M2" s="20"/>
      <c r="N2" s="20"/>
      <c r="O2" s="20"/>
      <c r="P2" s="20"/>
      <c r="Q2" s="20"/>
    </row>
    <row r="3" spans="1:17" s="11" customFormat="1" ht="12.5" x14ac:dyDescent="0.25">
      <c r="B3" s="18"/>
      <c r="C3" s="18"/>
      <c r="D3" s="18"/>
      <c r="E3" s="18"/>
      <c r="F3" s="18"/>
      <c r="G3" s="18"/>
      <c r="H3" s="18"/>
      <c r="I3" s="18"/>
      <c r="J3" s="18"/>
      <c r="K3" s="18"/>
      <c r="L3" s="18"/>
      <c r="M3" s="18"/>
      <c r="N3" s="18"/>
      <c r="O3" s="18"/>
      <c r="P3" s="18"/>
      <c r="Q3" s="18"/>
    </row>
    <row r="4" spans="1:17" s="11" customFormat="1" ht="12.5" x14ac:dyDescent="0.25">
      <c r="B4" s="18"/>
      <c r="C4" s="18"/>
      <c r="D4" s="18"/>
      <c r="E4" s="18"/>
      <c r="F4" s="18"/>
      <c r="G4" s="18"/>
      <c r="H4" s="18"/>
      <c r="I4" s="18"/>
      <c r="J4" s="18"/>
      <c r="K4" s="18"/>
      <c r="L4" s="18"/>
      <c r="M4" s="18"/>
      <c r="N4" s="18"/>
      <c r="O4" s="18"/>
      <c r="P4" s="18"/>
      <c r="Q4" s="18"/>
    </row>
    <row r="5" spans="1:17" x14ac:dyDescent="0.25">
      <c r="A5" s="2" t="s">
        <v>33</v>
      </c>
    </row>
    <row r="6" spans="1:17" ht="3" customHeight="1" x14ac:dyDescent="0.25"/>
    <row r="7" spans="1:17" s="2" customFormat="1" ht="12" customHeight="1" x14ac:dyDescent="0.25">
      <c r="A7" s="24"/>
      <c r="B7" s="24">
        <v>2010</v>
      </c>
      <c r="C7" s="24">
        <v>2011</v>
      </c>
      <c r="D7" s="24">
        <v>2012</v>
      </c>
      <c r="E7" s="24">
        <v>2013</v>
      </c>
      <c r="F7" s="24">
        <v>2014</v>
      </c>
      <c r="G7" s="24">
        <v>2015</v>
      </c>
      <c r="H7" s="24">
        <v>2016</v>
      </c>
      <c r="I7" s="24">
        <v>2017</v>
      </c>
      <c r="J7" s="24">
        <v>2018</v>
      </c>
      <c r="K7" s="24">
        <v>2019</v>
      </c>
      <c r="L7" s="24">
        <v>2020</v>
      </c>
      <c r="M7" s="24">
        <v>2021</v>
      </c>
      <c r="N7" s="24">
        <v>2022</v>
      </c>
      <c r="O7" s="24">
        <v>2023</v>
      </c>
    </row>
    <row r="8" spans="1:17" ht="12" customHeight="1" x14ac:dyDescent="0.25">
      <c r="A8" s="25" t="s">
        <v>15</v>
      </c>
      <c r="B8" s="31" t="s">
        <v>34</v>
      </c>
      <c r="C8" s="31" t="s">
        <v>34</v>
      </c>
      <c r="D8" s="32">
        <v>175589794.19222498</v>
      </c>
      <c r="E8" s="31">
        <v>170136803.59168538</v>
      </c>
      <c r="F8" s="32">
        <v>180322036.78583652</v>
      </c>
      <c r="G8" s="31">
        <v>175040760.52007553</v>
      </c>
      <c r="H8" s="31">
        <v>167169181.36304578</v>
      </c>
      <c r="I8" s="31">
        <v>162187163.4514555</v>
      </c>
      <c r="J8" s="31">
        <v>177930000</v>
      </c>
      <c r="K8" s="31">
        <v>159899000</v>
      </c>
      <c r="L8" s="31">
        <v>163117192.76109514</v>
      </c>
      <c r="M8" s="31">
        <v>140095977</v>
      </c>
      <c r="N8" s="31">
        <v>162501808</v>
      </c>
      <c r="O8" s="31">
        <v>161988650</v>
      </c>
    </row>
    <row r="9" spans="1:17" ht="12" customHeight="1" x14ac:dyDescent="0.25">
      <c r="A9" s="25" t="s">
        <v>16</v>
      </c>
      <c r="B9" s="31" t="s">
        <v>34</v>
      </c>
      <c r="C9" s="31" t="s">
        <v>34</v>
      </c>
      <c r="D9" s="32">
        <v>49282334.239333332</v>
      </c>
      <c r="E9" s="31">
        <v>41495745.125000007</v>
      </c>
      <c r="F9" s="32">
        <v>55454752.559374988</v>
      </c>
      <c r="G9" s="31">
        <v>60033684.513221204</v>
      </c>
      <c r="H9" s="31">
        <v>68017228.140750796</v>
      </c>
      <c r="I9" s="31">
        <v>73938000.539388329</v>
      </c>
      <c r="J9" s="31">
        <v>77716000</v>
      </c>
      <c r="K9" s="31">
        <v>80179000</v>
      </c>
      <c r="L9" s="31">
        <v>94559121.515504166</v>
      </c>
      <c r="M9" s="31">
        <v>75647913</v>
      </c>
      <c r="N9" s="31">
        <v>83294979.999999985</v>
      </c>
      <c r="O9" s="31">
        <v>90345975</v>
      </c>
    </row>
    <row r="10" spans="1:17" s="4" customFormat="1" x14ac:dyDescent="0.25">
      <c r="A10" s="33" t="s">
        <v>17</v>
      </c>
      <c r="B10" s="34">
        <v>136971746</v>
      </c>
      <c r="C10" s="34">
        <v>199142543.91578561</v>
      </c>
      <c r="D10" s="34">
        <f>SUM(D8:D9)</f>
        <v>224872128.43155831</v>
      </c>
      <c r="E10" s="34">
        <f>SUM(E8:E9)</f>
        <v>211632548.71668538</v>
      </c>
      <c r="F10" s="34">
        <f t="shared" ref="F10:K10" si="0">SUM(F8:F9)</f>
        <v>235776789.34521151</v>
      </c>
      <c r="G10" s="34">
        <f t="shared" si="0"/>
        <v>235074445.03329673</v>
      </c>
      <c r="H10" s="34">
        <f t="shared" si="0"/>
        <v>235186409.50379658</v>
      </c>
      <c r="I10" s="34">
        <f t="shared" si="0"/>
        <v>236125163.99084383</v>
      </c>
      <c r="J10" s="34">
        <f t="shared" si="0"/>
        <v>255646000</v>
      </c>
      <c r="K10" s="34">
        <f t="shared" si="0"/>
        <v>240078000</v>
      </c>
      <c r="L10" s="75">
        <f t="shared" ref="L10:M10" si="1">SUM(L8:L9)</f>
        <v>257676314.27659929</v>
      </c>
      <c r="M10" s="75">
        <f t="shared" si="1"/>
        <v>215743890</v>
      </c>
      <c r="N10" s="75">
        <f t="shared" ref="N10:O10" si="2">SUM(N8:N9)</f>
        <v>245796788</v>
      </c>
      <c r="O10" s="75">
        <f t="shared" si="2"/>
        <v>252334625</v>
      </c>
    </row>
    <row r="11" spans="1:17" x14ac:dyDescent="0.25">
      <c r="A11" s="25" t="s">
        <v>18</v>
      </c>
      <c r="B11" s="26">
        <v>15040467</v>
      </c>
      <c r="C11" s="26">
        <v>20323539.397578947</v>
      </c>
      <c r="D11" s="26">
        <v>26804860.284055557</v>
      </c>
      <c r="E11" s="26">
        <v>27971447.210317474</v>
      </c>
      <c r="F11" s="26">
        <v>29230694.34375</v>
      </c>
      <c r="G11" s="26">
        <v>82547022.061883554</v>
      </c>
      <c r="H11" s="26">
        <v>131405199.40599915</v>
      </c>
      <c r="I11" s="26">
        <v>248999932</v>
      </c>
      <c r="J11" s="26">
        <v>533900000</v>
      </c>
      <c r="K11" s="26">
        <v>862800000</v>
      </c>
      <c r="L11" s="32">
        <v>1302600000</v>
      </c>
      <c r="M11" s="32">
        <v>1688000000</v>
      </c>
      <c r="N11" s="32">
        <v>1834000000</v>
      </c>
      <c r="O11" s="32">
        <v>2004751806.103539</v>
      </c>
    </row>
    <row r="12" spans="1:17" s="2" customFormat="1" x14ac:dyDescent="0.25">
      <c r="A12" s="24" t="s">
        <v>6</v>
      </c>
      <c r="B12" s="27">
        <f t="shared" ref="B12:K12" si="3">SUM(B10:B11)</f>
        <v>152012213</v>
      </c>
      <c r="C12" s="27">
        <f t="shared" si="3"/>
        <v>219466083.31336457</v>
      </c>
      <c r="D12" s="27">
        <f t="shared" si="3"/>
        <v>251676988.71561387</v>
      </c>
      <c r="E12" s="27">
        <f t="shared" si="3"/>
        <v>239603995.92700285</v>
      </c>
      <c r="F12" s="27">
        <f t="shared" si="3"/>
        <v>265007483.68896151</v>
      </c>
      <c r="G12" s="27">
        <f t="shared" si="3"/>
        <v>317621467.09518027</v>
      </c>
      <c r="H12" s="27">
        <f t="shared" si="3"/>
        <v>366591608.90979576</v>
      </c>
      <c r="I12" s="27">
        <f t="shared" si="3"/>
        <v>485125095.99084383</v>
      </c>
      <c r="J12" s="27">
        <f t="shared" si="3"/>
        <v>789546000</v>
      </c>
      <c r="K12" s="27">
        <f t="shared" si="3"/>
        <v>1102878000</v>
      </c>
      <c r="L12" s="76">
        <f t="shared" ref="L12:M12" si="4">SUM(L10:L11)</f>
        <v>1560276314.2765994</v>
      </c>
      <c r="M12" s="76">
        <f t="shared" si="4"/>
        <v>1903743890</v>
      </c>
      <c r="N12" s="76">
        <f t="shared" ref="N12:O12" si="5">SUM(N10:N11)</f>
        <v>2079796788</v>
      </c>
      <c r="O12" s="76">
        <f t="shared" si="5"/>
        <v>2257086431.103539</v>
      </c>
    </row>
    <row r="13" spans="1:17" x14ac:dyDescent="0.25">
      <c r="A13" s="28"/>
    </row>
  </sheetData>
  <hyperlinks>
    <hyperlink ref="A2" location="Sommaire!A1" display="Retour au menu &quot;Distribution&quot;" xr:uid="{00000000-0004-0000-0300-000000000000}"/>
  </hyperlinks>
  <pageMargins left="0.59055118110236227" right="0.59055118110236227" top="0.59055118110236227" bottom="0.78740157480314965" header="0.51181102362204722" footer="0.51181102362204722"/>
  <pageSetup paperSize="9" orientation="landscape" r:id="rId1"/>
  <headerFooter alignWithMargins="0">
    <oddFooter>&amp;L&amp;"Arial,Gras italique"&amp;9&amp;G&amp;R&amp;"Arial,Gras italique"&amp;9Consommation dse ménages en vidéo à la demande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56"/>
  <sheetViews>
    <sheetView workbookViewId="0"/>
  </sheetViews>
  <sheetFormatPr baseColWidth="10" defaultColWidth="11.453125" defaultRowHeight="11.5" x14ac:dyDescent="0.25"/>
  <cols>
    <col min="1" max="1" width="14.7265625" style="1" customWidth="1"/>
    <col min="2" max="3" width="7.1796875" style="1" customWidth="1"/>
    <col min="4" max="4" width="7" style="1" customWidth="1"/>
    <col min="5" max="8" width="7.1796875" style="1" customWidth="1"/>
    <col min="9" max="16384" width="11.453125" style="1"/>
  </cols>
  <sheetData>
    <row r="1" spans="1:15" s="11" customFormat="1" ht="12.5" x14ac:dyDescent="0.25">
      <c r="B1" s="18"/>
      <c r="C1" s="18"/>
      <c r="D1" s="18"/>
      <c r="E1" s="18"/>
      <c r="F1" s="18"/>
      <c r="G1" s="18"/>
      <c r="H1" s="18"/>
      <c r="I1" s="18"/>
      <c r="J1" s="18"/>
      <c r="K1" s="18"/>
      <c r="L1" s="18"/>
      <c r="M1" s="18"/>
      <c r="N1" s="18"/>
      <c r="O1" s="18"/>
    </row>
    <row r="2" spans="1:15" s="21" customFormat="1" ht="12.5" x14ac:dyDescent="0.25">
      <c r="A2" s="19" t="s">
        <v>28</v>
      </c>
      <c r="B2" s="20"/>
      <c r="C2" s="20"/>
      <c r="D2" s="20"/>
      <c r="E2" s="20"/>
      <c r="F2" s="20"/>
      <c r="G2" s="20"/>
      <c r="H2" s="20"/>
      <c r="I2" s="20"/>
      <c r="J2" s="20"/>
      <c r="K2" s="20"/>
      <c r="L2" s="20"/>
      <c r="M2" s="20"/>
      <c r="N2" s="20"/>
      <c r="O2" s="20"/>
    </row>
    <row r="3" spans="1:15" s="11" customFormat="1" ht="12.5" x14ac:dyDescent="0.25">
      <c r="B3" s="18"/>
      <c r="C3" s="18"/>
      <c r="D3" s="18"/>
      <c r="E3" s="18"/>
      <c r="F3" s="18"/>
      <c r="G3" s="18"/>
      <c r="H3" s="18"/>
      <c r="I3" s="18"/>
      <c r="J3" s="18"/>
      <c r="K3" s="18"/>
      <c r="L3" s="18"/>
      <c r="M3" s="18"/>
      <c r="N3" s="18"/>
      <c r="O3" s="18"/>
    </row>
    <row r="4" spans="1:15" s="11" customFormat="1" ht="12.5" x14ac:dyDescent="0.25">
      <c r="B4" s="18"/>
      <c r="C4" s="18"/>
      <c r="D4" s="18"/>
      <c r="E4" s="18"/>
      <c r="F4" s="18"/>
      <c r="G4" s="18"/>
      <c r="H4" s="18"/>
      <c r="I4" s="18"/>
      <c r="J4" s="18"/>
      <c r="K4" s="18"/>
      <c r="L4" s="18"/>
      <c r="M4" s="18"/>
      <c r="N4" s="18"/>
      <c r="O4" s="18"/>
    </row>
    <row r="5" spans="1:15" x14ac:dyDescent="0.25">
      <c r="A5" s="2" t="s">
        <v>50</v>
      </c>
    </row>
    <row r="6" spans="1:15" ht="3" customHeight="1" x14ac:dyDescent="0.25"/>
    <row r="7" spans="1:15" s="2" customFormat="1" ht="12" customHeight="1" x14ac:dyDescent="0.25">
      <c r="A7" s="24"/>
      <c r="B7" s="24">
        <v>2018</v>
      </c>
      <c r="C7" s="24">
        <v>2019</v>
      </c>
      <c r="D7" s="24">
        <v>2020</v>
      </c>
      <c r="E7" s="24">
        <v>2021</v>
      </c>
      <c r="F7" s="24">
        <v>2022</v>
      </c>
      <c r="G7" s="24">
        <v>2023</v>
      </c>
    </row>
    <row r="8" spans="1:15" s="2" customFormat="1" x14ac:dyDescent="0.25">
      <c r="A8" s="24" t="s">
        <v>31</v>
      </c>
    </row>
    <row r="9" spans="1:15" x14ac:dyDescent="0.25">
      <c r="A9" s="25" t="s">
        <v>7</v>
      </c>
      <c r="B9" s="26">
        <v>155954678.00524601</v>
      </c>
      <c r="C9" s="26">
        <v>132217290.355836</v>
      </c>
      <c r="D9" s="26">
        <v>145626906.84390199</v>
      </c>
      <c r="E9" s="26">
        <v>102699975.82209</v>
      </c>
      <c r="F9" s="26">
        <v>107800000</v>
      </c>
      <c r="G9" s="26">
        <v>102604751</v>
      </c>
    </row>
    <row r="10" spans="1:15" x14ac:dyDescent="0.25">
      <c r="A10" s="25" t="s">
        <v>9</v>
      </c>
      <c r="B10" s="26">
        <v>99691657.994753495</v>
      </c>
      <c r="C10" s="26">
        <v>107860624.644164</v>
      </c>
      <c r="D10" s="26">
        <v>112049407.432697</v>
      </c>
      <c r="E10" s="26">
        <v>113043914.17791</v>
      </c>
      <c r="F10" s="26">
        <v>138000000</v>
      </c>
      <c r="G10" s="26">
        <v>149729874</v>
      </c>
    </row>
    <row r="11" spans="1:15" s="2" customFormat="1" x14ac:dyDescent="0.25">
      <c r="A11" s="24" t="s">
        <v>6</v>
      </c>
      <c r="B11" s="27">
        <f t="shared" ref="B11:D11" si="0">SUM(B9:B10)</f>
        <v>255646335.99999952</v>
      </c>
      <c r="C11" s="27">
        <f t="shared" si="0"/>
        <v>240077915</v>
      </c>
      <c r="D11" s="27">
        <f t="shared" si="0"/>
        <v>257676314.27659899</v>
      </c>
      <c r="E11" s="27">
        <f t="shared" ref="E11:F11" si="1">SUM(E9:E10)</f>
        <v>215743890</v>
      </c>
      <c r="F11" s="27">
        <f t="shared" si="1"/>
        <v>245800000</v>
      </c>
      <c r="G11" s="27">
        <f t="shared" ref="G11" si="2">SUM(G9:G10)</f>
        <v>252334625</v>
      </c>
    </row>
    <row r="12" spans="1:15" s="2" customFormat="1" x14ac:dyDescent="0.25">
      <c r="A12" s="24" t="s">
        <v>19</v>
      </c>
    </row>
    <row r="13" spans="1:15" x14ac:dyDescent="0.25">
      <c r="A13" s="25" t="s">
        <v>7</v>
      </c>
      <c r="B13" s="26">
        <v>35139817.2684258</v>
      </c>
      <c r="C13" s="26">
        <v>28861764.944953099</v>
      </c>
      <c r="D13" s="26">
        <v>33248816.618288599</v>
      </c>
      <c r="E13" s="26">
        <v>24037401.863510799</v>
      </c>
      <c r="F13" s="26">
        <v>21700000</v>
      </c>
      <c r="G13" s="26">
        <v>20340590</v>
      </c>
    </row>
    <row r="14" spans="1:15" x14ac:dyDescent="0.25">
      <c r="A14" s="25" t="s">
        <v>9</v>
      </c>
      <c r="B14" s="26">
        <v>15157717.7315742</v>
      </c>
      <c r="C14" s="26">
        <v>17946637.055046901</v>
      </c>
      <c r="D14" s="26">
        <v>17832036.6879475</v>
      </c>
      <c r="E14" s="26">
        <v>22150929.136489201</v>
      </c>
      <c r="F14" s="26">
        <v>25900000</v>
      </c>
      <c r="G14" s="26">
        <v>28429181</v>
      </c>
    </row>
    <row r="15" spans="1:15" s="2" customFormat="1" x14ac:dyDescent="0.25">
      <c r="A15" s="24" t="s">
        <v>6</v>
      </c>
      <c r="B15" s="27">
        <f t="shared" ref="B15:D15" si="3">SUM(B13:B14)</f>
        <v>50297535</v>
      </c>
      <c r="C15" s="27">
        <f t="shared" si="3"/>
        <v>46808402</v>
      </c>
      <c r="D15" s="27">
        <f t="shared" si="3"/>
        <v>51080853.306236103</v>
      </c>
      <c r="E15" s="27">
        <f t="shared" ref="E15:F15" si="4">SUM(E13:E14)</f>
        <v>46188331</v>
      </c>
      <c r="F15" s="27">
        <f t="shared" si="4"/>
        <v>47600000</v>
      </c>
      <c r="G15" s="27">
        <f t="shared" ref="G15" si="5">SUM(G13:G14)</f>
        <v>48769771</v>
      </c>
    </row>
    <row r="16" spans="1:15" s="2" customFormat="1" x14ac:dyDescent="0.25">
      <c r="A16" s="24" t="s">
        <v>20</v>
      </c>
    </row>
    <row r="17" spans="1:8" x14ac:dyDescent="0.25">
      <c r="A17" s="25" t="s">
        <v>7</v>
      </c>
      <c r="B17" s="29">
        <f>B9/B13</f>
        <v>4.4381186394323136</v>
      </c>
      <c r="C17" s="29">
        <f t="shared" ref="C17:D17" si="6">C9/C13</f>
        <v>4.5810535359846778</v>
      </c>
      <c r="D17" s="29">
        <f t="shared" si="6"/>
        <v>4.3799124797662579</v>
      </c>
      <c r="E17" s="29">
        <f t="shared" ref="E17:F17" si="7">E9/E13</f>
        <v>4.2725073369094178</v>
      </c>
      <c r="F17" s="29">
        <f t="shared" si="7"/>
        <v>4.967741935483871</v>
      </c>
      <c r="G17" s="29">
        <f t="shared" ref="G17" si="8">G9/G13</f>
        <v>5.0443350463285483</v>
      </c>
    </row>
    <row r="18" spans="1:8" x14ac:dyDescent="0.25">
      <c r="A18" s="25" t="s">
        <v>9</v>
      </c>
      <c r="B18" s="29">
        <f>B10/B14</f>
        <v>6.5769570168925453</v>
      </c>
      <c r="C18" s="29">
        <f t="shared" ref="C18:D18" si="9">C10/C14</f>
        <v>6.0100744397587151</v>
      </c>
      <c r="D18" s="29">
        <f t="shared" si="9"/>
        <v>6.2836012169282993</v>
      </c>
      <c r="E18" s="29">
        <f t="shared" ref="E18:F18" si="10">E10/E14</f>
        <v>5.1033486442648979</v>
      </c>
      <c r="F18" s="29">
        <f t="shared" si="10"/>
        <v>5.3281853281853282</v>
      </c>
      <c r="G18" s="29">
        <f t="shared" ref="G18" si="11">G10/G14</f>
        <v>5.2667670588188944</v>
      </c>
    </row>
    <row r="19" spans="1:8" s="2" customFormat="1" x14ac:dyDescent="0.25">
      <c r="A19" s="24" t="s">
        <v>6</v>
      </c>
      <c r="B19" s="30">
        <f t="shared" ref="B19:D19" si="12">B11/B15</f>
        <v>5.0826812089300111</v>
      </c>
      <c r="C19" s="30">
        <f t="shared" si="12"/>
        <v>5.1289491788247759</v>
      </c>
      <c r="D19" s="30">
        <f t="shared" si="12"/>
        <v>5.0444794399145465</v>
      </c>
      <c r="E19" s="30">
        <f t="shared" ref="E19:F19" si="13">E11/E15</f>
        <v>4.6709609403292793</v>
      </c>
      <c r="F19" s="30">
        <f t="shared" si="13"/>
        <v>5.1638655462184877</v>
      </c>
      <c r="G19" s="30">
        <f t="shared" ref="G19" si="14">G11/G15</f>
        <v>5.1739965110765027</v>
      </c>
    </row>
    <row r="20" spans="1:8" s="2" customFormat="1" x14ac:dyDescent="0.25">
      <c r="A20" s="55"/>
      <c r="B20" s="56"/>
      <c r="C20" s="56"/>
      <c r="D20" s="56"/>
      <c r="E20" s="56"/>
      <c r="F20" s="56"/>
      <c r="G20" s="56"/>
      <c r="H20" s="56"/>
    </row>
    <row r="21" spans="1:8" x14ac:dyDescent="0.25">
      <c r="A21" s="2" t="s">
        <v>32</v>
      </c>
    </row>
    <row r="22" spans="1:8" ht="3" customHeight="1" x14ac:dyDescent="0.25"/>
    <row r="23" spans="1:8" s="2" customFormat="1" ht="12" customHeight="1" x14ac:dyDescent="0.25">
      <c r="A23" s="24"/>
      <c r="B23" s="24">
        <v>2010</v>
      </c>
      <c r="C23" s="24">
        <v>2011</v>
      </c>
      <c r="D23" s="24">
        <v>2012</v>
      </c>
      <c r="E23" s="24">
        <v>2013</v>
      </c>
      <c r="F23" s="24">
        <v>2014</v>
      </c>
      <c r="G23" s="24">
        <v>2015</v>
      </c>
    </row>
    <row r="24" spans="1:8" s="2" customFormat="1" x14ac:dyDescent="0.25">
      <c r="A24" s="24" t="s">
        <v>31</v>
      </c>
      <c r="B24" s="24"/>
      <c r="C24" s="24"/>
      <c r="D24" s="24"/>
      <c r="E24" s="24"/>
      <c r="F24" s="24"/>
      <c r="G24" s="24"/>
    </row>
    <row r="25" spans="1:8" x14ac:dyDescent="0.25">
      <c r="A25" s="25" t="s">
        <v>7</v>
      </c>
      <c r="B25" s="26">
        <v>115237901</v>
      </c>
      <c r="C25" s="26">
        <v>135634330.63483322</v>
      </c>
      <c r="D25" s="26">
        <v>154584663.8046189</v>
      </c>
      <c r="E25" s="26">
        <v>150363536.85310552</v>
      </c>
      <c r="F25" s="26">
        <v>175601577.18166962</v>
      </c>
      <c r="G25" s="26">
        <v>174937666.25239873</v>
      </c>
    </row>
    <row r="26" spans="1:8" x14ac:dyDescent="0.25">
      <c r="A26" s="25" t="s">
        <v>9</v>
      </c>
      <c r="B26" s="26">
        <v>21733845</v>
      </c>
      <c r="C26" s="26">
        <v>63508213.280952394</v>
      </c>
      <c r="D26" s="26">
        <v>70287464.626939431</v>
      </c>
      <c r="E26" s="26">
        <v>61501482.729999959</v>
      </c>
      <c r="F26" s="26">
        <v>60175212.163541645</v>
      </c>
      <c r="G26" s="26">
        <v>60112293.351262018</v>
      </c>
    </row>
    <row r="27" spans="1:8" s="2" customFormat="1" x14ac:dyDescent="0.25">
      <c r="A27" s="24" t="s">
        <v>6</v>
      </c>
      <c r="B27" s="27">
        <f t="shared" ref="B27:D27" si="15">SUM(B25:B26)</f>
        <v>136971746</v>
      </c>
      <c r="C27" s="27">
        <f t="shared" si="15"/>
        <v>199142543.91578561</v>
      </c>
      <c r="D27" s="27">
        <f t="shared" si="15"/>
        <v>224872128.43155831</v>
      </c>
      <c r="E27" s="27">
        <f t="shared" ref="E27:F27" si="16">SUM(E25:E26)</f>
        <v>211865019.58310547</v>
      </c>
      <c r="F27" s="27">
        <f t="shared" si="16"/>
        <v>235776789.34521127</v>
      </c>
      <c r="G27" s="27">
        <f t="shared" ref="G27" si="17">SUM(G25:G26)</f>
        <v>235049959.60366076</v>
      </c>
    </row>
    <row r="28" spans="1:8" s="2" customFormat="1" x14ac:dyDescent="0.25">
      <c r="A28" s="24" t="s">
        <v>19</v>
      </c>
      <c r="B28" s="24"/>
      <c r="C28" s="24"/>
      <c r="D28" s="24"/>
      <c r="E28" s="24"/>
      <c r="F28" s="24"/>
      <c r="G28" s="24"/>
    </row>
    <row r="29" spans="1:8" x14ac:dyDescent="0.25">
      <c r="A29" s="25" t="s">
        <v>7</v>
      </c>
      <c r="B29" s="26">
        <v>26134699</v>
      </c>
      <c r="C29" s="26">
        <v>29290651.497959096</v>
      </c>
      <c r="D29" s="26">
        <v>33441288.213223174</v>
      </c>
      <c r="E29" s="26">
        <v>31778677.003632344</v>
      </c>
      <c r="F29" s="26">
        <v>36309736.454015516</v>
      </c>
      <c r="G29" s="26">
        <v>37243762.925160423</v>
      </c>
    </row>
    <row r="30" spans="1:8" x14ac:dyDescent="0.25">
      <c r="A30" s="25" t="s">
        <v>9</v>
      </c>
      <c r="B30" s="26">
        <v>4712505</v>
      </c>
      <c r="C30" s="26">
        <v>8210480.8095238069</v>
      </c>
      <c r="D30" s="26">
        <v>9967042.8696969859</v>
      </c>
      <c r="E30" s="26">
        <v>8886335.8611111119</v>
      </c>
      <c r="F30" s="26">
        <v>8366035.2604166642</v>
      </c>
      <c r="G30" s="26">
        <v>9279030.0661057681</v>
      </c>
    </row>
    <row r="31" spans="1:8" s="2" customFormat="1" x14ac:dyDescent="0.25">
      <c r="A31" s="24" t="s">
        <v>6</v>
      </c>
      <c r="B31" s="27">
        <f t="shared" ref="B31:D31" si="18">SUM(B29:B30)</f>
        <v>30847204</v>
      </c>
      <c r="C31" s="27">
        <f t="shared" si="18"/>
        <v>37501132.307482906</v>
      </c>
      <c r="D31" s="27">
        <f t="shared" si="18"/>
        <v>43408331.082920164</v>
      </c>
      <c r="E31" s="27">
        <f t="shared" ref="E31:F31" si="19">SUM(E29:E30)</f>
        <v>40665012.864743456</v>
      </c>
      <c r="F31" s="27">
        <f t="shared" si="19"/>
        <v>44675771.71443218</v>
      </c>
      <c r="G31" s="27">
        <f t="shared" ref="G31" si="20">SUM(G29:G30)</f>
        <v>46522792.991266191</v>
      </c>
    </row>
    <row r="32" spans="1:8" s="2" customFormat="1" x14ac:dyDescent="0.25">
      <c r="A32" s="24" t="s">
        <v>20</v>
      </c>
      <c r="B32" s="24"/>
      <c r="C32" s="24"/>
      <c r="D32" s="24"/>
      <c r="E32" s="24"/>
      <c r="F32" s="24"/>
      <c r="G32" s="24"/>
    </row>
    <row r="33" spans="1:8" x14ac:dyDescent="0.25">
      <c r="A33" s="25" t="s">
        <v>7</v>
      </c>
      <c r="B33" s="29">
        <f t="shared" ref="B33:D35" si="21">B25/B29</f>
        <v>4.4093831346594046</v>
      </c>
      <c r="C33" s="29">
        <f t="shared" si="21"/>
        <v>4.6306354996673225</v>
      </c>
      <c r="D33" s="29">
        <f t="shared" si="21"/>
        <v>4.6225690475492467</v>
      </c>
      <c r="E33" s="29">
        <f t="shared" ref="E33:F33" si="22">E25/E29</f>
        <v>4.7315857999978652</v>
      </c>
      <c r="F33" s="29">
        <f t="shared" si="22"/>
        <v>4.8362118354689887</v>
      </c>
      <c r="G33" s="29">
        <f t="shared" ref="G33" si="23">G25/G29</f>
        <v>4.697099662134776</v>
      </c>
    </row>
    <row r="34" spans="1:8" x14ac:dyDescent="0.25">
      <c r="A34" s="25" t="s">
        <v>9</v>
      </c>
      <c r="B34" s="29">
        <f t="shared" si="21"/>
        <v>4.6119516053563867</v>
      </c>
      <c r="C34" s="29">
        <f t="shared" si="21"/>
        <v>7.7350175652667721</v>
      </c>
      <c r="D34" s="29">
        <f t="shared" si="21"/>
        <v>7.0519877907454296</v>
      </c>
      <c r="E34" s="29">
        <f t="shared" ref="E34:F34" si="24">E26/E30</f>
        <v>6.9209045990649809</v>
      </c>
      <c r="F34" s="29">
        <f t="shared" si="24"/>
        <v>7.1927992520252255</v>
      </c>
      <c r="G34" s="29">
        <f t="shared" ref="G34" si="25">G26/G30</f>
        <v>6.4782949212373877</v>
      </c>
    </row>
    <row r="35" spans="1:8" s="2" customFormat="1" x14ac:dyDescent="0.25">
      <c r="A35" s="24" t="s">
        <v>6</v>
      </c>
      <c r="B35" s="30">
        <f t="shared" si="21"/>
        <v>4.4403293731256808</v>
      </c>
      <c r="C35" s="30">
        <f t="shared" si="21"/>
        <v>5.3103074937299715</v>
      </c>
      <c r="D35" s="30">
        <f t="shared" si="21"/>
        <v>5.1803910176136334</v>
      </c>
      <c r="E35" s="30">
        <f t="shared" ref="E35:F35" si="26">E27/E31</f>
        <v>5.2100074402482814</v>
      </c>
      <c r="F35" s="30">
        <f t="shared" si="26"/>
        <v>5.2775090456701683</v>
      </c>
      <c r="G35" s="30">
        <f t="shared" ref="G35" si="27">G27/G31</f>
        <v>5.0523613156197893</v>
      </c>
    </row>
    <row r="36" spans="1:8" s="49" customFormat="1" x14ac:dyDescent="0.25">
      <c r="A36" s="46" t="s">
        <v>44</v>
      </c>
      <c r="B36" s="47"/>
      <c r="C36" s="47"/>
      <c r="D36" s="48"/>
      <c r="E36" s="48"/>
      <c r="F36" s="48"/>
      <c r="G36" s="48"/>
      <c r="H36" s="48"/>
    </row>
    <row r="37" spans="1:8" x14ac:dyDescent="0.25">
      <c r="A37" s="53" t="s">
        <v>46</v>
      </c>
    </row>
    <row r="39" spans="1:8" x14ac:dyDescent="0.25">
      <c r="A39" s="2" t="s">
        <v>45</v>
      </c>
    </row>
    <row r="40" spans="1:8" ht="3" customHeight="1" x14ac:dyDescent="0.25"/>
    <row r="41" spans="1:8" s="2" customFormat="1" ht="12" customHeight="1" x14ac:dyDescent="0.25">
      <c r="A41" s="24"/>
      <c r="B41" s="24">
        <v>2013</v>
      </c>
      <c r="C41" s="24">
        <v>2014</v>
      </c>
      <c r="D41" s="24">
        <v>2015</v>
      </c>
      <c r="E41" s="24">
        <v>2016</v>
      </c>
      <c r="F41" s="24">
        <v>2017</v>
      </c>
      <c r="G41" s="24">
        <v>2018</v>
      </c>
      <c r="H41" s="24">
        <v>2019</v>
      </c>
    </row>
    <row r="42" spans="1:8" s="2" customFormat="1" x14ac:dyDescent="0.25">
      <c r="A42" s="24" t="s">
        <v>31</v>
      </c>
      <c r="B42" s="24"/>
      <c r="C42" s="24"/>
      <c r="D42" s="24"/>
    </row>
    <row r="43" spans="1:8" x14ac:dyDescent="0.25">
      <c r="A43" s="25" t="s">
        <v>7</v>
      </c>
      <c r="B43" s="26">
        <v>153192273.26124135</v>
      </c>
      <c r="C43" s="26">
        <v>174672561.97950393</v>
      </c>
      <c r="D43" s="26">
        <v>170516724.30268624</v>
      </c>
      <c r="E43" s="26">
        <v>165424693.97054863</v>
      </c>
      <c r="F43" s="26">
        <v>159888387.51080629</v>
      </c>
      <c r="G43" s="26">
        <v>129028951.05571117</v>
      </c>
      <c r="H43" s="26">
        <v>97743713</v>
      </c>
    </row>
    <row r="44" spans="1:8" x14ac:dyDescent="0.25">
      <c r="A44" s="25" t="s">
        <v>9</v>
      </c>
      <c r="B44" s="26">
        <v>16944530.330444105</v>
      </c>
      <c r="C44" s="26">
        <v>5649474.8063325752</v>
      </c>
      <c r="D44" s="26">
        <v>4524036.2173892623</v>
      </c>
      <c r="E44" s="26">
        <v>1744487.3924971987</v>
      </c>
      <c r="F44" s="26">
        <v>2298775.9406494941</v>
      </c>
      <c r="G44" s="26">
        <v>3175326.6550951856</v>
      </c>
      <c r="H44" s="26">
        <v>3726476</v>
      </c>
    </row>
    <row r="45" spans="1:8" s="2" customFormat="1" x14ac:dyDescent="0.25">
      <c r="A45" s="24" t="s">
        <v>6</v>
      </c>
      <c r="B45" s="27">
        <f>SUM(B43:B44)</f>
        <v>170136803.59168544</v>
      </c>
      <c r="C45" s="27">
        <f>SUM(C43:C44)</f>
        <v>180322036.78583652</v>
      </c>
      <c r="D45" s="27">
        <f>SUM(D43:D44)</f>
        <v>175040760.5200755</v>
      </c>
      <c r="E45" s="27">
        <f t="shared" ref="E45:G45" si="28">SUM(E43:E44)</f>
        <v>167169181.36304584</v>
      </c>
      <c r="F45" s="27">
        <f t="shared" si="28"/>
        <v>162187163.45145577</v>
      </c>
      <c r="G45" s="27">
        <f t="shared" si="28"/>
        <v>132204277.71080635</v>
      </c>
      <c r="H45" s="27">
        <f t="shared" ref="H45" si="29">SUM(H43:H44)</f>
        <v>101470189</v>
      </c>
    </row>
    <row r="46" spans="1:8" s="2" customFormat="1" x14ac:dyDescent="0.25">
      <c r="A46" s="24" t="s">
        <v>19</v>
      </c>
      <c r="B46" s="24"/>
      <c r="C46" s="24"/>
      <c r="D46" s="24"/>
    </row>
    <row r="47" spans="1:8" x14ac:dyDescent="0.25">
      <c r="A47" s="25" t="s">
        <v>7</v>
      </c>
      <c r="B47" s="26">
        <v>32377781.124781046</v>
      </c>
      <c r="C47" s="26">
        <v>38366608.525372282</v>
      </c>
      <c r="D47" s="26">
        <v>38378641.981641389</v>
      </c>
      <c r="E47" s="26">
        <v>37625034.132047251</v>
      </c>
      <c r="F47" s="26">
        <v>35100498.622527532</v>
      </c>
      <c r="G47" s="26">
        <v>28427445.579991009</v>
      </c>
      <c r="H47" s="26">
        <v>21642569</v>
      </c>
    </row>
    <row r="48" spans="1:8" x14ac:dyDescent="0.25">
      <c r="A48" s="25" t="s">
        <v>9</v>
      </c>
      <c r="B48" s="26">
        <v>3523971.543336221</v>
      </c>
      <c r="C48" s="26">
        <v>1172588.9703098831</v>
      </c>
      <c r="D48" s="26">
        <v>971016.0494463963</v>
      </c>
      <c r="E48" s="26">
        <v>424239.89921261743</v>
      </c>
      <c r="F48" s="26">
        <v>545737.62597527192</v>
      </c>
      <c r="G48" s="26">
        <v>765939.83313841617</v>
      </c>
      <c r="H48" s="26">
        <v>868811</v>
      </c>
    </row>
    <row r="49" spans="1:8" s="2" customFormat="1" x14ac:dyDescent="0.25">
      <c r="A49" s="24" t="s">
        <v>6</v>
      </c>
      <c r="B49" s="27">
        <f>SUM(B47:B48)</f>
        <v>35901752.66811727</v>
      </c>
      <c r="C49" s="27">
        <f>SUM(C47:C48)</f>
        <v>39539197.495682165</v>
      </c>
      <c r="D49" s="27">
        <f>SUM(D47:D48)</f>
        <v>39349658.031087786</v>
      </c>
      <c r="E49" s="27">
        <f t="shared" ref="E49:G49" si="30">SUM(E47:E48)</f>
        <v>38049274.031259865</v>
      </c>
      <c r="F49" s="27">
        <f t="shared" si="30"/>
        <v>35646236.248502806</v>
      </c>
      <c r="G49" s="27">
        <f t="shared" si="30"/>
        <v>29193385.413129427</v>
      </c>
      <c r="H49" s="27">
        <f t="shared" ref="H49" si="31">SUM(H47:H48)</f>
        <v>22511380</v>
      </c>
    </row>
    <row r="50" spans="1:8" s="2" customFormat="1" x14ac:dyDescent="0.25">
      <c r="A50" s="24" t="s">
        <v>20</v>
      </c>
      <c r="B50" s="24"/>
      <c r="C50" s="24"/>
      <c r="D50" s="24"/>
    </row>
    <row r="51" spans="1:8" x14ac:dyDescent="0.25">
      <c r="A51" s="25" t="s">
        <v>7</v>
      </c>
      <c r="B51" s="29">
        <f t="shared" ref="B51:D53" si="32">B43/B47</f>
        <v>4.7314012245265404</v>
      </c>
      <c r="C51" s="29">
        <f t="shared" si="32"/>
        <v>4.5527235451106121</v>
      </c>
      <c r="D51" s="29">
        <f t="shared" si="32"/>
        <v>4.4430108909078587</v>
      </c>
      <c r="E51" s="29">
        <f t="shared" ref="E51" si="33">E43/E47</f>
        <v>4.396665618693687</v>
      </c>
      <c r="F51" s="29">
        <v>4.5551600058521613</v>
      </c>
      <c r="G51" s="29">
        <v>4.5388865732814807</v>
      </c>
      <c r="H51" s="29">
        <v>4.5199999999999996</v>
      </c>
    </row>
    <row r="52" spans="1:8" x14ac:dyDescent="0.25">
      <c r="A52" s="25" t="s">
        <v>9</v>
      </c>
      <c r="B52" s="29">
        <f t="shared" si="32"/>
        <v>4.8083618502782652</v>
      </c>
      <c r="C52" s="29">
        <f t="shared" si="32"/>
        <v>4.8179498096759117</v>
      </c>
      <c r="D52" s="29">
        <f t="shared" si="32"/>
        <v>4.6590746053770618</v>
      </c>
      <c r="E52" s="29">
        <f t="shared" ref="E52" si="34">E44/E48</f>
        <v>4.112030470813659</v>
      </c>
      <c r="F52" s="29">
        <v>4.2122364873439286</v>
      </c>
      <c r="G52" s="29">
        <v>4.1456606873210617</v>
      </c>
      <c r="H52" s="29">
        <v>4.29</v>
      </c>
    </row>
    <row r="53" spans="1:8" s="2" customFormat="1" x14ac:dyDescent="0.25">
      <c r="A53" s="24" t="s">
        <v>6</v>
      </c>
      <c r="B53" s="30">
        <f t="shared" si="32"/>
        <v>4.7389553697966473</v>
      </c>
      <c r="C53" s="30">
        <f t="shared" si="32"/>
        <v>4.5605891926746462</v>
      </c>
      <c r="D53" s="30">
        <f t="shared" si="32"/>
        <v>4.4483426102912098</v>
      </c>
      <c r="E53" s="30">
        <f>E45/E49</f>
        <v>4.3934920079081108</v>
      </c>
      <c r="F53" s="30">
        <f t="shared" ref="F53:G53" si="35">F45/F49</f>
        <v>4.5499099069194964</v>
      </c>
      <c r="G53" s="30">
        <f t="shared" si="35"/>
        <v>4.5285696002680398</v>
      </c>
      <c r="H53" s="30">
        <f t="shared" ref="H53" si="36">H45/H49</f>
        <v>4.5075063812169667</v>
      </c>
    </row>
    <row r="54" spans="1:8" s="49" customFormat="1" x14ac:dyDescent="0.25">
      <c r="A54" s="46" t="s">
        <v>44</v>
      </c>
      <c r="B54" s="47"/>
      <c r="C54" s="47"/>
      <c r="D54" s="48"/>
      <c r="E54" s="48"/>
      <c r="F54" s="48"/>
      <c r="G54" s="48"/>
      <c r="H54" s="48"/>
    </row>
    <row r="55" spans="1:8" x14ac:dyDescent="0.25">
      <c r="A55" s="53" t="s">
        <v>49</v>
      </c>
    </row>
    <row r="56" spans="1:8" x14ac:dyDescent="0.25">
      <c r="A56" s="1" t="s">
        <v>56</v>
      </c>
    </row>
  </sheetData>
  <hyperlinks>
    <hyperlink ref="A2" location="Sommaire!A1" display="Retour au menu &quot;Distribution&quot;" xr:uid="{00000000-0004-0000-0400-000000000000}"/>
  </hyperlinks>
  <pageMargins left="0.59055118110236227" right="0.59055118110236227" top="0.59055118110236227" bottom="0.78740157480314965" header="0.51181102362204722" footer="0.51181102362204722"/>
  <pageSetup paperSize="9" orientation="landscape" r:id="rId1"/>
  <headerFooter alignWithMargins="0">
    <oddFooter>&amp;L&amp;"Arial,Gras italique"&amp;9&amp;G&amp;R&amp;"Arial,Gras italique"&amp;9Consommation dse ménages en vidéo à la demande</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7"/>
  <sheetViews>
    <sheetView workbookViewId="0">
      <pane xSplit="1" topLeftCell="B1" activePane="topRight" state="frozen"/>
      <selection activeCell="O8" sqref="O8"/>
      <selection pane="topRight"/>
    </sheetView>
  </sheetViews>
  <sheetFormatPr baseColWidth="10" defaultColWidth="11.453125" defaultRowHeight="11.5" x14ac:dyDescent="0.25"/>
  <cols>
    <col min="1" max="1" width="14.81640625" style="3" customWidth="1"/>
    <col min="2" max="2" width="6.1796875" style="3" bestFit="1" customWidth="1"/>
    <col min="3" max="4" width="6.26953125" style="3" bestFit="1" customWidth="1"/>
    <col min="5" max="7" width="6.453125" style="3" bestFit="1" customWidth="1"/>
    <col min="8" max="10" width="6.453125" style="3" customWidth="1"/>
    <col min="11" max="12" width="5.81640625" style="3" customWidth="1"/>
    <col min="13" max="13" width="7.453125" style="3" customWidth="1"/>
    <col min="14" max="14" width="7.1796875" style="3" customWidth="1"/>
    <col min="15" max="16384" width="11.453125" style="3"/>
  </cols>
  <sheetData>
    <row r="1" spans="1:12" s="11" customFormat="1" ht="12.5" x14ac:dyDescent="0.25">
      <c r="B1" s="18"/>
      <c r="C1" s="18"/>
      <c r="D1" s="18"/>
      <c r="E1" s="18"/>
      <c r="F1" s="18"/>
      <c r="G1" s="18"/>
      <c r="H1" s="18"/>
      <c r="I1" s="18"/>
      <c r="J1" s="18"/>
      <c r="K1" s="18"/>
      <c r="L1" s="18"/>
    </row>
    <row r="2" spans="1:12" s="21" customFormat="1" ht="12.5" x14ac:dyDescent="0.25">
      <c r="A2" s="19" t="s">
        <v>28</v>
      </c>
      <c r="B2" s="20"/>
      <c r="C2" s="20"/>
      <c r="D2" s="20"/>
      <c r="E2" s="20"/>
      <c r="F2" s="20"/>
      <c r="G2" s="20"/>
      <c r="H2" s="20"/>
      <c r="I2" s="20"/>
      <c r="J2" s="20"/>
      <c r="K2" s="20"/>
      <c r="L2" s="20"/>
    </row>
    <row r="3" spans="1:12" s="11" customFormat="1" ht="12.5" x14ac:dyDescent="0.25">
      <c r="B3" s="18"/>
      <c r="C3" s="18"/>
      <c r="D3" s="18"/>
      <c r="E3" s="18"/>
      <c r="F3" s="18"/>
      <c r="G3" s="18"/>
      <c r="H3" s="18"/>
      <c r="I3" s="18"/>
      <c r="J3" s="18"/>
      <c r="K3" s="18"/>
      <c r="L3" s="18"/>
    </row>
    <row r="4" spans="1:12" s="11" customFormat="1" ht="12.5" x14ac:dyDescent="0.25">
      <c r="B4" s="18"/>
      <c r="C4" s="18"/>
      <c r="D4" s="18"/>
      <c r="E4" s="18"/>
      <c r="F4" s="18"/>
      <c r="G4" s="18"/>
      <c r="H4" s="18"/>
      <c r="I4" s="18"/>
      <c r="J4" s="18"/>
      <c r="K4" s="18"/>
      <c r="L4" s="18"/>
    </row>
    <row r="5" spans="1:12" s="2" customFormat="1" x14ac:dyDescent="0.25">
      <c r="A5" s="2" t="s">
        <v>52</v>
      </c>
    </row>
    <row r="6" spans="1:12" ht="3" customHeight="1" x14ac:dyDescent="0.25"/>
    <row r="7" spans="1:12" s="2" customFormat="1" ht="12" customHeight="1" x14ac:dyDescent="0.25">
      <c r="A7" s="24"/>
      <c r="B7" s="35">
        <v>2018</v>
      </c>
      <c r="C7" s="35">
        <v>2019</v>
      </c>
      <c r="D7" s="35">
        <v>2020</v>
      </c>
      <c r="E7" s="35">
        <v>2021</v>
      </c>
      <c r="F7" s="35">
        <v>2022</v>
      </c>
      <c r="G7" s="35">
        <v>2023</v>
      </c>
    </row>
    <row r="8" spans="1:12" s="2" customFormat="1" ht="12" customHeight="1" x14ac:dyDescent="0.25">
      <c r="A8" s="24" t="s">
        <v>37</v>
      </c>
    </row>
    <row r="9" spans="1:12" x14ac:dyDescent="0.25">
      <c r="A9" s="36" t="s">
        <v>2</v>
      </c>
      <c r="B9" s="37">
        <v>85.339799540955397</v>
      </c>
      <c r="C9" s="37">
        <v>87.155364669103335</v>
      </c>
      <c r="D9" s="37">
        <v>85.70978172442949</v>
      </c>
      <c r="E9" s="37">
        <v>72.059682719310487</v>
      </c>
      <c r="F9" s="37">
        <v>83.506338713515731</v>
      </c>
      <c r="G9" s="37">
        <v>84.680149819085798</v>
      </c>
    </row>
    <row r="10" spans="1:12" x14ac:dyDescent="0.25">
      <c r="A10" s="25" t="s">
        <v>60</v>
      </c>
      <c r="B10" s="37">
        <v>1.4561931072631191</v>
      </c>
      <c r="C10" s="37">
        <v>1.1161333568604481</v>
      </c>
      <c r="D10" s="37">
        <v>1.8269451268239736</v>
      </c>
      <c r="E10" s="37">
        <v>9.4613851542686813</v>
      </c>
      <c r="F10" s="37">
        <v>0.87489290778600337</v>
      </c>
      <c r="G10" s="37">
        <v>0.53739652438568408</v>
      </c>
    </row>
    <row r="11" spans="1:12" x14ac:dyDescent="0.25">
      <c r="A11" s="25" t="s">
        <v>11</v>
      </c>
      <c r="B11" s="58">
        <v>10.459573338066539</v>
      </c>
      <c r="C11" s="58">
        <v>8.9612986683927165</v>
      </c>
      <c r="D11" s="37">
        <v>9.6989484206419743</v>
      </c>
      <c r="E11" s="37">
        <v>6.7265886417455425</v>
      </c>
      <c r="F11" s="37">
        <v>5.4985726664581156</v>
      </c>
      <c r="G11" s="37">
        <v>5.8236514311105747</v>
      </c>
    </row>
    <row r="12" spans="1:12" x14ac:dyDescent="0.25">
      <c r="A12" s="36" t="s">
        <v>1</v>
      </c>
      <c r="B12" s="37">
        <v>1.9558269749659154</v>
      </c>
      <c r="C12" s="37">
        <v>2.082657207348706</v>
      </c>
      <c r="D12" s="37">
        <v>1.9777346864265726</v>
      </c>
      <c r="E12" s="37">
        <v>11.219048659964367</v>
      </c>
      <c r="F12" s="37">
        <v>9.8034987340843518</v>
      </c>
      <c r="G12" s="37">
        <v>8.6029529241181244</v>
      </c>
    </row>
    <row r="13" spans="1:12" x14ac:dyDescent="0.25">
      <c r="A13" s="25" t="s">
        <v>0</v>
      </c>
      <c r="B13" s="37">
        <v>0.78860703874903182</v>
      </c>
      <c r="C13" s="37">
        <v>0.68454609829479729</v>
      </c>
      <c r="D13" s="37">
        <v>0.7865900416779904</v>
      </c>
      <c r="E13" s="37">
        <v>0.53329482471091061</v>
      </c>
      <c r="F13" s="37">
        <v>0.31669697815579267</v>
      </c>
      <c r="G13" s="37">
        <v>0.35584930129981174</v>
      </c>
    </row>
    <row r="14" spans="1:12" s="2" customFormat="1" x14ac:dyDescent="0.25">
      <c r="A14" s="24" t="s">
        <v>6</v>
      </c>
      <c r="B14" s="38">
        <f>SUM(B9:B13)</f>
        <v>100</v>
      </c>
      <c r="C14" s="38">
        <f>SUM(C9:C13)</f>
        <v>100</v>
      </c>
      <c r="D14" s="38">
        <f>SUM(D9:D13)</f>
        <v>100</v>
      </c>
      <c r="E14" s="38">
        <v>100</v>
      </c>
      <c r="F14" s="38">
        <f>SUM(F9:F13)</f>
        <v>100</v>
      </c>
      <c r="G14" s="38">
        <v>100</v>
      </c>
    </row>
    <row r="15" spans="1:12" s="2" customFormat="1" x14ac:dyDescent="0.25">
      <c r="A15" s="24" t="s">
        <v>21</v>
      </c>
    </row>
    <row r="16" spans="1:12" x14ac:dyDescent="0.25">
      <c r="A16" s="36" t="s">
        <v>2</v>
      </c>
      <c r="B16" s="37">
        <v>84.102717010400625</v>
      </c>
      <c r="C16" s="37">
        <v>86.450162419098234</v>
      </c>
      <c r="D16" s="37">
        <v>87.313762280625568</v>
      </c>
      <c r="E16" s="37">
        <v>78.837215301804136</v>
      </c>
      <c r="F16" s="37">
        <v>86.974596579500215</v>
      </c>
      <c r="G16" s="37">
        <v>88.283770065621482</v>
      </c>
    </row>
    <row r="17" spans="1:14" x14ac:dyDescent="0.25">
      <c r="A17" s="25" t="s">
        <v>60</v>
      </c>
      <c r="B17" s="37">
        <v>1.5975225739050396</v>
      </c>
      <c r="C17" s="37">
        <v>1.2143384967843518</v>
      </c>
      <c r="D17" s="37">
        <v>2.6584478744732887</v>
      </c>
      <c r="E17" s="37">
        <v>7.0425840786930687</v>
      </c>
      <c r="F17" s="37">
        <v>1.0150314717714015</v>
      </c>
      <c r="G17" s="37">
        <v>0.63231896009898125</v>
      </c>
    </row>
    <row r="18" spans="1:14" x14ac:dyDescent="0.25">
      <c r="A18" s="25" t="s">
        <v>11</v>
      </c>
      <c r="B18" s="37">
        <v>12.143171628589752</v>
      </c>
      <c r="C18" s="37">
        <v>10.29654462461675</v>
      </c>
      <c r="D18" s="37">
        <v>7.5216428419304595</v>
      </c>
      <c r="E18" s="37">
        <v>7.4278566159924679</v>
      </c>
      <c r="F18" s="37">
        <v>5.796027596393122</v>
      </c>
      <c r="G18" s="37">
        <v>5.6901681986573198</v>
      </c>
    </row>
    <row r="19" spans="1:14" x14ac:dyDescent="0.25">
      <c r="A19" s="36" t="s">
        <v>1</v>
      </c>
      <c r="B19" s="37">
        <v>1.2910195300823391</v>
      </c>
      <c r="C19" s="37">
        <v>1.2788409226189779</v>
      </c>
      <c r="D19" s="37">
        <v>1.1649714510108184</v>
      </c>
      <c r="E19" s="37">
        <v>6.1163002404221967</v>
      </c>
      <c r="F19" s="37">
        <v>5.8502202010347375</v>
      </c>
      <c r="G19" s="37">
        <v>5.0031196578716761</v>
      </c>
    </row>
    <row r="20" spans="1:14" x14ac:dyDescent="0.25">
      <c r="A20" s="25" t="s">
        <v>0</v>
      </c>
      <c r="B20" s="37">
        <v>0.86556925702223775</v>
      </c>
      <c r="C20" s="37">
        <v>0.76011353688169059</v>
      </c>
      <c r="D20" s="37">
        <v>1.3411755519598623</v>
      </c>
      <c r="E20" s="37">
        <v>0.57604376308812721</v>
      </c>
      <c r="F20" s="37">
        <v>0.36412415130052694</v>
      </c>
      <c r="G20" s="37">
        <v>0.39062311775054265</v>
      </c>
    </row>
    <row r="21" spans="1:14" s="2" customFormat="1" x14ac:dyDescent="0.25">
      <c r="A21" s="24" t="s">
        <v>6</v>
      </c>
      <c r="B21" s="38">
        <f>SUM(B16:B20)</f>
        <v>100</v>
      </c>
      <c r="C21" s="38">
        <f>SUM(C16:C20)</f>
        <v>100</v>
      </c>
      <c r="D21" s="38">
        <f>SUM(D16:D20)</f>
        <v>99.999999999999986</v>
      </c>
      <c r="E21" s="38">
        <f>SUM(E16:E20)</f>
        <v>99.999999999999986</v>
      </c>
      <c r="F21" s="38">
        <f>SUM(F16:F20)</f>
        <v>100</v>
      </c>
      <c r="G21" s="38">
        <f>SUM(G16:G20)</f>
        <v>100</v>
      </c>
    </row>
    <row r="22" spans="1:14" s="2" customFormat="1" x14ac:dyDescent="0.25">
      <c r="A22" s="55"/>
      <c r="B22" s="39"/>
      <c r="C22" s="39"/>
      <c r="D22" s="39"/>
      <c r="E22" s="39"/>
      <c r="F22" s="39"/>
      <c r="G22" s="39"/>
      <c r="H22" s="39"/>
      <c r="I22" s="39"/>
      <c r="J22" s="39"/>
      <c r="K22" s="39"/>
      <c r="L22" s="39"/>
      <c r="M22" s="39"/>
      <c r="N22" s="39"/>
    </row>
    <row r="23" spans="1:14" s="2" customFormat="1" x14ac:dyDescent="0.25">
      <c r="A23" s="62" t="s">
        <v>38</v>
      </c>
      <c r="B23" s="62"/>
      <c r="C23" s="62"/>
      <c r="D23" s="62"/>
      <c r="E23" s="62"/>
      <c r="F23" s="62"/>
      <c r="G23" s="62"/>
      <c r="H23" s="62"/>
      <c r="I23" s="62"/>
      <c r="J23" s="62"/>
      <c r="K23" s="62"/>
      <c r="L23" s="62"/>
      <c r="M23" s="62"/>
      <c r="N23" s="62"/>
    </row>
    <row r="24" spans="1:14" ht="3" customHeight="1" x14ac:dyDescent="0.25">
      <c r="A24" s="63"/>
      <c r="B24" s="63"/>
      <c r="C24" s="63"/>
      <c r="D24" s="63"/>
      <c r="E24" s="63"/>
      <c r="F24" s="63"/>
      <c r="G24" s="63"/>
      <c r="H24" s="63"/>
      <c r="I24" s="63"/>
      <c r="J24" s="63"/>
      <c r="K24" s="63"/>
      <c r="L24" s="63"/>
      <c r="M24" s="63"/>
      <c r="N24" s="63"/>
    </row>
    <row r="25" spans="1:14" s="2" customFormat="1" ht="12" customHeight="1" x14ac:dyDescent="0.25">
      <c r="A25" s="64"/>
      <c r="B25" s="65">
        <v>2007</v>
      </c>
      <c r="C25" s="65">
        <v>2008</v>
      </c>
      <c r="D25" s="65">
        <v>2009</v>
      </c>
      <c r="E25" s="65">
        <v>2010</v>
      </c>
      <c r="F25" s="65">
        <v>2011</v>
      </c>
      <c r="G25" s="65">
        <v>2012</v>
      </c>
      <c r="H25" s="65">
        <v>2013</v>
      </c>
      <c r="I25" s="65">
        <v>2014</v>
      </c>
      <c r="J25" s="65">
        <v>2015</v>
      </c>
      <c r="K25" s="65">
        <v>2016</v>
      </c>
      <c r="L25" s="65">
        <v>2017</v>
      </c>
      <c r="M25" s="65">
        <v>2018</v>
      </c>
      <c r="N25" s="65">
        <v>2019</v>
      </c>
    </row>
    <row r="26" spans="1:14" s="2" customFormat="1" ht="12" customHeight="1" x14ac:dyDescent="0.25">
      <c r="A26" s="64" t="s">
        <v>37</v>
      </c>
      <c r="B26" s="65"/>
      <c r="C26" s="65"/>
      <c r="D26" s="65"/>
      <c r="E26" s="65"/>
      <c r="F26" s="65"/>
      <c r="G26" s="65"/>
      <c r="H26" s="65"/>
      <c r="I26" s="65"/>
      <c r="J26" s="65"/>
      <c r="K26" s="62"/>
      <c r="L26" s="62"/>
      <c r="M26" s="62"/>
      <c r="N26" s="62"/>
    </row>
    <row r="27" spans="1:14" x14ac:dyDescent="0.25">
      <c r="A27" s="66" t="s">
        <v>2</v>
      </c>
      <c r="B27" s="67">
        <v>62.972704971739091</v>
      </c>
      <c r="C27" s="67">
        <v>57.734552948129291</v>
      </c>
      <c r="D27" s="67">
        <v>63.442905226149563</v>
      </c>
      <c r="E27" s="67">
        <v>63.442424709594192</v>
      </c>
      <c r="F27" s="67">
        <f>0.675269539859799*100</f>
        <v>67.526953985979901</v>
      </c>
      <c r="G27" s="67">
        <v>72.858054609503739</v>
      </c>
      <c r="H27" s="67">
        <v>73.89929083646247</v>
      </c>
      <c r="I27" s="67">
        <v>75.71221018896955</v>
      </c>
      <c r="J27" s="67">
        <v>76.536166572434567</v>
      </c>
      <c r="K27" s="67">
        <v>78.0331143964696</v>
      </c>
      <c r="L27" s="67">
        <v>80.075269894525903</v>
      </c>
      <c r="M27" s="67">
        <v>79.099999999999994</v>
      </c>
      <c r="N27" s="67">
        <v>79.8</v>
      </c>
    </row>
    <row r="28" spans="1:14" x14ac:dyDescent="0.25">
      <c r="A28" s="66" t="s">
        <v>11</v>
      </c>
      <c r="B28" s="67">
        <v>7.0505188104987004</v>
      </c>
      <c r="C28" s="67">
        <v>5.0618970126539837</v>
      </c>
      <c r="D28" s="67">
        <v>4.7299262641202668</v>
      </c>
      <c r="E28" s="67">
        <v>9.333929061938333</v>
      </c>
      <c r="F28" s="67">
        <v>6.5654784169016303</v>
      </c>
      <c r="G28" s="67">
        <v>5.8379070982603842</v>
      </c>
      <c r="H28" s="67">
        <v>4.6163496134672286</v>
      </c>
      <c r="I28" s="67">
        <v>5.3647020882927796</v>
      </c>
      <c r="J28" s="67">
        <v>6.9411772228189808</v>
      </c>
      <c r="K28" s="67">
        <v>7.0725003414020184</v>
      </c>
      <c r="L28" s="67">
        <v>5.7733474801386198</v>
      </c>
      <c r="M28" s="67">
        <v>5.5</v>
      </c>
      <c r="N28" s="67">
        <v>4.8</v>
      </c>
    </row>
    <row r="29" spans="1:14" x14ac:dyDescent="0.25">
      <c r="A29" s="66" t="s">
        <v>1</v>
      </c>
      <c r="B29" s="67">
        <v>29.9767762177622</v>
      </c>
      <c r="C29" s="67">
        <v>37.203550039216729</v>
      </c>
      <c r="D29" s="67">
        <v>31.827168509730175</v>
      </c>
      <c r="E29" s="67">
        <v>27.22364622846748</v>
      </c>
      <c r="F29" s="67">
        <f>0.259075675971185*100</f>
        <v>25.907567597118504</v>
      </c>
      <c r="G29" s="63">
        <v>21.304038292235891</v>
      </c>
      <c r="H29" s="63">
        <v>21.484359550070288</v>
      </c>
      <c r="I29" s="63">
        <v>18.923087722737662</v>
      </c>
      <c r="J29" s="63">
        <v>16.522656204746454</v>
      </c>
      <c r="K29" s="67">
        <v>14.894385262128301</v>
      </c>
      <c r="L29" s="67">
        <v>14.151382625335501</v>
      </c>
      <c r="M29" s="67">
        <v>15.4</v>
      </c>
      <c r="N29" s="67">
        <v>15.4</v>
      </c>
    </row>
    <row r="30" spans="1:14" s="2" customFormat="1" x14ac:dyDescent="0.25">
      <c r="A30" s="64" t="s">
        <v>6</v>
      </c>
      <c r="B30" s="68">
        <f t="shared" ref="B30:F30" si="0">SUM(B27:B29)</f>
        <v>100</v>
      </c>
      <c r="C30" s="68">
        <f t="shared" si="0"/>
        <v>100</v>
      </c>
      <c r="D30" s="68">
        <f t="shared" si="0"/>
        <v>100</v>
      </c>
      <c r="E30" s="68">
        <f t="shared" si="0"/>
        <v>100</v>
      </c>
      <c r="F30" s="68">
        <f t="shared" si="0"/>
        <v>100.00000000000003</v>
      </c>
      <c r="G30" s="68">
        <f>SUM(G27:G29)</f>
        <v>100.00000000000001</v>
      </c>
      <c r="H30" s="68">
        <f>SUM(H27:H29)</f>
        <v>99.999999999999972</v>
      </c>
      <c r="I30" s="68">
        <f>SUM(I27:I29)</f>
        <v>99.999999999999986</v>
      </c>
      <c r="J30" s="68">
        <f>SUM(J27:J29)</f>
        <v>100</v>
      </c>
      <c r="K30" s="68">
        <f t="shared" ref="K30:M30" si="1">SUM(K27:K29)</f>
        <v>99.999999999999915</v>
      </c>
      <c r="L30" s="68">
        <f t="shared" si="1"/>
        <v>100.00000000000003</v>
      </c>
      <c r="M30" s="68">
        <f t="shared" si="1"/>
        <v>100</v>
      </c>
      <c r="N30" s="68">
        <f t="shared" ref="N30" si="2">SUM(N27:N29)</f>
        <v>100</v>
      </c>
    </row>
    <row r="31" spans="1:14" s="2" customFormat="1" x14ac:dyDescent="0.25">
      <c r="A31" s="64" t="s">
        <v>21</v>
      </c>
      <c r="B31" s="65"/>
      <c r="C31" s="65"/>
      <c r="D31" s="65"/>
      <c r="E31" s="65"/>
      <c r="F31" s="65"/>
      <c r="G31" s="65"/>
      <c r="H31" s="65"/>
      <c r="I31" s="65"/>
      <c r="J31" s="65"/>
      <c r="K31" s="62"/>
      <c r="L31" s="62"/>
      <c r="M31" s="62"/>
      <c r="N31" s="62"/>
    </row>
    <row r="32" spans="1:14" x14ac:dyDescent="0.25">
      <c r="A32" s="66" t="s">
        <v>2</v>
      </c>
      <c r="B32" s="67">
        <v>67.526039559932443</v>
      </c>
      <c r="C32" s="67">
        <v>68.604894765001418</v>
      </c>
      <c r="D32" s="67">
        <v>72.970930373411193</v>
      </c>
      <c r="E32" s="67">
        <v>68.414575547585727</v>
      </c>
      <c r="F32" s="67">
        <v>72.31449486812771</v>
      </c>
      <c r="G32" s="67">
        <v>76.100709558255829</v>
      </c>
      <c r="H32" s="67">
        <v>77.090499269992335</v>
      </c>
      <c r="I32" s="67">
        <v>78.280404255875666</v>
      </c>
      <c r="J32" s="67">
        <v>77.415992256534423</v>
      </c>
      <c r="K32" s="67">
        <v>77.077893907728566</v>
      </c>
      <c r="L32" s="67">
        <v>79.895525508767776</v>
      </c>
      <c r="M32" s="67">
        <v>80</v>
      </c>
      <c r="N32" s="67">
        <v>82.1</v>
      </c>
    </row>
    <row r="33" spans="1:14" x14ac:dyDescent="0.25">
      <c r="A33" s="66" t="s">
        <v>11</v>
      </c>
      <c r="B33" s="67">
        <v>14.55088547582665</v>
      </c>
      <c r="C33" s="67">
        <v>9.6679698883394369</v>
      </c>
      <c r="D33" s="67">
        <v>8.4297244810645751</v>
      </c>
      <c r="E33" s="67">
        <v>15.887066675740419</v>
      </c>
      <c r="F33" s="67">
        <v>12.727831878430997</v>
      </c>
      <c r="G33" s="67">
        <v>11.504661390990673</v>
      </c>
      <c r="H33" s="67">
        <v>10.113310551631175</v>
      </c>
      <c r="I33" s="67">
        <v>10.965087117159483</v>
      </c>
      <c r="J33" s="67">
        <v>13.402116058538919</v>
      </c>
      <c r="K33" s="67">
        <v>14.568151659557968</v>
      </c>
      <c r="L33" s="67">
        <v>11.870758502721038</v>
      </c>
      <c r="M33" s="67">
        <v>10.9</v>
      </c>
      <c r="N33" s="67">
        <v>9</v>
      </c>
    </row>
    <row r="34" spans="1:14" x14ac:dyDescent="0.25">
      <c r="A34" s="66" t="s">
        <v>1</v>
      </c>
      <c r="B34" s="67">
        <v>17.923074964240914</v>
      </c>
      <c r="C34" s="67">
        <v>21.727135346659139</v>
      </c>
      <c r="D34" s="67">
        <v>18.599345145524236</v>
      </c>
      <c r="E34" s="67">
        <v>15.698357776673856</v>
      </c>
      <c r="F34" s="67">
        <v>14.957673253441298</v>
      </c>
      <c r="G34" s="67">
        <v>12.394629050753498</v>
      </c>
      <c r="H34" s="67">
        <v>12.796190178376495</v>
      </c>
      <c r="I34" s="67">
        <v>10.754508626964853</v>
      </c>
      <c r="J34" s="67">
        <v>9.1818916849266579</v>
      </c>
      <c r="K34" s="67">
        <v>8.3539544327134596</v>
      </c>
      <c r="L34" s="67">
        <v>8.2337159885111983</v>
      </c>
      <c r="M34" s="67">
        <v>9.1</v>
      </c>
      <c r="N34" s="67">
        <v>8.9</v>
      </c>
    </row>
    <row r="35" spans="1:14" s="2" customFormat="1" x14ac:dyDescent="0.25">
      <c r="A35" s="64" t="s">
        <v>6</v>
      </c>
      <c r="B35" s="68">
        <f t="shared" ref="B35:G35" si="3">SUM(B32:B34)</f>
        <v>100</v>
      </c>
      <c r="C35" s="68">
        <f t="shared" si="3"/>
        <v>100</v>
      </c>
      <c r="D35" s="68">
        <f t="shared" si="3"/>
        <v>100</v>
      </c>
      <c r="E35" s="68">
        <f t="shared" si="3"/>
        <v>100</v>
      </c>
      <c r="F35" s="68">
        <f t="shared" si="3"/>
        <v>100</v>
      </c>
      <c r="G35" s="68">
        <f t="shared" si="3"/>
        <v>100</v>
      </c>
      <c r="H35" s="68">
        <f t="shared" ref="H35:I35" si="4">SUM(H32:H34)</f>
        <v>100</v>
      </c>
      <c r="I35" s="68">
        <f t="shared" si="4"/>
        <v>100</v>
      </c>
      <c r="J35" s="68">
        <f t="shared" ref="J35:M35" si="5">SUM(J32:J34)</f>
        <v>100</v>
      </c>
      <c r="K35" s="68">
        <f t="shared" si="5"/>
        <v>100</v>
      </c>
      <c r="L35" s="68">
        <f t="shared" si="5"/>
        <v>100</v>
      </c>
      <c r="M35" s="68">
        <f t="shared" si="5"/>
        <v>100</v>
      </c>
      <c r="N35" s="68">
        <f t="shared" ref="N35" si="6">SUM(N32:N34)</f>
        <v>100</v>
      </c>
    </row>
    <row r="36" spans="1:14" s="2" customFormat="1" x14ac:dyDescent="0.25">
      <c r="A36" s="57" t="s">
        <v>51</v>
      </c>
      <c r="B36" s="39"/>
      <c r="C36" s="39"/>
      <c r="D36" s="39"/>
      <c r="E36" s="39"/>
      <c r="F36" s="39"/>
      <c r="G36" s="39"/>
      <c r="H36" s="39"/>
      <c r="I36" s="39"/>
      <c r="J36" s="39"/>
    </row>
    <row r="37" spans="1:14" x14ac:dyDescent="0.25">
      <c r="A37" s="1" t="s">
        <v>56</v>
      </c>
    </row>
    <row r="45" spans="1:14" x14ac:dyDescent="0.25">
      <c r="F45" s="52"/>
      <c r="G45" s="52"/>
      <c r="H45" s="52"/>
      <c r="I45" s="52"/>
      <c r="J45" s="52"/>
      <c r="K45" s="52"/>
      <c r="L45" s="52"/>
    </row>
    <row r="46" spans="1:14" x14ac:dyDescent="0.25">
      <c r="F46" s="52"/>
      <c r="G46" s="52"/>
      <c r="H46" s="52"/>
      <c r="I46" s="52"/>
      <c r="J46" s="52"/>
      <c r="K46" s="52"/>
      <c r="L46" s="52"/>
    </row>
    <row r="47" spans="1:14" x14ac:dyDescent="0.25">
      <c r="F47" s="52"/>
      <c r="G47" s="52"/>
      <c r="H47" s="52"/>
      <c r="I47" s="52"/>
      <c r="J47" s="52"/>
      <c r="K47" s="52"/>
      <c r="L47" s="52"/>
    </row>
  </sheetData>
  <phoneticPr fontId="6" type="noConversion"/>
  <hyperlinks>
    <hyperlink ref="A2" location="Sommaire!A1" display="Retour au menu &quot;Distribution&quot;" xr:uid="{00000000-0004-0000-0500-000000000000}"/>
  </hyperlinks>
  <pageMargins left="0.59055118110236227" right="0.59055118110236227" top="0.59055118110236227" bottom="0.78740157480314965" header="0.51181102362204722" footer="0.51181102362204722"/>
  <pageSetup paperSize="9" orientation="landscape" r:id="rId1"/>
  <headerFooter alignWithMargins="0">
    <oddFooter>&amp;L&amp;"Arial,Gras italique"&amp;9&amp;G&amp;R&amp;"Arial,Gras italique"&amp;9Consommation dse ménages en vidéo à la demande</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6"/>
  <sheetViews>
    <sheetView workbookViewId="0">
      <pane xSplit="1" topLeftCell="B1" activePane="topRight" state="frozen"/>
      <selection activeCell="O8" sqref="O8"/>
      <selection pane="topRight"/>
    </sheetView>
  </sheetViews>
  <sheetFormatPr baseColWidth="10" defaultColWidth="11.453125" defaultRowHeight="11.5" x14ac:dyDescent="0.25"/>
  <cols>
    <col min="1" max="1" width="19.81640625" style="3" customWidth="1"/>
    <col min="2" max="3" width="6.453125" style="3" bestFit="1" customWidth="1"/>
    <col min="4" max="6" width="6.453125" style="3" customWidth="1"/>
    <col min="7" max="7" width="5.54296875" style="3" customWidth="1"/>
    <col min="8" max="8" width="5.26953125" style="3" customWidth="1"/>
    <col min="9" max="10" width="4.90625" style="3" bestFit="1" customWidth="1"/>
    <col min="11" max="16384" width="11.453125" style="3"/>
  </cols>
  <sheetData>
    <row r="1" spans="1:7" s="11" customFormat="1" ht="12.5" x14ac:dyDescent="0.25">
      <c r="B1" s="18"/>
      <c r="C1" s="18"/>
      <c r="D1" s="18"/>
      <c r="E1" s="18"/>
      <c r="F1" s="18"/>
      <c r="G1" s="18"/>
    </row>
    <row r="2" spans="1:7" s="21" customFormat="1" ht="12.5" x14ac:dyDescent="0.25">
      <c r="A2" s="19" t="s">
        <v>28</v>
      </c>
      <c r="B2" s="20"/>
      <c r="C2" s="20"/>
      <c r="D2" s="20"/>
      <c r="E2" s="20"/>
      <c r="F2" s="20"/>
      <c r="G2" s="20"/>
    </row>
    <row r="3" spans="1:7" s="11" customFormat="1" ht="12.5" x14ac:dyDescent="0.25">
      <c r="B3" s="18"/>
      <c r="C3" s="18"/>
      <c r="D3" s="18"/>
      <c r="E3" s="18"/>
      <c r="F3" s="18"/>
      <c r="G3" s="18"/>
    </row>
    <row r="4" spans="1:7" s="11" customFormat="1" ht="12.5" x14ac:dyDescent="0.25">
      <c r="B4" s="18"/>
      <c r="C4" s="18"/>
      <c r="D4" s="18"/>
      <c r="E4" s="18"/>
      <c r="F4" s="18"/>
      <c r="G4" s="18"/>
    </row>
    <row r="5" spans="1:7" s="2" customFormat="1" x14ac:dyDescent="0.25">
      <c r="A5" s="2" t="s">
        <v>53</v>
      </c>
    </row>
    <row r="6" spans="1:7" ht="3" customHeight="1" x14ac:dyDescent="0.25"/>
    <row r="7" spans="1:7" s="2" customFormat="1" ht="12" customHeight="1" x14ac:dyDescent="0.25">
      <c r="A7" s="24"/>
      <c r="B7" s="35">
        <v>2018</v>
      </c>
      <c r="C7" s="35">
        <v>2019</v>
      </c>
      <c r="D7" s="35">
        <v>2020</v>
      </c>
      <c r="E7" s="35">
        <v>2021</v>
      </c>
      <c r="F7" s="35">
        <v>2022</v>
      </c>
      <c r="G7" s="35">
        <v>2023</v>
      </c>
    </row>
    <row r="8" spans="1:7" s="2" customFormat="1" ht="12" customHeight="1" x14ac:dyDescent="0.25">
      <c r="A8" s="24" t="s">
        <v>37</v>
      </c>
    </row>
    <row r="9" spans="1:7" x14ac:dyDescent="0.25">
      <c r="A9" s="25" t="s">
        <v>12</v>
      </c>
      <c r="B9" s="37">
        <v>35.935312964110111</v>
      </c>
      <c r="C9" s="37">
        <v>37.125722774569702</v>
      </c>
      <c r="D9" s="37">
        <v>28.034738608254607</v>
      </c>
      <c r="E9" s="37">
        <v>36.722040296410029</v>
      </c>
      <c r="F9" s="37">
        <v>29.016858223520252</v>
      </c>
      <c r="G9" s="37">
        <v>29.583834828755347</v>
      </c>
    </row>
    <row r="10" spans="1:7" x14ac:dyDescent="0.25">
      <c r="A10" s="25" t="s">
        <v>13</v>
      </c>
      <c r="B10" s="37">
        <v>59.913446095338131</v>
      </c>
      <c r="C10" s="37">
        <v>58.279404832452933</v>
      </c>
      <c r="D10" s="37">
        <v>67.489936097129444</v>
      </c>
      <c r="E10" s="37">
        <v>59.895343033103352</v>
      </c>
      <c r="F10" s="37">
        <v>68.161120161307281</v>
      </c>
      <c r="G10" s="37">
        <v>67.487139562306112</v>
      </c>
    </row>
    <row r="11" spans="1:7" x14ac:dyDescent="0.25">
      <c r="A11" s="25" t="s">
        <v>55</v>
      </c>
      <c r="B11" s="37">
        <v>3.112593462452891</v>
      </c>
      <c r="C11" s="37">
        <v>3.4788594687120007</v>
      </c>
      <c r="D11" s="37">
        <v>3.1363483759370694</v>
      </c>
      <c r="E11" s="37">
        <v>2.5556550203985893</v>
      </c>
      <c r="F11" s="37">
        <v>2.0889472997126046</v>
      </c>
      <c r="G11" s="37">
        <v>1.9697734487746976</v>
      </c>
    </row>
    <row r="12" spans="1:7" x14ac:dyDescent="0.25">
      <c r="A12" s="25" t="s">
        <v>14</v>
      </c>
      <c r="B12" s="37">
        <v>1.0386474780988826</v>
      </c>
      <c r="C12" s="37">
        <v>1.1160129242653636</v>
      </c>
      <c r="D12" s="37">
        <v>1.3389769186788796</v>
      </c>
      <c r="E12" s="37">
        <v>0.82696165008803857</v>
      </c>
      <c r="F12" s="37">
        <v>0.73307431545986579</v>
      </c>
      <c r="G12" s="37">
        <v>0.9592521601638615</v>
      </c>
    </row>
    <row r="13" spans="1:7" s="2" customFormat="1" x14ac:dyDescent="0.25">
      <c r="A13" s="24" t="s">
        <v>6</v>
      </c>
      <c r="B13" s="38">
        <v>100</v>
      </c>
      <c r="C13" s="38">
        <v>100</v>
      </c>
      <c r="D13" s="38">
        <v>100</v>
      </c>
      <c r="E13" s="38">
        <v>100</v>
      </c>
      <c r="F13" s="38">
        <v>100</v>
      </c>
      <c r="G13" s="38">
        <v>100</v>
      </c>
    </row>
    <row r="14" spans="1:7" s="2" customFormat="1" x14ac:dyDescent="0.25">
      <c r="A14" s="24" t="s">
        <v>21</v>
      </c>
    </row>
    <row r="15" spans="1:7" x14ac:dyDescent="0.25">
      <c r="A15" s="25" t="s">
        <v>12</v>
      </c>
      <c r="B15" s="37">
        <v>36.159463253975602</v>
      </c>
      <c r="C15" s="37">
        <v>37.783193615482098</v>
      </c>
      <c r="D15" s="37">
        <v>30.237845076408298</v>
      </c>
      <c r="E15" s="37">
        <v>38.077499522522281</v>
      </c>
      <c r="F15" s="37">
        <v>30.8</v>
      </c>
      <c r="G15" s="37">
        <v>32.428441336510986</v>
      </c>
    </row>
    <row r="16" spans="1:7" x14ac:dyDescent="0.25">
      <c r="A16" s="25" t="s">
        <v>13</v>
      </c>
      <c r="B16" s="37">
        <v>59.420959956323799</v>
      </c>
      <c r="C16" s="37">
        <v>57.3833717788429</v>
      </c>
      <c r="D16" s="37">
        <v>64.970400776881107</v>
      </c>
      <c r="E16" s="37">
        <v>58.468549478839819</v>
      </c>
      <c r="F16" s="37">
        <v>66.099999999999994</v>
      </c>
      <c r="G16" s="37">
        <v>64.521041536803764</v>
      </c>
    </row>
    <row r="17" spans="1:10" x14ac:dyDescent="0.25">
      <c r="A17" s="25" t="s">
        <v>55</v>
      </c>
      <c r="B17" s="37">
        <v>3.3050759692404199</v>
      </c>
      <c r="C17" s="37">
        <v>3.63736552728145</v>
      </c>
      <c r="D17" s="37">
        <v>3.3569125951702401</v>
      </c>
      <c r="E17" s="37">
        <v>2.8770880876507374</v>
      </c>
      <c r="F17" s="37">
        <v>2.2999999999999998</v>
      </c>
      <c r="G17" s="37">
        <v>2.1371333747877848</v>
      </c>
    </row>
    <row r="18" spans="1:10" x14ac:dyDescent="0.25">
      <c r="A18" s="25" t="s">
        <v>14</v>
      </c>
      <c r="B18" s="37">
        <v>1.1145008204602</v>
      </c>
      <c r="C18" s="37">
        <v>1.1960690783936001</v>
      </c>
      <c r="D18" s="37">
        <v>1.4348415515402599</v>
      </c>
      <c r="E18" s="37">
        <v>0.57686291098718012</v>
      </c>
      <c r="F18" s="37">
        <v>0.8</v>
      </c>
      <c r="G18" s="37">
        <v>0.91338375189747212</v>
      </c>
    </row>
    <row r="19" spans="1:10" s="2" customFormat="1" x14ac:dyDescent="0.25">
      <c r="A19" s="24" t="s">
        <v>6</v>
      </c>
      <c r="B19" s="38">
        <v>100</v>
      </c>
      <c r="C19" s="38">
        <v>100</v>
      </c>
      <c r="D19" s="38">
        <v>100</v>
      </c>
      <c r="E19" s="38">
        <v>100</v>
      </c>
      <c r="F19" s="38">
        <v>100</v>
      </c>
      <c r="G19" s="38">
        <v>100</v>
      </c>
    </row>
    <row r="20" spans="1:10" x14ac:dyDescent="0.25">
      <c r="A20" s="40" t="s">
        <v>54</v>
      </c>
    </row>
    <row r="21" spans="1:10" x14ac:dyDescent="0.25">
      <c r="A21" s="1"/>
    </row>
    <row r="22" spans="1:10" s="2" customFormat="1" x14ac:dyDescent="0.25">
      <c r="A22" s="62" t="s">
        <v>42</v>
      </c>
      <c r="B22" s="62"/>
      <c r="C22" s="62"/>
      <c r="D22" s="62"/>
      <c r="E22" s="62"/>
      <c r="F22" s="62"/>
      <c r="G22" s="62"/>
      <c r="H22" s="62"/>
      <c r="I22" s="62"/>
      <c r="J22" s="62"/>
    </row>
    <row r="23" spans="1:10" ht="3" customHeight="1" x14ac:dyDescent="0.25">
      <c r="A23" s="63"/>
      <c r="B23" s="63"/>
      <c r="C23" s="63"/>
      <c r="D23" s="63"/>
      <c r="E23" s="63"/>
      <c r="F23" s="63"/>
      <c r="G23" s="63"/>
      <c r="H23" s="63"/>
      <c r="I23" s="63"/>
      <c r="J23" s="63"/>
    </row>
    <row r="24" spans="1:10" s="2" customFormat="1" ht="12" customHeight="1" x14ac:dyDescent="0.25">
      <c r="A24" s="64"/>
      <c r="B24" s="65">
        <v>2011</v>
      </c>
      <c r="C24" s="65">
        <v>2012</v>
      </c>
      <c r="D24" s="65">
        <v>2013</v>
      </c>
      <c r="E24" s="65">
        <v>2014</v>
      </c>
      <c r="F24" s="65">
        <v>2015</v>
      </c>
      <c r="G24" s="65">
        <v>2016</v>
      </c>
      <c r="H24" s="65">
        <v>2017</v>
      </c>
      <c r="I24" s="65">
        <v>2018</v>
      </c>
      <c r="J24" s="65">
        <v>2019</v>
      </c>
    </row>
    <row r="25" spans="1:10" s="2" customFormat="1" ht="12" customHeight="1" x14ac:dyDescent="0.25">
      <c r="A25" s="64" t="s">
        <v>37</v>
      </c>
      <c r="B25" s="65"/>
      <c r="C25" s="65"/>
      <c r="D25" s="65"/>
      <c r="E25" s="65"/>
      <c r="F25" s="65"/>
      <c r="G25" s="62"/>
      <c r="H25" s="62"/>
      <c r="I25" s="62"/>
      <c r="J25" s="62"/>
    </row>
    <row r="26" spans="1:10" x14ac:dyDescent="0.25">
      <c r="A26" s="66" t="s">
        <v>12</v>
      </c>
      <c r="B26" s="67">
        <v>29.533301316789728</v>
      </c>
      <c r="C26" s="67">
        <v>34.690462709289122</v>
      </c>
      <c r="D26" s="67">
        <v>31.403601272434084</v>
      </c>
      <c r="E26" s="67">
        <v>36.430493860274609</v>
      </c>
      <c r="F26" s="67">
        <v>31.637906803039577</v>
      </c>
      <c r="G26" s="67">
        <f>0.332860022139439*100</f>
        <v>33.286002213943902</v>
      </c>
      <c r="H26" s="67">
        <f>0.335259130920907*100</f>
        <v>33.525913092090697</v>
      </c>
      <c r="I26" s="67">
        <v>34.700000000000003</v>
      </c>
      <c r="J26" s="67">
        <v>36.9</v>
      </c>
    </row>
    <row r="27" spans="1:10" x14ac:dyDescent="0.25">
      <c r="A27" s="66" t="s">
        <v>13</v>
      </c>
      <c r="B27" s="67">
        <v>56.367426631135231</v>
      </c>
      <c r="C27" s="67">
        <v>54.591031663789003</v>
      </c>
      <c r="D27" s="67">
        <v>58.329602185321527</v>
      </c>
      <c r="E27" s="67">
        <v>54.00826434304048</v>
      </c>
      <c r="F27" s="67">
        <v>56.878922333453687</v>
      </c>
      <c r="G27" s="67">
        <f>0.552878055231361*100</f>
        <v>55.2878055231361</v>
      </c>
      <c r="H27" s="67">
        <f>0.561812959989456*100</f>
        <v>56.1812959989456</v>
      </c>
      <c r="I27" s="67">
        <v>56.8</v>
      </c>
      <c r="J27" s="67">
        <v>53.5</v>
      </c>
    </row>
    <row r="28" spans="1:10" x14ac:dyDescent="0.25">
      <c r="A28" s="66" t="s">
        <v>14</v>
      </c>
      <c r="B28" s="67">
        <v>14.099272052075049</v>
      </c>
      <c r="C28" s="67">
        <v>10.718505626921877</v>
      </c>
      <c r="D28" s="67">
        <v>10.266796542244386</v>
      </c>
      <c r="E28" s="67">
        <v>9.5612417966849144</v>
      </c>
      <c r="F28" s="67">
        <v>11.483170863506741</v>
      </c>
      <c r="G28" s="67">
        <f>0.114261922629201*100</f>
        <v>11.4261922629201</v>
      </c>
      <c r="H28" s="67">
        <f>0.102927909089637*100</f>
        <v>10.292790908963701</v>
      </c>
      <c r="I28" s="67">
        <v>8.4</v>
      </c>
      <c r="J28" s="67">
        <v>9.6</v>
      </c>
    </row>
    <row r="29" spans="1:10" s="2" customFormat="1" x14ac:dyDescent="0.25">
      <c r="A29" s="64" t="s">
        <v>6</v>
      </c>
      <c r="B29" s="68">
        <f>SUM(B26:B28)</f>
        <v>100.00000000000001</v>
      </c>
      <c r="C29" s="68">
        <f>SUM(C26:C28)</f>
        <v>100</v>
      </c>
      <c r="D29" s="68">
        <f>SUM(D26:D28)</f>
        <v>100</v>
      </c>
      <c r="E29" s="68">
        <f>SUM(E26:E28)</f>
        <v>100</v>
      </c>
      <c r="F29" s="68">
        <f>SUM(F26:F28)</f>
        <v>100.00000000000001</v>
      </c>
      <c r="G29" s="68">
        <f t="shared" ref="G29:H29" si="0">SUM(G26:G28)</f>
        <v>100.0000000000001</v>
      </c>
      <c r="H29" s="68">
        <f t="shared" si="0"/>
        <v>100</v>
      </c>
      <c r="I29" s="68">
        <v>100</v>
      </c>
      <c r="J29" s="68">
        <v>100</v>
      </c>
    </row>
    <row r="30" spans="1:10" s="2" customFormat="1" x14ac:dyDescent="0.25">
      <c r="A30" s="64" t="s">
        <v>21</v>
      </c>
      <c r="B30" s="68"/>
      <c r="C30" s="68"/>
      <c r="D30" s="68"/>
      <c r="E30" s="68"/>
      <c r="F30" s="68"/>
      <c r="G30" s="62"/>
      <c r="H30" s="62"/>
      <c r="I30" s="62"/>
      <c r="J30" s="62"/>
    </row>
    <row r="31" spans="1:10" x14ac:dyDescent="0.25">
      <c r="A31" s="66" t="s">
        <v>12</v>
      </c>
      <c r="B31" s="67">
        <v>28.862387683654916</v>
      </c>
      <c r="C31" s="67">
        <v>33.775219550957061</v>
      </c>
      <c r="D31" s="67">
        <v>30.552284591067174</v>
      </c>
      <c r="E31" s="67">
        <v>35.01457898814779</v>
      </c>
      <c r="F31" s="67">
        <v>30.69486100964237</v>
      </c>
      <c r="G31" s="67">
        <f>0.323440293174492*100</f>
        <v>32.344029317449206</v>
      </c>
      <c r="H31" s="67">
        <f>0.331303709766559*100</f>
        <v>33.130370976655897</v>
      </c>
      <c r="I31" s="67">
        <v>34</v>
      </c>
      <c r="J31" s="67">
        <v>36.1</v>
      </c>
    </row>
    <row r="32" spans="1:10" x14ac:dyDescent="0.25">
      <c r="A32" s="66" t="s">
        <v>13</v>
      </c>
      <c r="B32" s="67">
        <v>56.650980573384523</v>
      </c>
      <c r="C32" s="67">
        <v>54.816977749331507</v>
      </c>
      <c r="D32" s="67">
        <v>58.337329061211641</v>
      </c>
      <c r="E32" s="67">
        <v>54.689317729688049</v>
      </c>
      <c r="F32" s="67">
        <v>57.29717222948679</v>
      </c>
      <c r="G32" s="67">
        <f>0.559583321946308*100</f>
        <v>55.958332194630799</v>
      </c>
      <c r="H32" s="67">
        <f>0.563310641314058*100</f>
        <v>56.331064131405796</v>
      </c>
      <c r="I32" s="67">
        <v>57.1</v>
      </c>
      <c r="J32" s="67">
        <v>53.9</v>
      </c>
    </row>
    <row r="33" spans="1:10" x14ac:dyDescent="0.25">
      <c r="A33" s="66" t="s">
        <v>14</v>
      </c>
      <c r="B33" s="67">
        <v>14.486631742960569</v>
      </c>
      <c r="C33" s="67">
        <v>11.407802699711437</v>
      </c>
      <c r="D33" s="67">
        <v>11.110386347721189</v>
      </c>
      <c r="E33" s="67">
        <v>10.296103282164157</v>
      </c>
      <c r="F33" s="67">
        <v>12.007966760870829</v>
      </c>
      <c r="G33" s="67">
        <f>0.1169763848792*100</f>
        <v>11.697638487919999</v>
      </c>
      <c r="H33" s="67">
        <f>0.105385648919383*100</f>
        <v>10.5385648919383</v>
      </c>
      <c r="I33" s="67">
        <v>9</v>
      </c>
      <c r="J33" s="67">
        <v>10</v>
      </c>
    </row>
    <row r="34" spans="1:10" s="2" customFormat="1" x14ac:dyDescent="0.25">
      <c r="A34" s="64" t="s">
        <v>6</v>
      </c>
      <c r="B34" s="68">
        <f>SUM(B31:B33)</f>
        <v>100.00000000000001</v>
      </c>
      <c r="C34" s="68">
        <f>SUM(C31:C33)</f>
        <v>100.00000000000001</v>
      </c>
      <c r="D34" s="68">
        <f>SUM(D31:D33)</f>
        <v>100</v>
      </c>
      <c r="E34" s="68">
        <f>SUM(E31:E33)</f>
        <v>100</v>
      </c>
      <c r="F34" s="68">
        <f>SUM(F31:F33)</f>
        <v>99.999999999999986</v>
      </c>
      <c r="G34" s="68">
        <f t="shared" ref="G34:H34" si="1">SUM(G31:G33)</f>
        <v>100.00000000000001</v>
      </c>
      <c r="H34" s="68">
        <f t="shared" si="1"/>
        <v>100</v>
      </c>
      <c r="I34" s="68">
        <v>100</v>
      </c>
      <c r="J34" s="68">
        <v>100</v>
      </c>
    </row>
    <row r="35" spans="1:10" x14ac:dyDescent="0.25">
      <c r="A35" s="40"/>
    </row>
    <row r="36" spans="1:10" x14ac:dyDescent="0.25">
      <c r="A36" s="1" t="s">
        <v>56</v>
      </c>
    </row>
  </sheetData>
  <hyperlinks>
    <hyperlink ref="A2" location="Sommaire!A1" display="Retour au menu &quot;Distribution&quot;" xr:uid="{00000000-0004-0000-0700-000000000000}"/>
  </hyperlinks>
  <pageMargins left="0.59055118110236227" right="0.59055118110236227" top="0.59055118110236227" bottom="0.78740157480314965" header="0.51181102362204722" footer="0.51181102362204722"/>
  <pageSetup paperSize="9" orientation="landscape" r:id="rId1"/>
  <headerFooter alignWithMargins="0">
    <oddFooter>&amp;L&amp;"Arial,Gras italique"&amp;9&amp;G&amp;R&amp;"Arial,Gras italique"&amp;9Consommation dse ménages en vidéo à la demande</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26"/>
  <sheetViews>
    <sheetView workbookViewId="0"/>
  </sheetViews>
  <sheetFormatPr baseColWidth="10" defaultColWidth="11.453125" defaultRowHeight="11.5" x14ac:dyDescent="0.25"/>
  <cols>
    <col min="1" max="1" width="5" style="1" customWidth="1"/>
    <col min="2" max="4" width="6.1796875" style="5" bestFit="1" customWidth="1"/>
    <col min="5" max="5" width="5.54296875" style="1" bestFit="1" customWidth="1"/>
    <col min="6" max="6" width="2.7265625" style="1" customWidth="1"/>
    <col min="7" max="9" width="5.81640625" style="1" bestFit="1" customWidth="1"/>
    <col min="10" max="10" width="5.453125" style="1" bestFit="1" customWidth="1"/>
    <col min="11" max="16384" width="11.453125" style="1"/>
  </cols>
  <sheetData>
    <row r="1" spans="1:16" s="11" customFormat="1" ht="12.5" x14ac:dyDescent="0.25">
      <c r="B1" s="18"/>
      <c r="C1" s="18"/>
      <c r="D1" s="18"/>
      <c r="E1" s="18"/>
      <c r="F1" s="18"/>
      <c r="G1" s="18"/>
      <c r="H1" s="18"/>
      <c r="I1" s="18"/>
      <c r="J1" s="18"/>
      <c r="K1" s="18"/>
      <c r="L1" s="18"/>
      <c r="M1" s="18"/>
      <c r="N1" s="18"/>
      <c r="O1" s="18"/>
      <c r="P1" s="18"/>
    </row>
    <row r="2" spans="1:16" s="21" customFormat="1" ht="12.5" x14ac:dyDescent="0.25">
      <c r="A2" s="19" t="s">
        <v>28</v>
      </c>
      <c r="B2" s="20"/>
      <c r="C2" s="20"/>
      <c r="D2" s="20"/>
      <c r="E2" s="20"/>
      <c r="F2" s="20"/>
      <c r="G2" s="20"/>
      <c r="H2" s="20"/>
      <c r="I2" s="20"/>
      <c r="J2" s="20"/>
      <c r="K2" s="20"/>
      <c r="L2" s="20"/>
      <c r="M2" s="20"/>
      <c r="N2" s="20"/>
      <c r="O2" s="20"/>
      <c r="P2" s="20"/>
    </row>
    <row r="3" spans="1:16" s="11" customFormat="1" ht="12.5" x14ac:dyDescent="0.25">
      <c r="B3" s="18"/>
      <c r="C3" s="18"/>
      <c r="D3" s="18"/>
      <c r="E3" s="18"/>
      <c r="F3" s="18"/>
      <c r="G3" s="18"/>
      <c r="H3" s="18"/>
      <c r="I3" s="18"/>
      <c r="J3" s="18"/>
      <c r="K3" s="18"/>
      <c r="L3" s="18"/>
      <c r="M3" s="18"/>
      <c r="N3" s="18"/>
      <c r="O3" s="18"/>
      <c r="P3" s="18"/>
    </row>
    <row r="4" spans="1:16" s="11" customFormat="1" ht="12.5" x14ac:dyDescent="0.25">
      <c r="B4" s="18"/>
      <c r="C4" s="18"/>
      <c r="D4" s="18"/>
      <c r="E4" s="18"/>
      <c r="F4" s="18"/>
      <c r="G4" s="18"/>
      <c r="H4" s="18"/>
      <c r="I4" s="18"/>
      <c r="J4" s="18"/>
      <c r="K4" s="18"/>
      <c r="L4" s="18"/>
      <c r="M4" s="18"/>
      <c r="N4" s="18"/>
      <c r="O4" s="18"/>
      <c r="P4" s="18"/>
    </row>
    <row r="5" spans="1:16" s="7" customFormat="1" ht="13" x14ac:dyDescent="0.3">
      <c r="A5" s="6" t="s">
        <v>43</v>
      </c>
      <c r="B5" s="8"/>
      <c r="C5" s="8"/>
      <c r="D5" s="8"/>
    </row>
    <row r="6" spans="1:16" ht="3" customHeight="1" x14ac:dyDescent="0.25"/>
    <row r="7" spans="1:16" s="2" customFormat="1" x14ac:dyDescent="0.25">
      <c r="A7" s="24"/>
      <c r="B7" s="41" t="s">
        <v>22</v>
      </c>
      <c r="C7" s="41" t="s">
        <v>23</v>
      </c>
      <c r="D7" s="41" t="s">
        <v>24</v>
      </c>
      <c r="E7" s="41" t="s">
        <v>6</v>
      </c>
    </row>
    <row r="8" spans="1:16" x14ac:dyDescent="0.25">
      <c r="A8" s="42">
        <v>2007</v>
      </c>
      <c r="B8" s="43">
        <v>11.955342776692335</v>
      </c>
      <c r="C8" s="43">
        <v>19.345118377198023</v>
      </c>
      <c r="D8" s="43">
        <v>25.229140328697852</v>
      </c>
      <c r="E8" s="44">
        <v>100</v>
      </c>
    </row>
    <row r="9" spans="1:16" x14ac:dyDescent="0.25">
      <c r="A9" s="42">
        <v>2008</v>
      </c>
      <c r="B9" s="43">
        <v>11.051121594900856</v>
      </c>
      <c r="C9" s="43">
        <v>18.41487281368688</v>
      </c>
      <c r="D9" s="43">
        <v>24.196972968085927</v>
      </c>
      <c r="E9" s="44">
        <v>100</v>
      </c>
    </row>
    <row r="10" spans="1:16" x14ac:dyDescent="0.25">
      <c r="A10" s="42">
        <v>2009</v>
      </c>
      <c r="B10" s="43">
        <v>8.7209243525568265</v>
      </c>
      <c r="C10" s="43">
        <v>14.042297316610226</v>
      </c>
      <c r="D10" s="43">
        <v>18.552217609567105</v>
      </c>
      <c r="E10" s="44">
        <v>100</v>
      </c>
    </row>
    <row r="11" spans="1:16" x14ac:dyDescent="0.25">
      <c r="A11" s="42">
        <v>2010</v>
      </c>
      <c r="B11" s="43">
        <v>10.230646870540784</v>
      </c>
      <c r="C11" s="43">
        <v>17.850010735597991</v>
      </c>
      <c r="D11" s="43">
        <v>23.460921343276038</v>
      </c>
      <c r="E11" s="44">
        <v>100</v>
      </c>
    </row>
    <row r="12" spans="1:16" x14ac:dyDescent="0.25">
      <c r="A12" s="42">
        <v>2011</v>
      </c>
      <c r="B12" s="43">
        <v>9.2139517862473408</v>
      </c>
      <c r="C12" s="43">
        <v>15.5194416683652</v>
      </c>
      <c r="D12" s="43">
        <v>20.758244167499814</v>
      </c>
      <c r="E12" s="44">
        <v>100</v>
      </c>
    </row>
    <row r="13" spans="1:16" x14ac:dyDescent="0.25">
      <c r="A13" s="42">
        <v>2012</v>
      </c>
      <c r="B13" s="43">
        <v>11.42747986966665</v>
      </c>
      <c r="C13" s="43">
        <v>19.256276152431049</v>
      </c>
      <c r="D13" s="43">
        <v>25.480215068601137</v>
      </c>
      <c r="E13" s="44">
        <v>100</v>
      </c>
    </row>
    <row r="14" spans="1:16" x14ac:dyDescent="0.25">
      <c r="A14" s="42">
        <v>2013</v>
      </c>
      <c r="B14" s="43">
        <v>10.945963701857602</v>
      </c>
      <c r="C14" s="43">
        <v>19.657484242200134</v>
      </c>
      <c r="D14" s="43">
        <v>26.519137798425163</v>
      </c>
      <c r="E14" s="44">
        <v>100</v>
      </c>
    </row>
    <row r="15" spans="1:16" x14ac:dyDescent="0.25">
      <c r="A15" s="42">
        <v>2014</v>
      </c>
      <c r="B15" s="43">
        <v>15.078434650375137</v>
      </c>
      <c r="C15" s="43">
        <v>24.026746673277852</v>
      </c>
      <c r="D15" s="43">
        <v>31.218833604380986</v>
      </c>
      <c r="E15" s="44">
        <v>100</v>
      </c>
    </row>
    <row r="16" spans="1:16" x14ac:dyDescent="0.25">
      <c r="A16" s="42">
        <v>2015</v>
      </c>
      <c r="B16" s="43">
        <v>12.680489871473949</v>
      </c>
      <c r="C16" s="43">
        <v>20.279439765335905</v>
      </c>
      <c r="D16" s="43">
        <v>26.632321753936079</v>
      </c>
      <c r="E16" s="44">
        <v>100</v>
      </c>
    </row>
    <row r="17" spans="1:5" x14ac:dyDescent="0.25">
      <c r="A17" s="42">
        <v>2016</v>
      </c>
      <c r="B17" s="43">
        <v>14.078748406881173</v>
      </c>
      <c r="C17" s="43">
        <v>23.249806903241694</v>
      </c>
      <c r="D17" s="43">
        <v>30.584798458581226</v>
      </c>
      <c r="E17" s="44">
        <v>100</v>
      </c>
    </row>
    <row r="18" spans="1:5" x14ac:dyDescent="0.25">
      <c r="A18" s="42">
        <v>2017</v>
      </c>
      <c r="B18" s="43">
        <v>15.375811458634381</v>
      </c>
      <c r="C18" s="43">
        <v>23.905160340024015</v>
      </c>
      <c r="D18" s="43">
        <v>30.869572775667422</v>
      </c>
      <c r="E18" s="44">
        <v>100</v>
      </c>
    </row>
    <row r="19" spans="1:5" x14ac:dyDescent="0.25">
      <c r="A19" s="42">
        <v>2018</v>
      </c>
      <c r="B19" s="43">
        <v>8.2174949463119447</v>
      </c>
      <c r="C19" s="43">
        <v>14.009706495515667</v>
      </c>
      <c r="D19" s="43">
        <v>17.868964270682021</v>
      </c>
      <c r="E19" s="44">
        <v>100</v>
      </c>
    </row>
    <row r="20" spans="1:5" x14ac:dyDescent="0.25">
      <c r="A20" s="42">
        <v>2019</v>
      </c>
      <c r="B20" s="43">
        <v>9.2852972863865002</v>
      </c>
      <c r="C20" s="43">
        <v>14.581156490984323</v>
      </c>
      <c r="D20" s="43">
        <v>18.703977047954673</v>
      </c>
      <c r="E20" s="44">
        <v>100</v>
      </c>
    </row>
    <row r="21" spans="1:5" x14ac:dyDescent="0.25">
      <c r="A21" s="42">
        <v>2020</v>
      </c>
      <c r="B21" s="43">
        <v>7.9402769083223568</v>
      </c>
      <c r="C21" s="43">
        <v>12.469726162299445</v>
      </c>
      <c r="D21" s="43">
        <v>16.231219520431086</v>
      </c>
      <c r="E21" s="44">
        <v>100</v>
      </c>
    </row>
    <row r="22" spans="1:5" x14ac:dyDescent="0.25">
      <c r="A22" s="59">
        <v>2021</v>
      </c>
      <c r="B22" s="60">
        <v>11.308383287131937</v>
      </c>
      <c r="C22" s="60">
        <v>16.452685727385081</v>
      </c>
      <c r="D22" s="60">
        <v>19.975368294434666</v>
      </c>
      <c r="E22" s="61">
        <v>100</v>
      </c>
    </row>
    <row r="23" spans="1:5" x14ac:dyDescent="0.25">
      <c r="A23" s="42">
        <v>2022</v>
      </c>
      <c r="B23" s="43">
        <v>11.060547133721437</v>
      </c>
      <c r="C23" s="43">
        <v>17.722680977852757</v>
      </c>
      <c r="D23" s="43">
        <v>22.219166021596422</v>
      </c>
      <c r="E23" s="44">
        <v>100</v>
      </c>
    </row>
    <row r="24" spans="1:5" x14ac:dyDescent="0.25">
      <c r="A24" s="42">
        <v>2023</v>
      </c>
      <c r="B24" s="43">
        <v>9.8420712968820272</v>
      </c>
      <c r="C24" s="43">
        <v>15.256508822856512</v>
      </c>
      <c r="D24" s="43">
        <v>18.831470984865771</v>
      </c>
      <c r="E24" s="44">
        <v>100</v>
      </c>
    </row>
    <row r="26" spans="1:5" x14ac:dyDescent="0.25">
      <c r="A26" s="54" t="s">
        <v>48</v>
      </c>
    </row>
  </sheetData>
  <hyperlinks>
    <hyperlink ref="A2" location="Sommaire!A1" display="Retour au menu &quot;Distribution&quot;" xr:uid="{00000000-0004-0000-0800-000000000000}"/>
  </hyperlinks>
  <pageMargins left="0.59055118110236227" right="0.59055118110236227" top="0.59055118110236227" bottom="0.78740157480314965" header="0.51181102362204722" footer="0.51181102362204722"/>
  <pageSetup paperSize="9" orientation="landscape" r:id="rId1"/>
  <headerFooter alignWithMargins="0">
    <oddFooter>&amp;L&amp;"Arial,Gras italique"&amp;9&amp;G&amp;R&amp;"Arial,Gras italique"&amp;9Consommation dse ménages en vidéo à la demande</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9"/>
  <sheetViews>
    <sheetView workbookViewId="0"/>
  </sheetViews>
  <sheetFormatPr baseColWidth="10" defaultColWidth="11.453125" defaultRowHeight="11.5" x14ac:dyDescent="0.25"/>
  <cols>
    <col min="1" max="1" width="19.81640625" style="3" customWidth="1"/>
    <col min="2" max="4" width="6.453125" style="3" bestFit="1" customWidth="1"/>
    <col min="5" max="7" width="6.54296875" style="3" bestFit="1" customWidth="1"/>
    <col min="8" max="10" width="6.54296875" style="3" customWidth="1"/>
    <col min="11" max="11" width="7.453125" style="3" customWidth="1"/>
    <col min="12" max="12" width="7.81640625" style="3" customWidth="1"/>
    <col min="13" max="13" width="9.453125" style="3" customWidth="1"/>
    <col min="14" max="14" width="9.54296875" style="3" customWidth="1"/>
    <col min="15" max="16384" width="11.453125" style="3"/>
  </cols>
  <sheetData>
    <row r="1" spans="1:14" s="11" customFormat="1" ht="12.5" x14ac:dyDescent="0.25">
      <c r="B1" s="18"/>
      <c r="C1" s="18"/>
      <c r="D1" s="18"/>
      <c r="E1" s="18"/>
      <c r="F1" s="18"/>
      <c r="G1" s="18"/>
      <c r="H1" s="18"/>
      <c r="I1" s="18"/>
      <c r="J1" s="18"/>
      <c r="K1" s="18"/>
      <c r="L1" s="18"/>
    </row>
    <row r="2" spans="1:14" s="21" customFormat="1" ht="12.5" x14ac:dyDescent="0.25">
      <c r="A2" s="19" t="s">
        <v>28</v>
      </c>
      <c r="B2" s="20"/>
      <c r="C2" s="20"/>
      <c r="D2" s="20"/>
      <c r="E2" s="20"/>
      <c r="F2" s="20"/>
      <c r="G2" s="20"/>
      <c r="H2" s="20"/>
      <c r="I2" s="20"/>
      <c r="J2" s="20"/>
      <c r="K2" s="20"/>
      <c r="L2" s="20"/>
    </row>
    <row r="3" spans="1:14" s="11" customFormat="1" ht="12.5" x14ac:dyDescent="0.25">
      <c r="B3" s="18"/>
      <c r="C3" s="18"/>
      <c r="D3" s="18"/>
      <c r="E3" s="18"/>
      <c r="F3" s="18"/>
      <c r="G3" s="18"/>
      <c r="H3" s="18"/>
      <c r="I3" s="18"/>
      <c r="J3" s="18"/>
      <c r="K3" s="18"/>
      <c r="L3" s="18"/>
    </row>
    <row r="4" spans="1:14" s="11" customFormat="1" ht="12.5" x14ac:dyDescent="0.25">
      <c r="A4" s="57" t="s">
        <v>51</v>
      </c>
      <c r="B4" s="18"/>
      <c r="C4" s="18"/>
      <c r="D4" s="18"/>
      <c r="E4" s="18"/>
      <c r="F4" s="18"/>
      <c r="G4" s="18"/>
      <c r="H4" s="18"/>
      <c r="I4" s="18"/>
      <c r="J4" s="18"/>
      <c r="K4" s="18"/>
      <c r="L4" s="18"/>
    </row>
    <row r="5" spans="1:14" s="11" customFormat="1" ht="12.5" x14ac:dyDescent="0.25">
      <c r="A5" s="57"/>
      <c r="B5" s="18"/>
      <c r="C5" s="18"/>
      <c r="D5" s="18"/>
      <c r="E5" s="18"/>
      <c r="F5" s="18"/>
      <c r="G5" s="18"/>
      <c r="H5" s="18"/>
      <c r="I5" s="18"/>
      <c r="J5" s="18"/>
      <c r="K5" s="18"/>
      <c r="L5" s="18"/>
    </row>
    <row r="6" spans="1:14" s="2" customFormat="1" x14ac:dyDescent="0.25">
      <c r="A6" s="2" t="s">
        <v>39</v>
      </c>
    </row>
    <row r="7" spans="1:14" ht="3" customHeight="1" x14ac:dyDescent="0.25"/>
    <row r="8" spans="1:14" s="2" customFormat="1" ht="12" customHeight="1" x14ac:dyDescent="0.25">
      <c r="A8" s="24"/>
      <c r="B8" s="35">
        <v>2007</v>
      </c>
      <c r="C8" s="35">
        <v>2008</v>
      </c>
      <c r="D8" s="35">
        <v>2009</v>
      </c>
      <c r="E8" s="35">
        <v>2010</v>
      </c>
      <c r="F8" s="35">
        <v>2011</v>
      </c>
      <c r="G8" s="35">
        <v>2012</v>
      </c>
      <c r="H8" s="35">
        <v>2013</v>
      </c>
      <c r="I8" s="35">
        <v>2014</v>
      </c>
      <c r="J8" s="35">
        <v>2015</v>
      </c>
      <c r="K8" s="35">
        <v>2016</v>
      </c>
      <c r="L8" s="35">
        <v>2017</v>
      </c>
      <c r="M8" s="35">
        <v>2018</v>
      </c>
      <c r="N8" s="35">
        <v>2019</v>
      </c>
    </row>
    <row r="9" spans="1:14" s="2" customFormat="1" ht="12" customHeight="1" x14ac:dyDescent="0.25">
      <c r="A9" s="24" t="s">
        <v>37</v>
      </c>
      <c r="B9" s="35"/>
      <c r="C9" s="35"/>
      <c r="D9" s="35"/>
      <c r="E9" s="35"/>
      <c r="F9" s="35"/>
      <c r="G9" s="35"/>
      <c r="H9" s="35"/>
      <c r="I9" s="35"/>
      <c r="J9" s="35"/>
      <c r="L9" s="35"/>
    </row>
    <row r="10" spans="1:14" x14ac:dyDescent="0.25">
      <c r="A10" s="36" t="s">
        <v>3</v>
      </c>
      <c r="B10" s="37">
        <v>10.099946617878942</v>
      </c>
      <c r="C10" s="37">
        <v>14.276880938722543</v>
      </c>
      <c r="D10" s="37">
        <v>12.311661024640291</v>
      </c>
      <c r="E10" s="37">
        <v>8.0877620674584847</v>
      </c>
      <c r="F10" s="37">
        <f>0.09038631833766*100</f>
        <v>9.0386318337660008</v>
      </c>
      <c r="G10" s="37">
        <f>0.0760936173971529*100</f>
        <v>7.6093617397152897</v>
      </c>
      <c r="H10" s="37">
        <f>0.0753495121068101*100</f>
        <v>7.5349512106810099</v>
      </c>
      <c r="I10" s="37">
        <f>0.0665927144090532*100</f>
        <v>6.6592714409053206</v>
      </c>
      <c r="J10" s="37">
        <f>0.053134590748893*100</f>
        <v>5.3134590748893</v>
      </c>
      <c r="K10" s="37">
        <f>0.0529399152399944*100</f>
        <v>5.2939915239994404</v>
      </c>
      <c r="L10" s="37">
        <f>0.0622072080345241*100</f>
        <v>6.2207208034524095</v>
      </c>
      <c r="M10" s="37">
        <v>7.5</v>
      </c>
      <c r="N10" s="37">
        <v>6.5</v>
      </c>
    </row>
    <row r="11" spans="1:14" x14ac:dyDescent="0.25">
      <c r="A11" s="36" t="s">
        <v>8</v>
      </c>
      <c r="B11" s="37">
        <v>40.757557638513042</v>
      </c>
      <c r="C11" s="37">
        <v>31.055217526966988</v>
      </c>
      <c r="D11" s="37">
        <v>36.255413628377468</v>
      </c>
      <c r="E11" s="37">
        <v>53.350768464389844</v>
      </c>
      <c r="F11" s="37">
        <f>0.532846032751837*100</f>
        <v>53.284603275183699</v>
      </c>
      <c r="G11" s="37">
        <f>0.60278471355759*100</f>
        <v>60.278471355759002</v>
      </c>
      <c r="H11" s="37">
        <f>0.614954155716851*100</f>
        <v>61.495415571685101</v>
      </c>
      <c r="I11" s="37">
        <f>0.595371424119375*100</f>
        <v>59.537142411937502</v>
      </c>
      <c r="J11" s="37">
        <f>0.589449724172714*100</f>
        <v>58.944972417271401</v>
      </c>
      <c r="K11" s="37">
        <f>0.688947525124983*100</f>
        <v>68.8947525124983</v>
      </c>
      <c r="L11" s="37">
        <f>0.728952700154078*100</f>
        <v>72.895270015407803</v>
      </c>
      <c r="M11" s="37">
        <v>73.7</v>
      </c>
      <c r="N11" s="37">
        <v>79.8</v>
      </c>
    </row>
    <row r="12" spans="1:14" x14ac:dyDescent="0.25">
      <c r="A12" s="36" t="s">
        <v>4</v>
      </c>
      <c r="B12" s="37">
        <v>10.298619338628807</v>
      </c>
      <c r="C12" s="37">
        <v>11.557997772131873</v>
      </c>
      <c r="D12" s="37">
        <v>8.158336773205793</v>
      </c>
      <c r="E12" s="37">
        <v>5.4846155248067356</v>
      </c>
      <c r="F12" s="37">
        <f>0.0623803708403199*100</f>
        <v>6.2380370840319905</v>
      </c>
      <c r="G12" s="37">
        <f>0.0499441180134376*100</f>
        <v>4.9944118013437597</v>
      </c>
      <c r="H12" s="37">
        <f>0.0410267664640301*100</f>
        <v>4.10267664640301</v>
      </c>
      <c r="I12" s="37">
        <f>0.0313195172850467*100</f>
        <v>3.1319517285046699</v>
      </c>
      <c r="J12" s="37">
        <f>0.0283103766556108*100</f>
        <v>2.8310376655610798</v>
      </c>
      <c r="K12" s="37">
        <f>0.0127025985561679*100</f>
        <v>1.2702598556167901</v>
      </c>
      <c r="L12" s="37">
        <f>0.0107111877294036*100</f>
        <v>1.07111877294036</v>
      </c>
      <c r="M12" s="37">
        <v>2.2000000000000002</v>
      </c>
      <c r="N12" s="37">
        <v>0.8</v>
      </c>
    </row>
    <row r="13" spans="1:14" x14ac:dyDescent="0.25">
      <c r="A13" s="36" t="s">
        <v>5</v>
      </c>
      <c r="B13" s="37">
        <v>10.260524476257284</v>
      </c>
      <c r="C13" s="37">
        <v>15.287534409412713</v>
      </c>
      <c r="D13" s="37">
        <v>16.282664091449448</v>
      </c>
      <c r="E13" s="37">
        <v>11.131816594857083</v>
      </c>
      <c r="F13" s="37">
        <f>0.168309329103055*100</f>
        <v>16.830932910305499</v>
      </c>
      <c r="G13" s="37">
        <f>0.158959366357595*100</f>
        <v>15.895936635759501</v>
      </c>
      <c r="H13" s="37">
        <f>0.146198850815082*100</f>
        <v>14.619885081508199</v>
      </c>
      <c r="I13" s="37">
        <f>0.20749355996618*100</f>
        <v>20.749355996618</v>
      </c>
      <c r="J13" s="37">
        <f>0.240269000898474*100</f>
        <v>24.026900089847398</v>
      </c>
      <c r="K13" s="37">
        <f>0.157730821403745*100</f>
        <v>15.7730821403745</v>
      </c>
      <c r="L13" s="37">
        <f>0.110569149659053*100</f>
        <v>11.0569149659053</v>
      </c>
      <c r="M13" s="37">
        <v>8.1</v>
      </c>
      <c r="N13" s="37">
        <v>8</v>
      </c>
    </row>
    <row r="14" spans="1:14" x14ac:dyDescent="0.25">
      <c r="A14" s="36" t="s">
        <v>10</v>
      </c>
      <c r="B14" s="37">
        <v>24.654033308964127</v>
      </c>
      <c r="C14" s="37">
        <v>19.661063878270983</v>
      </c>
      <c r="D14" s="37">
        <v>18.675337687433327</v>
      </c>
      <c r="E14" s="37">
        <v>12.90089812901997</v>
      </c>
      <c r="F14" s="37">
        <f>0.100617908108414*100</f>
        <v>10.061790810841401</v>
      </c>
      <c r="G14" s="37">
        <f>0.0858581929138635*100</f>
        <v>8.5858192913863505</v>
      </c>
      <c r="H14" s="37">
        <f>0.0901044111280225*100</f>
        <v>9.0104411128022512</v>
      </c>
      <c r="I14" s="37">
        <f>0.0789831276505465*100</f>
        <v>7.8983127650546505</v>
      </c>
      <c r="J14" s="37">
        <f>0.0711974993157595*100</f>
        <v>7.1197499315759503</v>
      </c>
      <c r="K14" s="37">
        <f>0.0797577072421353*100</f>
        <v>7.9757707242135298</v>
      </c>
      <c r="L14" s="37">
        <f>0.0790942885472836*100</f>
        <v>7.9094288547283602</v>
      </c>
      <c r="M14" s="37">
        <v>7.9</v>
      </c>
      <c r="N14" s="37">
        <v>3.9</v>
      </c>
    </row>
    <row r="15" spans="1:14" x14ac:dyDescent="0.25">
      <c r="A15" s="36" t="s">
        <v>0</v>
      </c>
      <c r="B15" s="37">
        <v>3.9293186197577956</v>
      </c>
      <c r="C15" s="37">
        <v>8.1613054744948936</v>
      </c>
      <c r="D15" s="37">
        <v>8.3165867948936718</v>
      </c>
      <c r="E15" s="37">
        <v>9.0441392194678834</v>
      </c>
      <c r="F15" s="37">
        <f>0.0454600408587138*100</f>
        <v>4.5460040858713802</v>
      </c>
      <c r="G15" s="37">
        <f>0.0263599917603616*100</f>
        <v>2.6359991760361599</v>
      </c>
      <c r="H15" s="37">
        <f>0.0323663037692044*100</f>
        <v>3.2366303769204401</v>
      </c>
      <c r="I15" s="37">
        <f>0.0202396565697986*100</f>
        <v>2.0239656569798599</v>
      </c>
      <c r="J15" s="37">
        <f>0.0176388082085495*100</f>
        <v>1.7638808208549499</v>
      </c>
      <c r="K15" s="37">
        <f>0.0079214324329744*100</f>
        <v>0.79214324329744001</v>
      </c>
      <c r="L15" s="37">
        <f>0.00846546587565773*100</f>
        <v>0.84654658756577306</v>
      </c>
      <c r="M15" s="37">
        <v>0.7</v>
      </c>
      <c r="N15" s="37">
        <v>0.9</v>
      </c>
    </row>
    <row r="16" spans="1:14" s="2" customFormat="1" x14ac:dyDescent="0.25">
      <c r="A16" s="24" t="s">
        <v>6</v>
      </c>
      <c r="B16" s="38">
        <f t="shared" ref="B16:F16" si="0">SUM(B10:B15)</f>
        <v>100</v>
      </c>
      <c r="C16" s="38">
        <f t="shared" si="0"/>
        <v>100</v>
      </c>
      <c r="D16" s="38">
        <f t="shared" si="0"/>
        <v>99.999999999999986</v>
      </c>
      <c r="E16" s="38">
        <f t="shared" si="0"/>
        <v>100</v>
      </c>
      <c r="F16" s="38">
        <f t="shared" si="0"/>
        <v>99.999999999999957</v>
      </c>
      <c r="G16" s="38">
        <f>SUM(G10:G15)</f>
        <v>100.00000000000006</v>
      </c>
      <c r="H16" s="38">
        <f t="shared" ref="H16:I16" si="1">SUM(H10:H15)</f>
        <v>100.00000000000003</v>
      </c>
      <c r="I16" s="38">
        <f t="shared" si="1"/>
        <v>100</v>
      </c>
      <c r="J16" s="38">
        <f t="shared" ref="J16:L16" si="2">SUM(J10:J15)</f>
        <v>100.00000000000009</v>
      </c>
      <c r="K16" s="38">
        <f t="shared" si="2"/>
        <v>100</v>
      </c>
      <c r="L16" s="38">
        <f t="shared" si="2"/>
        <v>100</v>
      </c>
      <c r="M16" s="38">
        <v>100</v>
      </c>
      <c r="N16" s="38">
        <v>100</v>
      </c>
    </row>
    <row r="17" spans="1:14" s="2" customFormat="1" x14ac:dyDescent="0.25">
      <c r="A17" s="24" t="s">
        <v>21</v>
      </c>
      <c r="B17" s="38"/>
      <c r="C17" s="38"/>
      <c r="D17" s="38"/>
      <c r="E17" s="38"/>
      <c r="F17" s="38"/>
      <c r="G17" s="38"/>
      <c r="H17" s="38"/>
      <c r="I17" s="38"/>
      <c r="J17" s="38"/>
    </row>
    <row r="18" spans="1:14" x14ac:dyDescent="0.25">
      <c r="A18" s="36" t="s">
        <v>3</v>
      </c>
      <c r="B18" s="37">
        <v>7.1327292662978454</v>
      </c>
      <c r="C18" s="37">
        <v>9.9075820340801624</v>
      </c>
      <c r="D18" s="37">
        <v>10.474813871585734</v>
      </c>
      <c r="E18" s="37">
        <v>6.4431698683260139</v>
      </c>
      <c r="F18" s="37">
        <v>7.1196232501319274</v>
      </c>
      <c r="G18" s="37">
        <v>6.1630320031523471</v>
      </c>
      <c r="H18" s="37">
        <v>5.218121289095377</v>
      </c>
      <c r="I18" s="37">
        <v>4.739277004266933</v>
      </c>
      <c r="J18" s="37">
        <v>3.9048092354540644</v>
      </c>
      <c r="K18" s="37">
        <v>3.8190350940574596</v>
      </c>
      <c r="L18" s="37">
        <v>4.5663887244359564</v>
      </c>
      <c r="M18" s="37">
        <v>5.3</v>
      </c>
      <c r="N18" s="37">
        <v>4.5</v>
      </c>
    </row>
    <row r="19" spans="1:14" x14ac:dyDescent="0.25">
      <c r="A19" s="36" t="s">
        <v>8</v>
      </c>
      <c r="B19" s="37">
        <v>33.176423527899111</v>
      </c>
      <c r="C19" s="37">
        <v>27.914097196489113</v>
      </c>
      <c r="D19" s="37">
        <v>35.8242027617828</v>
      </c>
      <c r="E19" s="37">
        <v>61.210195141303849</v>
      </c>
      <c r="F19" s="37">
        <v>60.131950940099344</v>
      </c>
      <c r="G19" s="37">
        <v>65.412014907379429</v>
      </c>
      <c r="H19" s="37">
        <v>68.395004397362882</v>
      </c>
      <c r="I19" s="37">
        <v>69.083813911216026</v>
      </c>
      <c r="J19" s="37">
        <v>70.605219369467747</v>
      </c>
      <c r="K19" s="37">
        <v>77.582064075330521</v>
      </c>
      <c r="L19" s="37">
        <v>79.687973326163402</v>
      </c>
      <c r="M19" s="37">
        <v>80.7</v>
      </c>
      <c r="N19" s="37">
        <v>86.3</v>
      </c>
    </row>
    <row r="20" spans="1:14" x14ac:dyDescent="0.25">
      <c r="A20" s="36" t="s">
        <v>4</v>
      </c>
      <c r="B20" s="37">
        <v>7.8475141462880353</v>
      </c>
      <c r="C20" s="37">
        <v>9.608813720555947</v>
      </c>
      <c r="D20" s="37">
        <v>6.0751734793500249</v>
      </c>
      <c r="E20" s="37">
        <v>3.66374228343743</v>
      </c>
      <c r="F20" s="37">
        <v>3.6035309905810387</v>
      </c>
      <c r="G20" s="37">
        <v>2.9152837341649875</v>
      </c>
      <c r="H20" s="37">
        <v>2.1633103384992918</v>
      </c>
      <c r="I20" s="37">
        <v>1.959143175967677</v>
      </c>
      <c r="J20" s="37">
        <v>1.8097387571894794</v>
      </c>
      <c r="K20" s="37">
        <v>0.83375326544108053</v>
      </c>
      <c r="L20" s="37">
        <v>0.69808080407944273</v>
      </c>
      <c r="M20" s="37">
        <v>1.2</v>
      </c>
      <c r="N20" s="37">
        <v>0.7</v>
      </c>
    </row>
    <row r="21" spans="1:14" x14ac:dyDescent="0.25">
      <c r="A21" s="36" t="s">
        <v>5</v>
      </c>
      <c r="B21" s="37">
        <v>5.3182661823653854</v>
      </c>
      <c r="C21" s="37">
        <v>10.348931745654253</v>
      </c>
      <c r="D21" s="37">
        <v>11.696791967874395</v>
      </c>
      <c r="E21" s="37">
        <v>7.3142990293863077</v>
      </c>
      <c r="F21" s="37">
        <v>10.146480209476811</v>
      </c>
      <c r="G21" s="37">
        <v>8.7283919717104386</v>
      </c>
      <c r="H21" s="37">
        <v>7.652930423086139</v>
      </c>
      <c r="I21" s="37">
        <v>10.675664942272061</v>
      </c>
      <c r="J21" s="37">
        <v>12.622124867711468</v>
      </c>
      <c r="K21" s="37">
        <v>8.348763234740229</v>
      </c>
      <c r="L21" s="37">
        <v>6.1275785386938795</v>
      </c>
      <c r="M21" s="37">
        <v>4.8</v>
      </c>
      <c r="N21" s="37">
        <v>4.5</v>
      </c>
    </row>
    <row r="22" spans="1:14" x14ac:dyDescent="0.25">
      <c r="A22" s="36" t="s">
        <v>10</v>
      </c>
      <c r="B22" s="37">
        <v>42.276358882964097</v>
      </c>
      <c r="C22" s="37">
        <v>32.448384759608203</v>
      </c>
      <c r="D22" s="37">
        <v>29.566689549699348</v>
      </c>
      <c r="E22" s="37">
        <v>15.400428727635166</v>
      </c>
      <c r="F22" s="37">
        <v>16.098947445530648</v>
      </c>
      <c r="G22" s="37">
        <v>14.771630712545617</v>
      </c>
      <c r="H22" s="37">
        <v>14.593788759801066</v>
      </c>
      <c r="I22" s="37">
        <v>12.011942723883754</v>
      </c>
      <c r="J22" s="37">
        <v>9.7673515598703862</v>
      </c>
      <c r="K22" s="37">
        <v>8.7916728702436036</v>
      </c>
      <c r="L22" s="37">
        <v>8.3111829457770909</v>
      </c>
      <c r="M22" s="37">
        <v>7.5</v>
      </c>
      <c r="N22" s="37">
        <v>3.3</v>
      </c>
    </row>
    <row r="23" spans="1:14" x14ac:dyDescent="0.25">
      <c r="A23" s="36" t="s">
        <v>0</v>
      </c>
      <c r="B23" s="37">
        <v>4.2487079941855272</v>
      </c>
      <c r="C23" s="37">
        <v>9.7721905436123198</v>
      </c>
      <c r="D23" s="37">
        <v>6.3623283697076953</v>
      </c>
      <c r="E23" s="37">
        <v>5.9681649499112357</v>
      </c>
      <c r="F23" s="37">
        <v>2.8994671641802321</v>
      </c>
      <c r="G23" s="37">
        <v>2.0096466710471916</v>
      </c>
      <c r="H23" s="37">
        <v>1.9768447921552408</v>
      </c>
      <c r="I23" s="37">
        <v>1.5301582423935449</v>
      </c>
      <c r="J23" s="37">
        <v>1.2907562103068462</v>
      </c>
      <c r="K23" s="37">
        <v>0.6247114601871212</v>
      </c>
      <c r="L23" s="37">
        <v>0.60879566085022929</v>
      </c>
      <c r="M23" s="37">
        <v>0.6</v>
      </c>
      <c r="N23" s="37">
        <v>0.7</v>
      </c>
    </row>
    <row r="24" spans="1:14" s="2" customFormat="1" x14ac:dyDescent="0.25">
      <c r="A24" s="24" t="s">
        <v>6</v>
      </c>
      <c r="B24" s="38">
        <f t="shared" ref="B24:G24" si="3">SUM(B18:B23)</f>
        <v>99.999999999999986</v>
      </c>
      <c r="C24" s="38">
        <f t="shared" si="3"/>
        <v>100</v>
      </c>
      <c r="D24" s="38">
        <f t="shared" si="3"/>
        <v>100</v>
      </c>
      <c r="E24" s="38">
        <f t="shared" si="3"/>
        <v>100.00000000000001</v>
      </c>
      <c r="F24" s="38">
        <f t="shared" si="3"/>
        <v>100</v>
      </c>
      <c r="G24" s="38">
        <f t="shared" si="3"/>
        <v>100.00000000000001</v>
      </c>
      <c r="H24" s="38">
        <f t="shared" ref="H24:N24" si="4">SUM(H18:H23)</f>
        <v>100</v>
      </c>
      <c r="I24" s="38">
        <f t="shared" si="4"/>
        <v>100</v>
      </c>
      <c r="J24" s="38">
        <f t="shared" si="4"/>
        <v>100</v>
      </c>
      <c r="K24" s="38">
        <f t="shared" si="4"/>
        <v>100</v>
      </c>
      <c r="L24" s="38">
        <f t="shared" si="4"/>
        <v>100</v>
      </c>
      <c r="M24" s="38">
        <v>100</v>
      </c>
      <c r="N24" s="38">
        <f t="shared" si="4"/>
        <v>100</v>
      </c>
    </row>
    <row r="25" spans="1:14" x14ac:dyDescent="0.25">
      <c r="A25" s="40"/>
    </row>
    <row r="26" spans="1:14" x14ac:dyDescent="0.25">
      <c r="A26" s="1"/>
    </row>
    <row r="27" spans="1:14" x14ac:dyDescent="0.25">
      <c r="C27" s="1"/>
    </row>
    <row r="34" spans="6:12" x14ac:dyDescent="0.25">
      <c r="F34" s="52"/>
      <c r="G34" s="52"/>
      <c r="H34" s="52"/>
      <c r="I34" s="52"/>
      <c r="J34" s="52"/>
      <c r="K34" s="52"/>
      <c r="L34" s="52"/>
    </row>
    <row r="35" spans="6:12" x14ac:dyDescent="0.25">
      <c r="F35" s="52"/>
      <c r="G35" s="52"/>
      <c r="H35" s="52"/>
      <c r="I35" s="52"/>
      <c r="J35" s="52"/>
      <c r="K35" s="52"/>
      <c r="L35" s="52"/>
    </row>
    <row r="36" spans="6:12" x14ac:dyDescent="0.25">
      <c r="F36" s="52"/>
      <c r="G36" s="52"/>
      <c r="H36" s="52"/>
      <c r="I36" s="52"/>
      <c r="J36" s="52"/>
      <c r="K36" s="52"/>
      <c r="L36" s="52"/>
    </row>
    <row r="37" spans="6:12" x14ac:dyDescent="0.25">
      <c r="F37" s="52"/>
      <c r="G37" s="52"/>
      <c r="H37" s="52"/>
      <c r="I37" s="52"/>
      <c r="J37" s="52"/>
      <c r="K37" s="52"/>
      <c r="L37" s="52"/>
    </row>
    <row r="38" spans="6:12" x14ac:dyDescent="0.25">
      <c r="F38" s="52"/>
      <c r="G38" s="52"/>
      <c r="H38" s="52"/>
      <c r="I38" s="52"/>
      <c r="J38" s="52"/>
      <c r="K38" s="52"/>
      <c r="L38" s="52"/>
    </row>
    <row r="39" spans="6:12" x14ac:dyDescent="0.25">
      <c r="F39" s="52"/>
      <c r="G39" s="52"/>
      <c r="H39" s="52"/>
      <c r="I39" s="52"/>
      <c r="J39" s="52"/>
      <c r="K39" s="52"/>
      <c r="L39" s="52"/>
    </row>
  </sheetData>
  <hyperlinks>
    <hyperlink ref="A2" location="Sommaire!A1" display="Retour au menu &quot;Distribution&quot;" xr:uid="{00000000-0004-0000-0600-000000000000}"/>
  </hyperlinks>
  <pageMargins left="0.59055118110236227" right="0.59055118110236227" top="0.59055118110236227" bottom="0.78740157480314965" header="0.51181102362204722" footer="0.51181102362204722"/>
  <pageSetup paperSize="9" orientation="landscape" r:id="rId1"/>
  <headerFooter alignWithMargins="0">
    <oddFooter>&amp;L&amp;"Arial,Gras italique"&amp;9&amp;G&amp;R&amp;"Arial,Gras italique"&amp;9Consommation dse ménages en vidéo à la demande</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3"/>
  <sheetViews>
    <sheetView workbookViewId="0"/>
  </sheetViews>
  <sheetFormatPr baseColWidth="10" defaultColWidth="11.453125" defaultRowHeight="11.5" x14ac:dyDescent="0.25"/>
  <cols>
    <col min="1" max="1" width="14.7265625" style="1" customWidth="1"/>
    <col min="2" max="10" width="7.1796875" style="1" customWidth="1"/>
    <col min="11" max="13" width="5.81640625" style="5" bestFit="1" customWidth="1"/>
    <col min="14" max="16384" width="11.453125" style="1"/>
  </cols>
  <sheetData>
    <row r="1" spans="1:19" s="11" customFormat="1" ht="12.5" x14ac:dyDescent="0.25">
      <c r="B1" s="18"/>
      <c r="C1" s="18"/>
      <c r="D1" s="18"/>
      <c r="E1" s="18"/>
      <c r="F1" s="18"/>
      <c r="G1" s="18"/>
      <c r="H1" s="18"/>
      <c r="I1" s="18"/>
      <c r="J1" s="18"/>
      <c r="K1" s="69"/>
      <c r="L1" s="69"/>
      <c r="M1" s="69"/>
      <c r="N1" s="18"/>
      <c r="O1" s="18"/>
      <c r="P1" s="18"/>
      <c r="Q1" s="18"/>
      <c r="R1" s="18"/>
      <c r="S1" s="18"/>
    </row>
    <row r="2" spans="1:19" s="21" customFormat="1" ht="12.5" x14ac:dyDescent="0.25">
      <c r="A2" s="19" t="s">
        <v>28</v>
      </c>
      <c r="B2" s="20"/>
      <c r="C2" s="20"/>
      <c r="D2" s="20"/>
      <c r="E2" s="20"/>
      <c r="F2" s="20"/>
      <c r="G2" s="20"/>
      <c r="H2" s="20"/>
      <c r="I2" s="20"/>
      <c r="J2" s="20"/>
      <c r="K2" s="70"/>
      <c r="L2" s="70"/>
      <c r="M2" s="70"/>
      <c r="N2" s="20"/>
      <c r="O2" s="20"/>
      <c r="P2" s="20"/>
      <c r="Q2" s="20"/>
      <c r="R2" s="20"/>
      <c r="S2" s="20"/>
    </row>
    <row r="3" spans="1:19" s="11" customFormat="1" ht="12.5" x14ac:dyDescent="0.25">
      <c r="B3" s="18"/>
      <c r="C3" s="18"/>
      <c r="D3" s="18"/>
      <c r="E3" s="18"/>
      <c r="F3" s="18"/>
      <c r="G3" s="18"/>
      <c r="H3" s="18"/>
      <c r="I3" s="18"/>
      <c r="J3" s="18"/>
      <c r="K3" s="69"/>
      <c r="L3" s="69"/>
      <c r="M3" s="69"/>
      <c r="N3" s="18"/>
      <c r="O3" s="18"/>
      <c r="P3" s="18"/>
      <c r="Q3" s="18"/>
      <c r="R3" s="18"/>
      <c r="S3" s="18"/>
    </row>
    <row r="4" spans="1:19" s="11" customFormat="1" ht="12.5" x14ac:dyDescent="0.25">
      <c r="A4" s="53" t="s">
        <v>46</v>
      </c>
      <c r="B4" s="18"/>
      <c r="C4" s="18"/>
      <c r="D4" s="18"/>
      <c r="E4" s="18"/>
      <c r="F4" s="18"/>
      <c r="G4" s="18"/>
      <c r="H4" s="18"/>
      <c r="I4" s="18"/>
      <c r="J4" s="18"/>
      <c r="K4" s="69"/>
      <c r="L4" s="69"/>
      <c r="M4" s="69"/>
      <c r="N4" s="18"/>
      <c r="O4" s="18"/>
      <c r="P4" s="18"/>
      <c r="Q4" s="18"/>
      <c r="R4" s="18"/>
      <c r="S4" s="18"/>
    </row>
    <row r="5" spans="1:19" s="11" customFormat="1" ht="12.5" x14ac:dyDescent="0.25">
      <c r="A5" s="53"/>
      <c r="B5" s="18"/>
      <c r="C5" s="18"/>
      <c r="D5" s="18"/>
      <c r="E5" s="18"/>
      <c r="F5" s="18"/>
      <c r="G5" s="18"/>
      <c r="H5" s="18"/>
      <c r="I5" s="18"/>
      <c r="J5" s="18"/>
      <c r="K5" s="69"/>
      <c r="L5" s="69"/>
      <c r="M5" s="69"/>
      <c r="N5" s="18"/>
      <c r="O5" s="18"/>
      <c r="P5" s="18"/>
      <c r="Q5" s="18"/>
      <c r="R5" s="18"/>
      <c r="S5" s="18"/>
    </row>
    <row r="6" spans="1:19" x14ac:dyDescent="0.25">
      <c r="A6" s="2" t="s">
        <v>29</v>
      </c>
    </row>
    <row r="7" spans="1:19" ht="3" customHeight="1" x14ac:dyDescent="0.25"/>
    <row r="8" spans="1:19" s="2" customFormat="1" ht="12" customHeight="1" x14ac:dyDescent="0.25">
      <c r="A8" s="24"/>
      <c r="B8" s="24">
        <v>2007</v>
      </c>
      <c r="C8" s="24">
        <v>2008</v>
      </c>
      <c r="D8" s="24">
        <v>2009</v>
      </c>
      <c r="E8" s="24">
        <v>2010</v>
      </c>
      <c r="F8" s="24">
        <v>2011</v>
      </c>
      <c r="G8" s="24">
        <v>2012</v>
      </c>
      <c r="H8" s="24">
        <v>2013</v>
      </c>
      <c r="I8" s="24">
        <v>2014</v>
      </c>
      <c r="J8" s="24">
        <v>2015</v>
      </c>
      <c r="K8" s="41">
        <v>2016</v>
      </c>
      <c r="L8" s="41">
        <v>2017</v>
      </c>
      <c r="M8" s="71">
        <v>2018</v>
      </c>
    </row>
    <row r="9" spans="1:19" x14ac:dyDescent="0.25">
      <c r="A9" s="25" t="s">
        <v>7</v>
      </c>
      <c r="B9" s="26">
        <v>23500407</v>
      </c>
      <c r="C9" s="26">
        <v>46814980</v>
      </c>
      <c r="D9" s="26">
        <v>87623857</v>
      </c>
      <c r="E9" s="26">
        <v>130211086</v>
      </c>
      <c r="F9" s="26">
        <v>155796395.97978058</v>
      </c>
      <c r="G9" s="26">
        <v>180436760.02617446</v>
      </c>
      <c r="H9" s="26">
        <v>176508246.78564519</v>
      </c>
      <c r="I9" s="26">
        <v>201181102.02541959</v>
      </c>
      <c r="J9" s="26">
        <v>255045910.8142823</v>
      </c>
      <c r="K9" s="72" t="s">
        <v>47</v>
      </c>
      <c r="L9" s="72" t="s">
        <v>47</v>
      </c>
      <c r="M9" s="72" t="s">
        <v>47</v>
      </c>
    </row>
    <row r="10" spans="1:19" x14ac:dyDescent="0.25">
      <c r="A10" s="25" t="s">
        <v>9</v>
      </c>
      <c r="B10" s="26">
        <v>5378102</v>
      </c>
      <c r="C10" s="26">
        <v>6382723</v>
      </c>
      <c r="D10" s="26">
        <v>9445849</v>
      </c>
      <c r="E10" s="26">
        <v>21801127</v>
      </c>
      <c r="F10" s="26">
        <v>63669687.333583973</v>
      </c>
      <c r="G10" s="26">
        <v>71240228.689439431</v>
      </c>
      <c r="H10" s="26">
        <v>63332006.063333295</v>
      </c>
      <c r="I10" s="26">
        <v>63826381.66354166</v>
      </c>
      <c r="J10" s="26">
        <v>62551070.851262018</v>
      </c>
      <c r="K10" s="72" t="s">
        <v>47</v>
      </c>
      <c r="L10" s="72" t="s">
        <v>47</v>
      </c>
      <c r="M10" s="72" t="s">
        <v>47</v>
      </c>
    </row>
    <row r="11" spans="1:19" s="2" customFormat="1" x14ac:dyDescent="0.25">
      <c r="A11" s="24" t="s">
        <v>6</v>
      </c>
      <c r="B11" s="27">
        <f t="shared" ref="B11:E11" si="0">SUM(B9:B10)</f>
        <v>28878509</v>
      </c>
      <c r="C11" s="27">
        <f t="shared" si="0"/>
        <v>53197703</v>
      </c>
      <c r="D11" s="27">
        <f t="shared" si="0"/>
        <v>97069706</v>
      </c>
      <c r="E11" s="27">
        <f t="shared" si="0"/>
        <v>152012213</v>
      </c>
      <c r="F11" s="27">
        <v>219466083.31336457</v>
      </c>
      <c r="G11" s="27">
        <v>251676988.71561387</v>
      </c>
      <c r="H11" s="27">
        <v>239603995.92700285</v>
      </c>
      <c r="I11" s="27">
        <v>265007483.68896151</v>
      </c>
      <c r="J11" s="27">
        <v>317621467.09518027</v>
      </c>
      <c r="K11" s="73">
        <v>366591608.90979576</v>
      </c>
      <c r="L11" s="73">
        <v>485125095.99084389</v>
      </c>
      <c r="M11" s="73">
        <v>671892357.11927676</v>
      </c>
    </row>
    <row r="12" spans="1:19" s="49" customFormat="1" x14ac:dyDescent="0.25">
      <c r="A12" s="46" t="s">
        <v>44</v>
      </c>
      <c r="B12" s="47"/>
      <c r="C12" s="47"/>
      <c r="D12" s="48"/>
      <c r="E12" s="48"/>
      <c r="K12" s="74"/>
      <c r="L12" s="74"/>
      <c r="M12" s="74"/>
    </row>
    <row r="13" spans="1:19" x14ac:dyDescent="0.25">
      <c r="A13" s="28"/>
    </row>
  </sheetData>
  <hyperlinks>
    <hyperlink ref="A2" location="Sommaire!A1" display="Retour au menu &quot;Distribution&quot;" xr:uid="{00000000-0004-0000-0200-000000000000}"/>
  </hyperlinks>
  <pageMargins left="0.59055118110236227" right="0.59055118110236227" top="0.59055118110236227" bottom="0.78740157480314965" header="0.51181102362204722" footer="0.51181102362204722"/>
  <pageSetup paperSize="9" orientation="landscape" r:id="rId1"/>
  <headerFooter alignWithMargins="0">
    <oddFooter>&amp;L&amp;"Arial,Gras italique"&amp;9&amp;G&amp;R&amp;"Arial,Gras italique"&amp;9Consommation dse ménages en vidéo à la demande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Sommaire</vt:lpstr>
      <vt:lpstr>Sources</vt:lpstr>
      <vt:lpstr>CA 100% TypeAchat</vt:lpstr>
      <vt:lpstr>100% Acte</vt:lpstr>
      <vt:lpstr>StructureGenre</vt:lpstr>
      <vt:lpstr>StructureNatioCinema</vt:lpstr>
      <vt:lpstr>PoidsTop</vt:lpstr>
      <vt:lpstr>StructureGenreAV</vt:lpstr>
      <vt:lpstr>CA 100% Support</vt:lpstr>
    </vt:vector>
  </TitlesOfParts>
  <Company>CNC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JARDILLIER</dc:creator>
  <cp:lastModifiedBy>Jardillier Sophie</cp:lastModifiedBy>
  <cp:lastPrinted>2013-11-18T14:25:44Z</cp:lastPrinted>
  <dcterms:created xsi:type="dcterms:W3CDTF">2012-02-16T11:54:23Z</dcterms:created>
  <dcterms:modified xsi:type="dcterms:W3CDTF">2024-05-31T14:37:36Z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16ab99610b894684b46b947cc130e94f</vt:lpwstr>
  </property>
</Properties>
</file>