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yout\board-layout\Doc\"/>
    </mc:Choice>
  </mc:AlternateContent>
  <xr:revisionPtr revIDLastSave="0" documentId="13_ncr:1_{C121770C-A02B-40E6-B84A-55A616B3BF45}" xr6:coauthVersionLast="45" xr6:coauthVersionMax="45" xr10:uidLastSave="{00000000-0000-0000-0000-000000000000}"/>
  <bookViews>
    <workbookView xWindow="-28920" yWindow="-3900" windowWidth="29040" windowHeight="18240" tabRatio="654" firstSheet="2" activeTab="3" xr2:uid="{00000000-000D-0000-FFFF-FFFF00000000}"/>
  </bookViews>
  <sheets>
    <sheet name="Laderegler" sheetId="1" r:id="rId1"/>
    <sheet name="Pushbutton Controller" sheetId="2" r:id="rId2"/>
    <sheet name="StepDownConverter LMZM23600SILT" sheetId="3" r:id="rId3"/>
    <sheet name="AnalogeingängeESP32" sheetId="4" r:id="rId4"/>
    <sheet name="BrownOut 24V Input" sheetId="5" r:id="rId5"/>
    <sheet name="LED-Ströme" sheetId="6" r:id="rId6"/>
    <sheet name="Messung Wirkungsgrad stepup" sheetId="7" r:id="rId7"/>
    <sheet name="Akkumonitor" sheetId="8" r:id="rId8"/>
  </sheets>
  <definedNames>
    <definedName name="I_FB">'StepDownConverter LMZM23600SILT'!$E$6</definedName>
    <definedName name="K_ILIM">Laderegler!$F$8</definedName>
    <definedName name="K_ISET">Laderegler!$F$4</definedName>
    <definedName name="R_10">'StepDownConverter LMZM23600SILT'!$C$4</definedName>
    <definedName name="R_11">'StepDownConverter LMZM23600SILT'!$C$5</definedName>
    <definedName name="V_FB">'StepDownConverter LMZM23600SILT'!$C$3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5" i="4" l="1"/>
  <c r="I36" i="4" s="1"/>
  <c r="F11" i="8" l="1"/>
  <c r="F12" i="8" s="1"/>
  <c r="F13" i="8" s="1"/>
  <c r="G13" i="8" s="1"/>
  <c r="F8" i="8"/>
  <c r="H47" i="7"/>
  <c r="E47" i="7"/>
  <c r="H46" i="7"/>
  <c r="I46" i="7" s="1"/>
  <c r="E46" i="7"/>
  <c r="H45" i="7"/>
  <c r="E45" i="7"/>
  <c r="H44" i="7"/>
  <c r="E44" i="7"/>
  <c r="I44" i="7" s="1"/>
  <c r="H43" i="7"/>
  <c r="I43" i="7" s="1"/>
  <c r="E43" i="7"/>
  <c r="H42" i="7"/>
  <c r="E42" i="7"/>
  <c r="H41" i="7"/>
  <c r="E41" i="7"/>
  <c r="H40" i="7"/>
  <c r="E40" i="7"/>
  <c r="H36" i="7"/>
  <c r="I36" i="7" s="1"/>
  <c r="E36" i="7"/>
  <c r="H35" i="7"/>
  <c r="E35" i="7"/>
  <c r="H34" i="7"/>
  <c r="E34" i="7"/>
  <c r="I34" i="7" s="1"/>
  <c r="H33" i="7"/>
  <c r="I33" i="7" s="1"/>
  <c r="E33" i="7"/>
  <c r="H32" i="7"/>
  <c r="I32" i="7" s="1"/>
  <c r="E32" i="7"/>
  <c r="H31" i="7"/>
  <c r="I31" i="7" s="1"/>
  <c r="E31" i="7"/>
  <c r="H28" i="7"/>
  <c r="I28" i="7" s="1"/>
  <c r="E28" i="7"/>
  <c r="H27" i="7"/>
  <c r="E27" i="7"/>
  <c r="H26" i="7"/>
  <c r="I26" i="7" s="1"/>
  <c r="E26" i="7"/>
  <c r="H25" i="7"/>
  <c r="I25" i="7" s="1"/>
  <c r="E25" i="7"/>
  <c r="H24" i="7"/>
  <c r="E24" i="7"/>
  <c r="H18" i="7"/>
  <c r="I18" i="7" s="1"/>
  <c r="E18" i="7"/>
  <c r="H17" i="7"/>
  <c r="E17" i="7"/>
  <c r="H16" i="7"/>
  <c r="E16" i="7"/>
  <c r="H15" i="7"/>
  <c r="E15" i="7"/>
  <c r="H14" i="7"/>
  <c r="I14" i="7" s="1"/>
  <c r="E14" i="7"/>
  <c r="H13" i="7"/>
  <c r="E13" i="7"/>
  <c r="H10" i="7"/>
  <c r="E10" i="7"/>
  <c r="I10" i="7" s="1"/>
  <c r="H9" i="7"/>
  <c r="E9" i="7"/>
  <c r="I9" i="7" s="1"/>
  <c r="I8" i="7"/>
  <c r="H8" i="7"/>
  <c r="E8" i="7"/>
  <c r="H7" i="7"/>
  <c r="I7" i="7" s="1"/>
  <c r="E7" i="7"/>
  <c r="H6" i="7"/>
  <c r="I6" i="7" s="1"/>
  <c r="E6" i="7"/>
  <c r="H5" i="7"/>
  <c r="E5" i="7"/>
  <c r="H4" i="7"/>
  <c r="I4" i="7" s="1"/>
  <c r="E4" i="7"/>
  <c r="H3" i="7"/>
  <c r="I3" i="7" s="1"/>
  <c r="E3" i="7"/>
  <c r="E20" i="6"/>
  <c r="D20" i="6"/>
  <c r="C20" i="6"/>
  <c r="E13" i="6"/>
  <c r="D13" i="6"/>
  <c r="C13" i="6"/>
  <c r="E7" i="6"/>
  <c r="D7" i="6"/>
  <c r="C7" i="6"/>
  <c r="C10" i="5"/>
  <c r="D30" i="4"/>
  <c r="D29" i="4"/>
  <c r="D23" i="4"/>
  <c r="D16" i="4"/>
  <c r="D15" i="4" s="1"/>
  <c r="D8" i="4"/>
  <c r="D7" i="4" s="1"/>
  <c r="C8" i="3"/>
  <c r="D12" i="2"/>
  <c r="D6" i="2"/>
  <c r="D7" i="2" s="1"/>
  <c r="H4" i="2"/>
  <c r="D13" i="2" s="1"/>
  <c r="H3" i="2"/>
  <c r="H2" i="2"/>
  <c r="C16" i="1"/>
  <c r="H10" i="1"/>
  <c r="D10" i="1"/>
  <c r="H6" i="1"/>
  <c r="D6" i="1"/>
  <c r="I13" i="7" l="1"/>
  <c r="I17" i="7"/>
  <c r="I35" i="7"/>
  <c r="I42" i="7"/>
  <c r="I5" i="7"/>
  <c r="I27" i="7"/>
  <c r="I47" i="7"/>
  <c r="I15" i="7"/>
  <c r="I24" i="7"/>
  <c r="I40" i="7"/>
  <c r="I16" i="7"/>
  <c r="I41" i="7"/>
  <c r="I45" i="7"/>
  <c r="D22" i="4"/>
</calcChain>
</file>

<file path=xl/sharedStrings.xml><?xml version="1.0" encoding="utf-8"?>
<sst xmlns="http://schemas.openxmlformats.org/spreadsheetml/2006/main" count="254" uniqueCount="150">
  <si>
    <t>BQ24075</t>
  </si>
  <si>
    <t>Fast Charge Current</t>
  </si>
  <si>
    <r>
      <rPr>
        <sz val="11"/>
        <color rgb="FF000000"/>
        <rFont val="Calibri"/>
        <family val="2"/>
        <charset val="1"/>
      </rPr>
      <t>K</t>
    </r>
    <r>
      <rPr>
        <vertAlign val="subscript"/>
        <sz val="11"/>
        <color rgb="FF000000"/>
        <rFont val="Calibri"/>
        <family val="2"/>
        <charset val="1"/>
      </rPr>
      <t>ISET</t>
    </r>
    <r>
      <rPr>
        <sz val="11"/>
        <color rgb="FF000000"/>
        <rFont val="Calibri"/>
        <family val="2"/>
        <charset val="1"/>
      </rPr>
      <t>=</t>
    </r>
  </si>
  <si>
    <t>A*OHM</t>
  </si>
  <si>
    <t xml:space="preserve">I_chg = </t>
  </si>
  <si>
    <t>A</t>
  </si>
  <si>
    <t>R_ISET=R113=</t>
  </si>
  <si>
    <t>Ohm</t>
  </si>
  <si>
    <t>Grenzen für R_ISET: 590..3000Ohm</t>
  </si>
  <si>
    <t>Input Current Limit</t>
  </si>
  <si>
    <r>
      <rPr>
        <sz val="11"/>
        <color rgb="FF000000"/>
        <rFont val="Calibri"/>
        <family val="2"/>
        <charset val="1"/>
      </rPr>
      <t>K</t>
    </r>
    <r>
      <rPr>
        <vertAlign val="subscript"/>
        <sz val="11"/>
        <color rgb="FF000000"/>
        <rFont val="Calibri"/>
        <family val="2"/>
        <charset val="1"/>
      </rPr>
      <t>ILIM</t>
    </r>
    <r>
      <rPr>
        <sz val="11"/>
        <color rgb="FF000000"/>
        <rFont val="Calibri"/>
        <family val="2"/>
        <charset val="1"/>
      </rPr>
      <t>=</t>
    </r>
  </si>
  <si>
    <t>ILIM=</t>
  </si>
  <si>
    <t>R_ILM=R114</t>
  </si>
  <si>
    <t>Grenzen für R_ILM: 1100..8000Ohm</t>
  </si>
  <si>
    <t>Verzögerungskonstante</t>
  </si>
  <si>
    <t>lt. Datenblatt</t>
  </si>
  <si>
    <t>µF/ms</t>
  </si>
  <si>
    <t>empirisch ermittelt</t>
  </si>
  <si>
    <t>für toff</t>
  </si>
  <si>
    <t>Offtime</t>
  </si>
  <si>
    <t>für ton</t>
  </si>
  <si>
    <t>t_off</t>
  </si>
  <si>
    <t>s</t>
  </si>
  <si>
    <t>ms</t>
  </si>
  <si>
    <t>C71</t>
  </si>
  <si>
    <t>µF</t>
  </si>
  <si>
    <t>Ontime</t>
  </si>
  <si>
    <t>t_on</t>
  </si>
  <si>
    <t>C70</t>
  </si>
  <si>
    <t>V_FB=</t>
  </si>
  <si>
    <t>V</t>
  </si>
  <si>
    <t>R10=</t>
  </si>
  <si>
    <t>kOhm</t>
  </si>
  <si>
    <t>R11=</t>
  </si>
  <si>
    <t>U_+3V3=</t>
  </si>
  <si>
    <t>Eingang für +24V_Out (Pin5 / ADC1 Ch3)</t>
  </si>
  <si>
    <t>R95=</t>
  </si>
  <si>
    <t>R99=</t>
  </si>
  <si>
    <r>
      <rPr>
        <sz val="11"/>
        <color rgb="FF000000"/>
        <rFont val="Calibri"/>
        <family val="2"/>
        <charset val="1"/>
      </rPr>
      <t>U</t>
    </r>
    <r>
      <rPr>
        <vertAlign val="subscript"/>
        <sz val="11"/>
        <color rgb="FF000000"/>
        <rFont val="Calibri"/>
        <family val="2"/>
        <charset val="1"/>
      </rPr>
      <t>max,in</t>
    </r>
    <r>
      <rPr>
        <sz val="11"/>
        <color rgb="FF000000"/>
        <rFont val="Calibri"/>
        <family val="2"/>
        <charset val="1"/>
      </rPr>
      <t>=</t>
    </r>
  </si>
  <si>
    <t>Verhältnis 1/</t>
  </si>
  <si>
    <r>
      <rPr>
        <sz val="11"/>
        <color rgb="FF000000"/>
        <rFont val="Calibri"/>
        <family val="2"/>
        <charset val="1"/>
      </rPr>
      <t>U</t>
    </r>
    <r>
      <rPr>
        <vertAlign val="subscript"/>
        <sz val="11"/>
        <color rgb="FF000000"/>
        <rFont val="Calibri"/>
        <family val="2"/>
        <charset val="1"/>
      </rPr>
      <t>max.ADC</t>
    </r>
    <r>
      <rPr>
        <sz val="11"/>
        <color rgb="FF000000"/>
        <rFont val="Calibri"/>
        <family val="2"/>
        <charset val="1"/>
      </rPr>
      <t>=</t>
    </r>
  </si>
  <si>
    <t>Eingang für +24V_M12 (Pin6 / ADC1 Ch6)</t>
  </si>
  <si>
    <t>R107=</t>
  </si>
  <si>
    <t>R106=</t>
  </si>
  <si>
    <t>Eingang für +5V_USB (Pin7 / ADC1 Ch7)</t>
  </si>
  <si>
    <t>R97=</t>
  </si>
  <si>
    <t>R101=</t>
  </si>
  <si>
    <t>Eingang für AkkuPosMon (Pin4 / ADC1 Ch0)</t>
  </si>
  <si>
    <t>R93=</t>
  </si>
  <si>
    <t>R98=</t>
  </si>
  <si>
    <t>BrownOut 24V Input</t>
  </si>
  <si>
    <t>Schwellspg. BrownOutDetector</t>
  </si>
  <si>
    <t>R82</t>
  </si>
  <si>
    <t>entfällt und wird durch Z-Diode 12V ersetzt</t>
  </si>
  <si>
    <t>R83</t>
  </si>
  <si>
    <t>Schwellenspg. M12</t>
  </si>
  <si>
    <t>Ub</t>
  </si>
  <si>
    <t>APFA2507</t>
  </si>
  <si>
    <t xml:space="preserve">rot </t>
  </si>
  <si>
    <t>grün</t>
  </si>
  <si>
    <t>blau</t>
  </si>
  <si>
    <t>I / mA</t>
  </si>
  <si>
    <t>Uf / V</t>
  </si>
  <si>
    <t>R / Ohm</t>
  </si>
  <si>
    <t>gemessen Bestückung Nullserie</t>
  </si>
  <si>
    <t>U über R / mV</t>
  </si>
  <si>
    <t>gemessen Neudimensionierung</t>
  </si>
  <si>
    <t>1,26MHz</t>
  </si>
  <si>
    <t>Eingang</t>
  </si>
  <si>
    <t>Ausgang</t>
  </si>
  <si>
    <t>Ripple</t>
  </si>
  <si>
    <t>U / V</t>
  </si>
  <si>
    <t>P / W</t>
  </si>
  <si>
    <t>Wirkungsgrad @ 5V / 1,26MHz</t>
  </si>
  <si>
    <t>U / mVpp</t>
  </si>
  <si>
    <t>Wirkungsgrad @ 7V / 1,26MHz</t>
  </si>
  <si>
    <t>+110mV@130MHz</t>
  </si>
  <si>
    <t>685kHz</t>
  </si>
  <si>
    <t>Wirkungsgrad @ 5V / 0,685MHz</t>
  </si>
  <si>
    <t>Wirkungsgrad @ 7V / 0,685MHz</t>
  </si>
  <si>
    <t>1nF / 20kOhm</t>
  </si>
  <si>
    <t>1nF / 10kOhm</t>
  </si>
  <si>
    <t>+120mV@130MHz</t>
  </si>
  <si>
    <t>1nF / 27kOhm</t>
  </si>
  <si>
    <t>10nF / 27kOhm</t>
  </si>
  <si>
    <t>+100mV@130MHz</t>
  </si>
  <si>
    <t>10nF / 47kOhm</t>
  </si>
  <si>
    <t>10nF / 10kOhm</t>
  </si>
  <si>
    <t>10nF / 6,8kOhm</t>
  </si>
  <si>
    <t>10nF / 22kOhm</t>
  </si>
  <si>
    <t>Ablauf zur Messung und Berechnung des SOC</t>
  </si>
  <si>
    <t>Variablen:</t>
  </si>
  <si>
    <t>Beispiel Laden</t>
  </si>
  <si>
    <t>"Charge" (t=0)</t>
  </si>
  <si>
    <t>unsigned 32 Bit "Charge" - Ladung des Akkus in mAh*4096 (Akkumuliert werden alle 3600/4096 Sekunden Ströme in mA)</t>
  </si>
  <si>
    <t>Strom real</t>
  </si>
  <si>
    <t>mA</t>
  </si>
  <si>
    <t>unsigned 16 Bit "MonVoltage" - Batteriespannung/mV aus Batteriemonitor gelesen; Adressen 0x08 and 0x09</t>
  </si>
  <si>
    <t>Stromfaktor*</t>
  </si>
  <si>
    <t>signed 16 Bit "MonCurrent" - Batteristrom/mA aus Batteriemonitor gelesen; Adressen 0x22 and 0x23</t>
  </si>
  <si>
    <t>"MonCurrent"</t>
  </si>
  <si>
    <t>Laufzeit</t>
  </si>
  <si>
    <t>min</t>
  </si>
  <si>
    <t>Beim Booten:</t>
  </si>
  <si>
    <t>Periode</t>
  </si>
  <si>
    <t>Anzahl Messungen</t>
  </si>
  <si>
    <r>
      <rPr>
        <i/>
        <sz val="9"/>
        <color rgb="FF333333"/>
        <rFont val="Verdana"/>
        <family val="2"/>
        <charset val="1"/>
      </rPr>
      <t xml:space="preserve">Charge := </t>
    </r>
    <r>
      <rPr>
        <b/>
        <i/>
        <sz val="9"/>
        <color rgb="FF333333"/>
        <rFont val="Verdana"/>
        <family val="2"/>
        <charset val="1"/>
      </rPr>
      <t>EepromCharge</t>
    </r>
    <r>
      <rPr>
        <i/>
        <sz val="9"/>
        <color rgb="FF333333"/>
        <rFont val="Verdana"/>
        <family val="2"/>
        <charset val="1"/>
      </rPr>
      <t xml:space="preserve"> (Charge aus nichtflüchtigem Speicher laden)</t>
    </r>
  </si>
  <si>
    <t>"Charge"</t>
  </si>
  <si>
    <t>LEDgrün = Charge / (4*4096); LEDrot = 255-LEDgrün</t>
  </si>
  <si>
    <t>LEDgrün</t>
  </si>
  <si>
    <t>Während des Betriebs alle 1,2 Sekunden nur bei USB- und Akku-Betrieb (nicht bei Versorgung durch M12!):</t>
  </si>
  <si>
    <t>*Der Strom, den das IC BQ27510 ausgibt rechnet mit einem Shunt von 10 Ohm</t>
  </si>
  <si>
    <t>Tatsächlich ist aufgrund der zusätzlichen Leitungswiderstände der Widerstand etwas höher</t>
  </si>
  <si>
    <t>MonVoltage und MonCurrent aus BQ27510 lesen</t>
  </si>
  <si>
    <t>Bestimmung Stromfaktor:</t>
  </si>
  <si>
    <t>Wenn BQ27510 geantwortet hat:</t>
  </si>
  <si>
    <t>gemessen</t>
  </si>
  <si>
    <t>Ausgabe Akkumonitor</t>
  </si>
  <si>
    <t xml:space="preserve">   - LEDgrün = Charge / (4*4096); LEDrot = 255-LEDgrün</t>
  </si>
  <si>
    <t>Wenn BQ27510 nicht antwortet:</t>
  </si>
  <si>
    <r>
      <rPr>
        <i/>
        <sz val="9"/>
        <color rgb="FF333333"/>
        <rFont val="Verdana"/>
        <family val="2"/>
        <charset val="1"/>
      </rPr>
      <t xml:space="preserve">   - Wenn BQ27510  beim letzten mal antwortete: </t>
    </r>
    <r>
      <rPr>
        <b/>
        <i/>
        <sz val="9"/>
        <color rgb="FF333333"/>
        <rFont val="Verdana"/>
        <family val="2"/>
        <charset val="1"/>
      </rPr>
      <t>EepromCharge</t>
    </r>
    <r>
      <rPr>
        <i/>
        <sz val="9"/>
        <color rgb="FF333333"/>
        <rFont val="Verdana"/>
        <family val="2"/>
        <charset val="1"/>
      </rPr>
      <t xml:space="preserve"> = Charge (Akkus sind nicht am Netz =&gt; Ladezustand verändert sich nicht. Vor dem nächsten Start erfolgt möglicherweise kein Housekeeping!)</t>
    </r>
  </si>
  <si>
    <t xml:space="preserve">   - Wenn BQ27510  beim letzten mal antwortete: schalte  GPIO27 als Ausgang high (Dieser Zustand tritt nach 4s-Drücken des Tasters bei Versorgung mit USB pder M12 auf. Jetzt wird der Taster mit Gewalt losgelassen)</t>
  </si>
  <si>
    <t xml:space="preserve">   - Wenn BQ27510 schon beim letzten mal nicht antwortete: schalte  GPIO27 als Eingang (ohne pullup; jetzt wird der Taster wieder durch Transistor T70 gedrückt, bis Akkus ans Netz gehen und BQ2750 wieder antwortet)</t>
  </si>
  <si>
    <t xml:space="preserve">   - LEDgrün =  LEDrot = 0 (Ladezustands-LED ausschalten, da Akkus nicht am Netz sind)</t>
  </si>
  <si>
    <t>Beim Housekeeping:</t>
  </si>
  <si>
    <r>
      <rPr>
        <b/>
        <i/>
        <sz val="9"/>
        <color rgb="FF333333"/>
        <rFont val="Verdana"/>
        <family val="2"/>
        <charset val="1"/>
      </rPr>
      <t>EepromCharge</t>
    </r>
    <r>
      <rPr>
        <i/>
        <sz val="9"/>
        <color rgb="FF333333"/>
        <rFont val="Verdana"/>
        <family val="2"/>
        <charset val="1"/>
      </rPr>
      <t xml:space="preserve"> = Charge (Charge nichtflüchtig speichern)</t>
    </r>
  </si>
  <si>
    <t>Initilisierung für ersten Lauf:</t>
  </si>
  <si>
    <t>Charge = (700 * 4096)</t>
  </si>
  <si>
    <t xml:space="preserve">   - Sonst Charge = Charge + MonCurrent, aber maximal (1023 * 4096) und minimal 0</t>
  </si>
  <si>
    <t xml:space="preserve">   - Wenn MonVoltage &lt; 3400 =&gt; Charge =0 (Akkus sind leer =&gt; jetzt wird Charge kalibriert)</t>
  </si>
  <si>
    <r>
      <t xml:space="preserve">   - Wenn BQ27510 beim letzten Mal nicht antwortete oder nach dem Booten: </t>
    </r>
    <r>
      <rPr>
        <b/>
        <i/>
        <sz val="9"/>
        <color rgb="FF333333"/>
        <rFont val="Verdana"/>
        <family val="2"/>
        <charset val="1"/>
      </rPr>
      <t>EepromCharge</t>
    </r>
    <r>
      <rPr>
        <i/>
        <sz val="9"/>
        <color rgb="FF333333"/>
        <rFont val="Verdana"/>
        <family val="2"/>
        <charset val="1"/>
      </rPr>
      <t xml:space="preserve"> = 0 (Die Akkus sind jetzt am Netz=&gt;Vor dem nächsten Start erfolgt Housekeeping; wenn doch kein Housekeeping erfolgt, dann weil Akku alle ist)</t>
    </r>
  </si>
  <si>
    <r>
      <t xml:space="preserve">unsigned 32 Bit </t>
    </r>
    <r>
      <rPr>
        <b/>
        <i/>
        <sz val="9"/>
        <color rgb="FF333333"/>
        <rFont val="Verdana"/>
        <family val="2"/>
        <charset val="1"/>
      </rPr>
      <t>"EepromCharge"</t>
    </r>
    <r>
      <rPr>
        <i/>
        <sz val="9"/>
        <color rgb="FF333333"/>
        <rFont val="Verdana"/>
        <family val="2"/>
        <charset val="1"/>
      </rPr>
      <t xml:space="preserve"> - nichtflüchtige Ablage der Variablen Charge</t>
    </r>
  </si>
  <si>
    <r>
      <t>EepromCharge</t>
    </r>
    <r>
      <rPr>
        <i/>
        <sz val="9"/>
        <color rgb="FF333333"/>
        <rFont val="Verdana"/>
        <family val="2"/>
        <charset val="1"/>
      </rPr>
      <t xml:space="preserve"> = Charge (Charge nichtflüchtig speichern)</t>
    </r>
  </si>
  <si>
    <t xml:space="preserve">   - Wenn MonVoltage &gt; 4160 und MonCurrent &lt; 200 =&gt; Charge = 1023 * 4096 (Akkus sind voll =&gt; jetzt wird Charge kalibriert)</t>
  </si>
  <si>
    <t>Rechner</t>
  </si>
  <si>
    <t>n</t>
  </si>
  <si>
    <t>R918 / kOhm</t>
  </si>
  <si>
    <t>R920 / kOhm</t>
  </si>
  <si>
    <t>R918=</t>
  </si>
  <si>
    <t>R920=</t>
  </si>
  <si>
    <t>n=</t>
  </si>
  <si>
    <t>=&gt;</t>
  </si>
  <si>
    <t>HW</t>
  </si>
  <si>
    <t>2.</t>
  </si>
  <si>
    <t>Eingang für HW_VERSION (Pin10 / ADC2 Ch8)</t>
  </si>
  <si>
    <t>0V entspricht HW2.0</t>
  </si>
  <si>
    <t>+3V3 * 1 / 10 entspricht HW2.1</t>
  </si>
  <si>
    <t>+3V3 * 2 / 10 entspricht HW2.2</t>
  </si>
  <si>
    <t>+3V3 * n / 10 entspricht HW2.n...</t>
  </si>
  <si>
    <t>n = 10*R918 / (R918+R920)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</si>
</sst>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\ %"/>
  </numFmts>
  <fonts count="9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333333"/>
      <name val="Verdana"/>
      <family val="2"/>
      <charset val="1"/>
    </font>
    <font>
      <i/>
      <sz val="9"/>
      <color rgb="FF333333"/>
      <name val="Verdana"/>
      <family val="2"/>
      <charset val="1"/>
    </font>
    <font>
      <b/>
      <i/>
      <sz val="9"/>
      <color rgb="FF333333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rgb="FFE0E0E0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5" xfId="0" applyFont="1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Font="1" applyBorder="1"/>
    <xf numFmtId="0" fontId="4" fillId="0" borderId="7" xfId="0" applyFont="1" applyBorder="1"/>
    <xf numFmtId="0" fontId="0" fillId="0" borderId="8" xfId="0" applyFont="1" applyBorder="1"/>
    <xf numFmtId="2" fontId="3" fillId="0" borderId="0" xfId="0" applyNumberFormat="1" applyFont="1"/>
    <xf numFmtId="164" fontId="0" fillId="0" borderId="0" xfId="0" applyNumberFormat="1"/>
    <xf numFmtId="0" fontId="0" fillId="0" borderId="9" xfId="0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ont="1" applyBorder="1" applyAlignment="1">
      <alignment horizontal="right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left" vertical="center" wrapText="1" indent="1"/>
    </xf>
    <xf numFmtId="0" fontId="0" fillId="0" borderId="22" xfId="0" applyBorder="1"/>
    <xf numFmtId="0" fontId="0" fillId="0" borderId="23" xfId="0" applyBorder="1"/>
    <xf numFmtId="0" fontId="7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right" vertical="center"/>
    </xf>
    <xf numFmtId="0" fontId="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Font="1" applyBorder="1"/>
    <xf numFmtId="0" fontId="0" fillId="0" borderId="13" xfId="0" applyBorder="1"/>
    <xf numFmtId="0" fontId="8" fillId="0" borderId="0" xfId="0" applyFont="1" applyAlignment="1">
      <alignment horizontal="left" vertical="center" wrapText="1" indent="1"/>
    </xf>
    <xf numFmtId="1" fontId="0" fillId="0" borderId="0" xfId="0" applyNumberFormat="1" applyAlignment="1">
      <alignment horizontal="left"/>
    </xf>
    <xf numFmtId="0" fontId="0" fillId="0" borderId="0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164" fontId="3" fillId="0" borderId="0" xfId="0" applyNumberFormat="1" applyFont="1"/>
    <xf numFmtId="0" fontId="0" fillId="0" borderId="5" xfId="0" applyBorder="1"/>
    <xf numFmtId="0" fontId="0" fillId="0" borderId="4" xfId="0" quotePrefix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2475743634127499E-2"/>
          <c:y val="1.90571715145436E-2"/>
          <c:w val="0.925887122488954"/>
          <c:h val="0.93781344032096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'Messung Wirkungsgrad stepup'!$I$2</c:f>
              <c:strCache>
                <c:ptCount val="1"/>
                <c:pt idx="0">
                  <c:v>Wirkungsgrad @ 5V / 1,26MHz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squar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'Messung Wirkungsgrad stepup'!$G$3:$G$10</c:f>
              <c:numCache>
                <c:formatCode>General</c:formatCode>
                <c:ptCount val="8"/>
                <c:pt idx="0">
                  <c:v>18.63</c:v>
                </c:pt>
                <c:pt idx="1">
                  <c:v>50.57</c:v>
                </c:pt>
                <c:pt idx="2">
                  <c:v>99.43</c:v>
                </c:pt>
                <c:pt idx="3">
                  <c:v>180</c:v>
                </c:pt>
                <c:pt idx="4">
                  <c:v>204</c:v>
                </c:pt>
                <c:pt idx="5">
                  <c:v>220</c:v>
                </c:pt>
                <c:pt idx="6">
                  <c:v>249.5</c:v>
                </c:pt>
                <c:pt idx="7">
                  <c:v>303</c:v>
                </c:pt>
              </c:numCache>
            </c:numRef>
          </c:xVal>
          <c:yVal>
            <c:numRef>
              <c:f>'Messung Wirkungsgrad stepup'!$I$3:$I$10</c:f>
              <c:numCache>
                <c:formatCode>0\ %</c:formatCode>
                <c:ptCount val="8"/>
                <c:pt idx="0">
                  <c:v>0.56338240601503753</c:v>
                </c:pt>
                <c:pt idx="1">
                  <c:v>0.75256538461538458</c:v>
                </c:pt>
                <c:pt idx="2">
                  <c:v>0.8256112966398681</c:v>
                </c:pt>
                <c:pt idx="3">
                  <c:v>0.84292682926829277</c:v>
                </c:pt>
                <c:pt idx="4">
                  <c:v>0.84796701030927857</c:v>
                </c:pt>
                <c:pt idx="5">
                  <c:v>0.8384120982986768</c:v>
                </c:pt>
                <c:pt idx="6">
                  <c:v>0.83414925373134319</c:v>
                </c:pt>
                <c:pt idx="7">
                  <c:v>0.81973783783783771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0-4BFE-A9DF-C8371298C0CF}"/>
            </c:ext>
          </c:extLst>
        </c:ser>
        <c:ser>
          <c:idx val="1"/>
          <c:order val="1"/>
          <c:tx>
            <c:strRef>
              <c:f>'Messung Wirkungsgrad stepup'!$I$12</c:f>
              <c:strCache>
                <c:ptCount val="1"/>
                <c:pt idx="0">
                  <c:v>Wirkungsgrad @ 7V / 1,26MHz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squar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'Messung Wirkungsgrad stepup'!$G$13:$G$18</c:f>
              <c:numCache>
                <c:formatCode>General</c:formatCode>
                <c:ptCount val="6"/>
                <c:pt idx="0">
                  <c:v>18.600000000000001</c:v>
                </c:pt>
                <c:pt idx="1">
                  <c:v>50.4</c:v>
                </c:pt>
                <c:pt idx="2">
                  <c:v>101</c:v>
                </c:pt>
                <c:pt idx="3">
                  <c:v>200</c:v>
                </c:pt>
                <c:pt idx="4">
                  <c:v>248</c:v>
                </c:pt>
                <c:pt idx="5">
                  <c:v>453</c:v>
                </c:pt>
              </c:numCache>
            </c:numRef>
          </c:xVal>
          <c:yVal>
            <c:numRef>
              <c:f>'Messung Wirkungsgrad stepup'!$I$13:$I$18</c:f>
              <c:numCache>
                <c:formatCode>0\ %</c:formatCode>
                <c:ptCount val="6"/>
                <c:pt idx="0">
                  <c:v>0.55689285714285708</c:v>
                </c:pt>
                <c:pt idx="1">
                  <c:v>0.74984455958549234</c:v>
                </c:pt>
                <c:pt idx="2">
                  <c:v>0.84062111801242234</c:v>
                </c:pt>
                <c:pt idx="3">
                  <c:v>0.88080631025416312</c:v>
                </c:pt>
                <c:pt idx="4">
                  <c:v>0.88792304951905954</c:v>
                </c:pt>
                <c:pt idx="5">
                  <c:v>0.88246753246753262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0-4BFE-A9DF-C8371298C0CF}"/>
            </c:ext>
          </c:extLst>
        </c:ser>
        <c:ser>
          <c:idx val="2"/>
          <c:order val="2"/>
          <c:tx>
            <c:strRef>
              <c:f>'Messung Wirkungsgrad stepup'!$I$30</c:f>
              <c:strCache>
                <c:ptCount val="1"/>
                <c:pt idx="0">
                  <c:v>Wirkungsgrad @ 7V / 0,685MHz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'Messung Wirkungsgrad stepup'!$G$31:$G$38</c:f>
              <c:numCache>
                <c:formatCode>General</c:formatCode>
                <c:ptCount val="8"/>
                <c:pt idx="0">
                  <c:v>18.7</c:v>
                </c:pt>
                <c:pt idx="1">
                  <c:v>50.7</c:v>
                </c:pt>
                <c:pt idx="2">
                  <c:v>101</c:v>
                </c:pt>
                <c:pt idx="3">
                  <c:v>201</c:v>
                </c:pt>
                <c:pt idx="4">
                  <c:v>252</c:v>
                </c:pt>
                <c:pt idx="5">
                  <c:v>454</c:v>
                </c:pt>
              </c:numCache>
            </c:numRef>
          </c:xVal>
          <c:yVal>
            <c:numRef>
              <c:f>'Messung Wirkungsgrad stepup'!$I$31:$I$38</c:f>
              <c:numCache>
                <c:formatCode>0\ %</c:formatCode>
                <c:ptCount val="8"/>
                <c:pt idx="0">
                  <c:v>0.5529939679270266</c:v>
                </c:pt>
                <c:pt idx="1">
                  <c:v>0.74276239067055394</c:v>
                </c:pt>
                <c:pt idx="2">
                  <c:v>0.83819157720891824</c:v>
                </c:pt>
                <c:pt idx="3">
                  <c:v>0.88521034180543401</c:v>
                </c:pt>
                <c:pt idx="4">
                  <c:v>0.89223181257706552</c:v>
                </c:pt>
                <c:pt idx="5">
                  <c:v>0.89334907516725703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0-4BFE-A9DF-C8371298C0CF}"/>
            </c:ext>
          </c:extLst>
        </c:ser>
        <c:ser>
          <c:idx val="3"/>
          <c:order val="3"/>
          <c:tx>
            <c:strRef>
              <c:f>'Messung Wirkungsgrad stepup'!$I$23</c:f>
              <c:strCache>
                <c:ptCount val="1"/>
                <c:pt idx="0">
                  <c:v>Wirkungsgrad @ 5V / 0,685MHz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'Messung Wirkungsgrad stepup'!$G$24:$G$28</c:f>
              <c:numCache>
                <c:formatCode>General</c:formatCode>
                <c:ptCount val="5"/>
                <c:pt idx="0">
                  <c:v>18.7</c:v>
                </c:pt>
                <c:pt idx="1">
                  <c:v>49.7</c:v>
                </c:pt>
                <c:pt idx="2">
                  <c:v>101</c:v>
                </c:pt>
                <c:pt idx="3">
                  <c:v>201</c:v>
                </c:pt>
                <c:pt idx="4">
                  <c:v>291</c:v>
                </c:pt>
              </c:numCache>
            </c:numRef>
          </c:xVal>
          <c:yVal>
            <c:numRef>
              <c:f>'Messung Wirkungsgrad stepup'!$I$24:$I$28</c:f>
              <c:numCache>
                <c:formatCode>0\ %</c:formatCode>
                <c:ptCount val="5"/>
                <c:pt idx="0">
                  <c:v>0.55684444444444436</c:v>
                </c:pt>
                <c:pt idx="1">
                  <c:v>0.74829213483146084</c:v>
                </c:pt>
                <c:pt idx="2">
                  <c:v>0.83200819672131154</c:v>
                </c:pt>
                <c:pt idx="3">
                  <c:v>0.85777070063694283</c:v>
                </c:pt>
                <c:pt idx="4">
                  <c:v>0.8374100719424461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0-4BFE-A9DF-C8371298C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30592"/>
        <c:axId val="272432128"/>
      </c:scatterChart>
      <c:valAx>
        <c:axId val="27243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272432128"/>
        <c:crosses val="autoZero"/>
        <c:crossBetween val="midCat"/>
      </c:valAx>
      <c:valAx>
        <c:axId val="27243212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2724305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2440668701316397"/>
          <c:y val="0.51105949427229103"/>
          <c:w val="0.41841290087463601"/>
          <c:h val="0.1531517263224579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680238074700194E-2"/>
          <c:y val="4.10755875502858E-2"/>
          <c:w val="0.84723540067281999"/>
          <c:h val="0.85178911708659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Akkumonitor!$E$18:$E$19</c:f>
              <c:strCache>
                <c:ptCount val="2"/>
                <c:pt idx="0">
                  <c:v>I / mA</c:v>
                </c:pt>
                <c:pt idx="1">
                  <c:v>Ausgabe Akkumonitor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Akkumonitor!$D$20:$D$25</c:f>
              <c:numCache>
                <c:formatCode>General</c:formatCode>
                <c:ptCount val="6"/>
                <c:pt idx="0">
                  <c:v>180</c:v>
                </c:pt>
                <c:pt idx="1">
                  <c:v>-110</c:v>
                </c:pt>
                <c:pt idx="2">
                  <c:v>-250</c:v>
                </c:pt>
                <c:pt idx="3">
                  <c:v>-500</c:v>
                </c:pt>
                <c:pt idx="4">
                  <c:v>-1000</c:v>
                </c:pt>
                <c:pt idx="5">
                  <c:v>-1050</c:v>
                </c:pt>
              </c:numCache>
            </c:numRef>
          </c:xVal>
          <c:yVal>
            <c:numRef>
              <c:f>Akkumonitor!$E$20:$E$25</c:f>
              <c:numCache>
                <c:formatCode>General</c:formatCode>
                <c:ptCount val="6"/>
                <c:pt idx="0">
                  <c:v>230</c:v>
                </c:pt>
                <c:pt idx="1">
                  <c:v>-150</c:v>
                </c:pt>
                <c:pt idx="2">
                  <c:v>-339</c:v>
                </c:pt>
                <c:pt idx="3">
                  <c:v>-682</c:v>
                </c:pt>
                <c:pt idx="4">
                  <c:v>-1360</c:v>
                </c:pt>
                <c:pt idx="5">
                  <c:v>-1420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D-454D-8A4A-4E12FDCF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62016"/>
        <c:axId val="273463936"/>
      </c:scatterChart>
      <c:valAx>
        <c:axId val="273462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200" b="0" strike="noStrike" spc="-1">
                    <a:solidFill>
                      <a:srgbClr val="595959"/>
                    </a:solidFill>
                    <a:latin typeface="Calibri"/>
                  </a:rPr>
                  <a:t>I / mA gemessen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3463936"/>
        <c:crosses val="autoZero"/>
        <c:crossBetween val="midCat"/>
      </c:valAx>
      <c:valAx>
        <c:axId val="273463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200" b="0" strike="noStrike" spc="-1">
                    <a:solidFill>
                      <a:srgbClr val="595959"/>
                    </a:solidFill>
                    <a:latin typeface="Calibri"/>
                  </a:rPr>
                  <a:t>I / mA Ausgabe Akkumonitor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34620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447840</xdr:colOff>
      <xdr:row>0</xdr:row>
      <xdr:rowOff>0</xdr:rowOff>
    </xdr:from>
    <xdr:to>
      <xdr:col>22</xdr:col>
      <xdr:colOff>66600</xdr:colOff>
      <xdr:row>35</xdr:row>
      <xdr:rowOff>151920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95400</xdr:colOff>
      <xdr:row>16</xdr:row>
      <xdr:rowOff>19080</xdr:rowOff>
    </xdr:from>
    <xdr:to>
      <xdr:col>9</xdr:col>
      <xdr:colOff>2009520</xdr:colOff>
      <xdr:row>33</xdr:row>
      <xdr:rowOff>85470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6"/>
  <sheetViews>
    <sheetView zoomScaleNormal="100" workbookViewId="0">
      <selection activeCell="C17" sqref="C17"/>
    </sheetView>
  </sheetViews>
  <sheetFormatPr baseColWidth="10" defaultColWidth="10.7109375" defaultRowHeight="15" x14ac:dyDescent="0.25"/>
  <cols>
    <col min="3" max="3" width="12.85546875" customWidth="1"/>
    <col min="7" max="7" width="12.85546875" customWidth="1"/>
  </cols>
  <sheetData>
    <row r="2" spans="1:9" ht="23.25" x14ac:dyDescent="0.35">
      <c r="A2" s="1" t="s">
        <v>0</v>
      </c>
    </row>
    <row r="4" spans="1:9" ht="18" x14ac:dyDescent="0.35">
      <c r="B4" t="s">
        <v>1</v>
      </c>
      <c r="E4" t="s">
        <v>2</v>
      </c>
      <c r="F4">
        <v>890</v>
      </c>
      <c r="G4" t="s">
        <v>3</v>
      </c>
    </row>
    <row r="5" spans="1:9" x14ac:dyDescent="0.25">
      <c r="C5" t="s">
        <v>4</v>
      </c>
      <c r="D5">
        <v>1.5</v>
      </c>
      <c r="E5" t="s">
        <v>5</v>
      </c>
      <c r="G5" t="s">
        <v>6</v>
      </c>
      <c r="H5">
        <v>680</v>
      </c>
      <c r="I5" t="s">
        <v>7</v>
      </c>
    </row>
    <row r="6" spans="1:9" x14ac:dyDescent="0.25">
      <c r="C6" t="s">
        <v>6</v>
      </c>
      <c r="D6" s="2">
        <f>K_ISET/D5</f>
        <v>593.33333333333337</v>
      </c>
      <c r="E6" t="s">
        <v>7</v>
      </c>
      <c r="G6" t="s">
        <v>4</v>
      </c>
      <c r="H6">
        <f>K_ISET/H5</f>
        <v>1.3088235294117647</v>
      </c>
      <c r="I6" t="s">
        <v>5</v>
      </c>
    </row>
    <row r="7" spans="1:9" x14ac:dyDescent="0.25">
      <c r="C7" t="s">
        <v>8</v>
      </c>
    </row>
    <row r="8" spans="1:9" ht="18" x14ac:dyDescent="0.35">
      <c r="B8" t="s">
        <v>9</v>
      </c>
      <c r="E8" t="s">
        <v>10</v>
      </c>
      <c r="F8">
        <v>1600</v>
      </c>
      <c r="G8" t="s">
        <v>3</v>
      </c>
    </row>
    <row r="9" spans="1:9" x14ac:dyDescent="0.25">
      <c r="C9" t="s">
        <v>11</v>
      </c>
      <c r="D9">
        <v>1.5</v>
      </c>
      <c r="E9" t="s">
        <v>5</v>
      </c>
      <c r="G9" t="s">
        <v>12</v>
      </c>
      <c r="H9" s="2">
        <v>1100</v>
      </c>
      <c r="I9" t="s">
        <v>7</v>
      </c>
    </row>
    <row r="10" spans="1:9" x14ac:dyDescent="0.25">
      <c r="C10" t="s">
        <v>12</v>
      </c>
      <c r="D10" s="2">
        <f>K_ILIM/D9</f>
        <v>1066.6666666666667</v>
      </c>
      <c r="E10" t="s">
        <v>7</v>
      </c>
      <c r="G10" t="s">
        <v>11</v>
      </c>
      <c r="H10">
        <f>K_ILIM/H9</f>
        <v>1.4545454545454546</v>
      </c>
      <c r="I10" t="s">
        <v>5</v>
      </c>
    </row>
    <row r="11" spans="1:9" x14ac:dyDescent="0.25">
      <c r="C11" t="s">
        <v>13</v>
      </c>
    </row>
    <row r="15" spans="1:9" x14ac:dyDescent="0.25">
      <c r="B15">
        <v>5</v>
      </c>
    </row>
    <row r="16" spans="1:9" x14ac:dyDescent="0.25">
      <c r="B16">
        <v>0.96</v>
      </c>
      <c r="C16">
        <f>B16/B15</f>
        <v>0.192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3"/>
  <sheetViews>
    <sheetView zoomScaleNormal="100" workbookViewId="0">
      <selection activeCell="H4" sqref="H4"/>
    </sheetView>
  </sheetViews>
  <sheetFormatPr baseColWidth="10" defaultColWidth="10.7109375" defaultRowHeight="15" x14ac:dyDescent="0.25"/>
  <sheetData>
    <row r="1" spans="2:10" x14ac:dyDescent="0.25">
      <c r="G1" t="s">
        <v>14</v>
      </c>
    </row>
    <row r="2" spans="2:10" x14ac:dyDescent="0.25">
      <c r="G2" s="3" t="s">
        <v>15</v>
      </c>
      <c r="H2">
        <f>1.56*0.0001</f>
        <v>1.5600000000000002E-4</v>
      </c>
      <c r="I2" t="s">
        <v>16</v>
      </c>
    </row>
    <row r="3" spans="2:10" x14ac:dyDescent="0.25">
      <c r="G3" s="3" t="s">
        <v>17</v>
      </c>
      <c r="H3">
        <f>1.23*0.0001</f>
        <v>1.2300000000000001E-4</v>
      </c>
      <c r="I3" t="s">
        <v>16</v>
      </c>
      <c r="J3" t="s">
        <v>18</v>
      </c>
    </row>
    <row r="4" spans="2:10" ht="23.25" x14ac:dyDescent="0.35">
      <c r="B4" s="1" t="s">
        <v>19</v>
      </c>
      <c r="H4">
        <f>1.4*0.0001</f>
        <v>1.3999999999999999E-4</v>
      </c>
      <c r="I4" t="s">
        <v>16</v>
      </c>
      <c r="J4" t="s">
        <v>20</v>
      </c>
    </row>
    <row r="5" spans="2:10" x14ac:dyDescent="0.25">
      <c r="C5" t="s">
        <v>21</v>
      </c>
      <c r="D5">
        <v>4.0999999999999996</v>
      </c>
      <c r="E5" t="s">
        <v>22</v>
      </c>
    </row>
    <row r="6" spans="2:10" x14ac:dyDescent="0.25">
      <c r="D6">
        <f>D5*1000</f>
        <v>4100</v>
      </c>
      <c r="E6" t="s">
        <v>23</v>
      </c>
    </row>
    <row r="7" spans="2:10" x14ac:dyDescent="0.25">
      <c r="C7" t="s">
        <v>24</v>
      </c>
      <c r="D7" s="4">
        <f>H3*(D6-1)</f>
        <v>0.50417699999999999</v>
      </c>
      <c r="E7" t="s">
        <v>25</v>
      </c>
    </row>
    <row r="10" spans="2:10" ht="23.25" x14ac:dyDescent="0.35">
      <c r="B10" s="1" t="s">
        <v>26</v>
      </c>
    </row>
    <row r="11" spans="2:10" x14ac:dyDescent="0.25">
      <c r="C11" t="s">
        <v>27</v>
      </c>
      <c r="D11">
        <v>1.4</v>
      </c>
      <c r="E11" t="s">
        <v>22</v>
      </c>
    </row>
    <row r="12" spans="2:10" x14ac:dyDescent="0.25">
      <c r="D12">
        <f>D11*1000</f>
        <v>1400</v>
      </c>
      <c r="E12" t="s">
        <v>23</v>
      </c>
    </row>
    <row r="13" spans="2:10" x14ac:dyDescent="0.25">
      <c r="C13" t="s">
        <v>28</v>
      </c>
      <c r="D13" s="4">
        <f>H4*(D12-1)</f>
        <v>0.19585999999999998</v>
      </c>
      <c r="E13" t="s">
        <v>25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8"/>
  <sheetViews>
    <sheetView zoomScaleNormal="100" workbookViewId="0">
      <selection activeCell="C6" sqref="C6"/>
    </sheetView>
  </sheetViews>
  <sheetFormatPr baseColWidth="10" defaultColWidth="10.7109375" defaultRowHeight="15" x14ac:dyDescent="0.25"/>
  <sheetData>
    <row r="3" spans="2:4" x14ac:dyDescent="0.25">
      <c r="B3" t="s">
        <v>29</v>
      </c>
      <c r="C3">
        <v>1</v>
      </c>
      <c r="D3" t="s">
        <v>30</v>
      </c>
    </row>
    <row r="4" spans="2:4" x14ac:dyDescent="0.25">
      <c r="B4" t="s">
        <v>31</v>
      </c>
      <c r="C4">
        <v>100</v>
      </c>
      <c r="D4" t="s">
        <v>32</v>
      </c>
    </row>
    <row r="5" spans="2:4" x14ac:dyDescent="0.25">
      <c r="B5" t="s">
        <v>33</v>
      </c>
      <c r="C5">
        <v>47</v>
      </c>
      <c r="D5" t="s">
        <v>32</v>
      </c>
    </row>
    <row r="8" spans="2:4" x14ac:dyDescent="0.25">
      <c r="B8" t="s">
        <v>34</v>
      </c>
      <c r="C8">
        <f>V_FB*(R_10+R_11)/R_11</f>
        <v>3.1276595744680851</v>
      </c>
      <c r="D8" t="s">
        <v>30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41"/>
  <sheetViews>
    <sheetView tabSelected="1" zoomScaleNormal="100" workbookViewId="0">
      <selection activeCell="Q19" sqref="Q19"/>
    </sheetView>
  </sheetViews>
  <sheetFormatPr baseColWidth="10" defaultColWidth="10.7109375" defaultRowHeight="15" x14ac:dyDescent="0.25"/>
  <cols>
    <col min="3" max="3" width="12.42578125" customWidth="1"/>
    <col min="6" max="6" width="8.28515625" bestFit="1" customWidth="1"/>
    <col min="7" max="7" width="6.140625" bestFit="1" customWidth="1"/>
    <col min="8" max="8" width="4.5703125" bestFit="1" customWidth="1"/>
    <col min="9" max="9" width="6.28515625" bestFit="1" customWidth="1"/>
    <col min="10" max="10" width="2.140625" bestFit="1" customWidth="1"/>
    <col min="11" max="12" width="12.140625" bestFit="1" customWidth="1"/>
  </cols>
  <sheetData>
    <row r="3" spans="2:5" x14ac:dyDescent="0.25">
      <c r="B3" s="5" t="s">
        <v>35</v>
      </c>
      <c r="C3" s="6"/>
      <c r="D3" s="6"/>
      <c r="E3" s="7"/>
    </row>
    <row r="4" spans="2:5" x14ac:dyDescent="0.25">
      <c r="B4" s="8"/>
      <c r="C4" t="s">
        <v>36</v>
      </c>
      <c r="D4" s="9">
        <v>100</v>
      </c>
      <c r="E4" s="10" t="s">
        <v>32</v>
      </c>
    </row>
    <row r="5" spans="2:5" x14ac:dyDescent="0.25">
      <c r="B5" s="8"/>
      <c r="C5" t="s">
        <v>37</v>
      </c>
      <c r="D5" s="9">
        <v>4.7</v>
      </c>
      <c r="E5" s="10" t="s">
        <v>32</v>
      </c>
    </row>
    <row r="6" spans="2:5" ht="18" x14ac:dyDescent="0.35">
      <c r="B6" s="8"/>
      <c r="C6" t="s">
        <v>38</v>
      </c>
      <c r="D6" s="9">
        <v>24</v>
      </c>
      <c r="E6" s="10" t="s">
        <v>30</v>
      </c>
    </row>
    <row r="7" spans="2:5" x14ac:dyDescent="0.25">
      <c r="B7" s="8"/>
      <c r="C7" t="s">
        <v>39</v>
      </c>
      <c r="D7" s="48">
        <f>D6/D8</f>
        <v>22.276595744680851</v>
      </c>
      <c r="E7" s="10"/>
    </row>
    <row r="8" spans="2:5" ht="18" x14ac:dyDescent="0.35">
      <c r="B8" s="12"/>
      <c r="C8" s="13" t="s">
        <v>40</v>
      </c>
      <c r="D8" s="14">
        <f>D6*D5/(D5+D4)</f>
        <v>1.0773638968481376</v>
      </c>
      <c r="E8" s="15" t="s">
        <v>30</v>
      </c>
    </row>
    <row r="11" spans="2:5" x14ac:dyDescent="0.25">
      <c r="B11" s="5" t="s">
        <v>41</v>
      </c>
      <c r="C11" s="6"/>
      <c r="D11" s="6"/>
      <c r="E11" s="7"/>
    </row>
    <row r="12" spans="2:5" x14ac:dyDescent="0.25">
      <c r="B12" s="8"/>
      <c r="C12" t="s">
        <v>42</v>
      </c>
      <c r="D12" s="9">
        <v>100</v>
      </c>
      <c r="E12" s="10" t="s">
        <v>32</v>
      </c>
    </row>
    <row r="13" spans="2:5" x14ac:dyDescent="0.25">
      <c r="B13" s="8"/>
      <c r="C13" t="s">
        <v>43</v>
      </c>
      <c r="D13" s="9">
        <v>4.7</v>
      </c>
      <c r="E13" s="10" t="s">
        <v>32</v>
      </c>
    </row>
    <row r="14" spans="2:5" ht="18" x14ac:dyDescent="0.35">
      <c r="B14" s="8"/>
      <c r="C14" t="s">
        <v>38</v>
      </c>
      <c r="D14" s="9">
        <v>24</v>
      </c>
      <c r="E14" s="10" t="s">
        <v>30</v>
      </c>
    </row>
    <row r="15" spans="2:5" x14ac:dyDescent="0.25">
      <c r="B15" s="8"/>
      <c r="C15" t="s">
        <v>39</v>
      </c>
      <c r="D15" s="48">
        <f>D14/D16</f>
        <v>22.276595744680851</v>
      </c>
      <c r="E15" s="10"/>
    </row>
    <row r="16" spans="2:5" ht="18" x14ac:dyDescent="0.35">
      <c r="B16" s="12"/>
      <c r="C16" s="13" t="s">
        <v>40</v>
      </c>
      <c r="D16" s="14">
        <f>D14*D13/(D13+D12)</f>
        <v>1.0773638968481376</v>
      </c>
      <c r="E16" s="15" t="s">
        <v>30</v>
      </c>
    </row>
    <row r="18" spans="2:12" x14ac:dyDescent="0.25">
      <c r="B18" s="5" t="s">
        <v>44</v>
      </c>
      <c r="C18" s="6"/>
      <c r="D18" s="6"/>
      <c r="E18" s="7"/>
    </row>
    <row r="19" spans="2:12" x14ac:dyDescent="0.25">
      <c r="B19" s="8"/>
      <c r="C19" t="s">
        <v>45</v>
      </c>
      <c r="D19" s="9">
        <v>10</v>
      </c>
      <c r="E19" s="10" t="s">
        <v>32</v>
      </c>
    </row>
    <row r="20" spans="2:12" x14ac:dyDescent="0.25">
      <c r="B20" s="8"/>
      <c r="C20" t="s">
        <v>46</v>
      </c>
      <c r="D20" s="9">
        <v>2.2000000000000002</v>
      </c>
      <c r="E20" s="10" t="s">
        <v>32</v>
      </c>
    </row>
    <row r="21" spans="2:12" ht="18" x14ac:dyDescent="0.35">
      <c r="B21" s="8"/>
      <c r="C21" t="s">
        <v>38</v>
      </c>
      <c r="D21" s="9">
        <v>6</v>
      </c>
      <c r="E21" s="10" t="s">
        <v>30</v>
      </c>
    </row>
    <row r="22" spans="2:12" x14ac:dyDescent="0.25">
      <c r="B22" s="8"/>
      <c r="C22" t="s">
        <v>39</v>
      </c>
      <c r="D22" s="48">
        <f>D21/D23</f>
        <v>5.545454545454545</v>
      </c>
      <c r="E22" s="10"/>
    </row>
    <row r="23" spans="2:12" ht="18" x14ac:dyDescent="0.35">
      <c r="B23" s="12"/>
      <c r="C23" s="13" t="s">
        <v>40</v>
      </c>
      <c r="D23" s="14">
        <f>D21*D20/(D20+D19)</f>
        <v>1.0819672131147542</v>
      </c>
      <c r="E23" s="15" t="s">
        <v>30</v>
      </c>
    </row>
    <row r="25" spans="2:12" x14ac:dyDescent="0.25">
      <c r="B25" s="5" t="s">
        <v>47</v>
      </c>
      <c r="C25" s="6"/>
      <c r="D25" s="6"/>
      <c r="E25" s="7"/>
    </row>
    <row r="26" spans="2:12" x14ac:dyDescent="0.25">
      <c r="B26" s="8"/>
      <c r="C26" t="s">
        <v>48</v>
      </c>
      <c r="D26" s="9">
        <v>20</v>
      </c>
      <c r="E26" s="10" t="s">
        <v>32</v>
      </c>
    </row>
    <row r="27" spans="2:12" x14ac:dyDescent="0.25">
      <c r="B27" s="8"/>
      <c r="C27" t="s">
        <v>49</v>
      </c>
      <c r="D27" s="9">
        <v>10</v>
      </c>
      <c r="E27" s="10" t="s">
        <v>32</v>
      </c>
    </row>
    <row r="28" spans="2:12" ht="18" x14ac:dyDescent="0.35">
      <c r="B28" s="8"/>
      <c r="C28" t="s">
        <v>38</v>
      </c>
      <c r="D28" s="16">
        <v>8.4</v>
      </c>
      <c r="E28" s="10" t="s">
        <v>30</v>
      </c>
    </row>
    <row r="29" spans="2:12" x14ac:dyDescent="0.25">
      <c r="B29" s="8"/>
      <c r="C29" t="s">
        <v>39</v>
      </c>
      <c r="D29" s="11">
        <f>D28/D30</f>
        <v>3.0000000000000004</v>
      </c>
      <c r="E29" s="10"/>
    </row>
    <row r="30" spans="2:12" ht="18" x14ac:dyDescent="0.35">
      <c r="B30" s="12"/>
      <c r="C30" s="13" t="s">
        <v>40</v>
      </c>
      <c r="D30" s="14">
        <f>D28*D27/(D27+D26)</f>
        <v>2.8</v>
      </c>
      <c r="E30" s="15" t="s">
        <v>30</v>
      </c>
    </row>
    <row r="32" spans="2:12" x14ac:dyDescent="0.25">
      <c r="B32" s="51" t="s">
        <v>144</v>
      </c>
      <c r="C32" s="6"/>
      <c r="D32" s="6"/>
      <c r="E32" s="7"/>
      <c r="F32" s="51" t="s">
        <v>134</v>
      </c>
      <c r="G32" s="6"/>
      <c r="H32" s="6"/>
      <c r="I32" s="6"/>
      <c r="J32" s="51" t="s">
        <v>135</v>
      </c>
      <c r="K32" s="6" t="s">
        <v>136</v>
      </c>
      <c r="L32" s="7" t="s">
        <v>137</v>
      </c>
    </row>
    <row r="33" spans="2:12" x14ac:dyDescent="0.25">
      <c r="B33" s="8"/>
      <c r="C33" t="s">
        <v>145</v>
      </c>
      <c r="E33" s="54"/>
      <c r="F33" s="8"/>
      <c r="G33" s="52" t="s">
        <v>138</v>
      </c>
      <c r="H33" s="53">
        <v>27</v>
      </c>
      <c r="I33" t="s">
        <v>32</v>
      </c>
      <c r="J33" s="8">
        <v>1</v>
      </c>
      <c r="K33">
        <v>3</v>
      </c>
      <c r="L33" s="54">
        <v>27</v>
      </c>
    </row>
    <row r="34" spans="2:12" x14ac:dyDescent="0.25">
      <c r="B34" s="8"/>
      <c r="C34" t="s">
        <v>146</v>
      </c>
      <c r="E34" s="54"/>
      <c r="F34" s="8"/>
      <c r="G34" s="52" t="s">
        <v>139</v>
      </c>
      <c r="H34" s="9">
        <v>3</v>
      </c>
      <c r="I34" t="s">
        <v>32</v>
      </c>
      <c r="J34" s="8">
        <v>2</v>
      </c>
      <c r="K34">
        <v>6.8</v>
      </c>
      <c r="L34" s="54">
        <v>27</v>
      </c>
    </row>
    <row r="35" spans="2:12" x14ac:dyDescent="0.25">
      <c r="B35" s="8"/>
      <c r="C35" t="s">
        <v>147</v>
      </c>
      <c r="E35" s="54"/>
      <c r="F35" s="8"/>
      <c r="G35" s="60" t="s">
        <v>140</v>
      </c>
      <c r="H35" s="58">
        <f>10*H33/(H33+H34)</f>
        <v>9</v>
      </c>
      <c r="I35" s="59"/>
      <c r="J35" s="8">
        <v>3</v>
      </c>
      <c r="K35">
        <v>12</v>
      </c>
      <c r="L35" s="54">
        <v>27</v>
      </c>
    </row>
    <row r="36" spans="2:12" x14ac:dyDescent="0.25">
      <c r="B36" s="8"/>
      <c r="C36" t="s">
        <v>148</v>
      </c>
      <c r="E36" s="54"/>
      <c r="F36" s="55" t="s">
        <v>141</v>
      </c>
      <c r="G36" s="60" t="s">
        <v>142</v>
      </c>
      <c r="H36" s="60" t="s">
        <v>143</v>
      </c>
      <c r="I36" s="61">
        <f>H35</f>
        <v>9</v>
      </c>
      <c r="J36" s="8">
        <v>4</v>
      </c>
      <c r="K36">
        <v>18</v>
      </c>
      <c r="L36" s="54">
        <v>27</v>
      </c>
    </row>
    <row r="37" spans="2:12" x14ac:dyDescent="0.25">
      <c r="B37" s="8"/>
      <c r="E37" s="54"/>
      <c r="F37" s="8"/>
      <c r="J37" s="8">
        <v>5</v>
      </c>
      <c r="K37">
        <v>27</v>
      </c>
      <c r="L37" s="54">
        <v>27</v>
      </c>
    </row>
    <row r="38" spans="2:12" x14ac:dyDescent="0.25">
      <c r="B38" s="12"/>
      <c r="C38" s="56" t="s">
        <v>149</v>
      </c>
      <c r="D38" s="56"/>
      <c r="E38" s="57"/>
      <c r="F38" s="12"/>
      <c r="G38" s="56"/>
      <c r="H38" s="56"/>
      <c r="I38" s="56"/>
      <c r="J38" s="8">
        <v>6</v>
      </c>
      <c r="K38">
        <v>27</v>
      </c>
      <c r="L38" s="54">
        <v>18</v>
      </c>
    </row>
    <row r="39" spans="2:12" x14ac:dyDescent="0.25">
      <c r="J39" s="8">
        <v>7</v>
      </c>
      <c r="K39">
        <v>27</v>
      </c>
      <c r="L39" s="54">
        <v>12</v>
      </c>
    </row>
    <row r="40" spans="2:12" x14ac:dyDescent="0.25">
      <c r="J40" s="8">
        <v>8</v>
      </c>
      <c r="K40">
        <v>27</v>
      </c>
      <c r="L40" s="54">
        <v>6.8</v>
      </c>
    </row>
    <row r="41" spans="2:12" x14ac:dyDescent="0.25">
      <c r="J41" s="12">
        <v>9</v>
      </c>
      <c r="K41" s="56">
        <v>27</v>
      </c>
      <c r="L41" s="57">
        <v>3</v>
      </c>
    </row>
  </sheetData>
  <mergeCells count="1">
    <mergeCell ref="H35:I3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zoomScaleNormal="100" workbookViewId="0">
      <selection activeCell="C5" sqref="C5"/>
    </sheetView>
  </sheetViews>
  <sheetFormatPr baseColWidth="10" defaultColWidth="10.7109375" defaultRowHeight="15" x14ac:dyDescent="0.25"/>
  <cols>
    <col min="2" max="2" width="29" customWidth="1"/>
  </cols>
  <sheetData>
    <row r="1" spans="1:5" x14ac:dyDescent="0.25">
      <c r="A1" t="s">
        <v>50</v>
      </c>
    </row>
    <row r="4" spans="1:5" x14ac:dyDescent="0.25">
      <c r="B4" t="s">
        <v>51</v>
      </c>
      <c r="C4">
        <v>4</v>
      </c>
      <c r="D4" t="s">
        <v>30</v>
      </c>
    </row>
    <row r="5" spans="1:5" x14ac:dyDescent="0.25">
      <c r="B5" t="s">
        <v>52</v>
      </c>
      <c r="C5">
        <v>100</v>
      </c>
      <c r="D5" t="s">
        <v>32</v>
      </c>
      <c r="E5" t="s">
        <v>53</v>
      </c>
    </row>
    <row r="6" spans="1:5" x14ac:dyDescent="0.25">
      <c r="B6" t="s">
        <v>54</v>
      </c>
      <c r="C6">
        <v>33</v>
      </c>
      <c r="D6" t="s">
        <v>32</v>
      </c>
    </row>
    <row r="10" spans="1:5" x14ac:dyDescent="0.25">
      <c r="B10" t="s">
        <v>55</v>
      </c>
      <c r="C10" s="17">
        <f>(C5+C6)*C4/C6</f>
        <v>16.121212121212121</v>
      </c>
      <c r="D10" t="s">
        <v>30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22"/>
  <sheetViews>
    <sheetView zoomScaleNormal="100" workbookViewId="0">
      <selection activeCell="E32" sqref="E32"/>
    </sheetView>
  </sheetViews>
  <sheetFormatPr baseColWidth="10" defaultColWidth="10.7109375" defaultRowHeight="15" x14ac:dyDescent="0.25"/>
  <cols>
    <col min="2" max="2" width="29.7109375" customWidth="1"/>
  </cols>
  <sheetData>
    <row r="2" spans="1:5" x14ac:dyDescent="0.25">
      <c r="B2" t="s">
        <v>56</v>
      </c>
      <c r="C2">
        <v>3.13</v>
      </c>
      <c r="D2" t="s">
        <v>30</v>
      </c>
    </row>
    <row r="3" spans="1:5" x14ac:dyDescent="0.25">
      <c r="A3" t="s">
        <v>57</v>
      </c>
    </row>
    <row r="4" spans="1:5" x14ac:dyDescent="0.25">
      <c r="B4" s="18"/>
      <c r="C4" s="19" t="s">
        <v>58</v>
      </c>
      <c r="D4" s="19" t="s">
        <v>59</v>
      </c>
      <c r="E4" s="20" t="s">
        <v>60</v>
      </c>
    </row>
    <row r="5" spans="1:5" x14ac:dyDescent="0.25">
      <c r="B5" s="21" t="s">
        <v>61</v>
      </c>
      <c r="C5" s="22">
        <v>3</v>
      </c>
      <c r="D5" s="22">
        <v>1.5</v>
      </c>
      <c r="E5" s="23">
        <v>6</v>
      </c>
    </row>
    <row r="6" spans="1:5" x14ac:dyDescent="0.25">
      <c r="B6" s="21" t="s">
        <v>62</v>
      </c>
      <c r="C6" s="22">
        <v>1.8</v>
      </c>
      <c r="D6" s="22">
        <v>2.5</v>
      </c>
      <c r="E6" s="23">
        <v>2.8</v>
      </c>
    </row>
    <row r="7" spans="1:5" x14ac:dyDescent="0.25">
      <c r="B7" s="24" t="s">
        <v>63</v>
      </c>
      <c r="C7" s="25">
        <f>1000*($C$2-C6)/C5</f>
        <v>443.33333333333326</v>
      </c>
      <c r="D7" s="25">
        <f>1000*($C$2-D6)/D5</f>
        <v>419.99999999999994</v>
      </c>
      <c r="E7" s="26">
        <f>1000*($C$2-E6)/E5</f>
        <v>55.000000000000007</v>
      </c>
    </row>
    <row r="11" spans="1:5" x14ac:dyDescent="0.25">
      <c r="B11" t="s">
        <v>64</v>
      </c>
    </row>
    <row r="12" spans="1:5" x14ac:dyDescent="0.25">
      <c r="B12" s="18"/>
      <c r="C12" s="19" t="s">
        <v>58</v>
      </c>
      <c r="D12" s="19" t="s">
        <v>59</v>
      </c>
      <c r="E12" s="20" t="s">
        <v>60</v>
      </c>
    </row>
    <row r="13" spans="1:5" x14ac:dyDescent="0.25">
      <c r="B13" s="21" t="s">
        <v>61</v>
      </c>
      <c r="C13" s="27">
        <f>C14/C15</f>
        <v>2.7659574468085109</v>
      </c>
      <c r="D13" s="27">
        <f>D14/D15</f>
        <v>1.4893617021276595</v>
      </c>
      <c r="E13" s="28">
        <f>E14/E15</f>
        <v>4.3392857142857144</v>
      </c>
    </row>
    <row r="14" spans="1:5" x14ac:dyDescent="0.25">
      <c r="B14" s="21" t="s">
        <v>65</v>
      </c>
      <c r="C14" s="22">
        <v>1300</v>
      </c>
      <c r="D14" s="22">
        <v>700</v>
      </c>
      <c r="E14" s="23">
        <v>243</v>
      </c>
    </row>
    <row r="15" spans="1:5" x14ac:dyDescent="0.25">
      <c r="B15" s="24" t="s">
        <v>63</v>
      </c>
      <c r="C15" s="25">
        <v>470</v>
      </c>
      <c r="D15" s="25">
        <v>470</v>
      </c>
      <c r="E15" s="26">
        <v>56</v>
      </c>
    </row>
    <row r="18" spans="2:5" x14ac:dyDescent="0.25">
      <c r="B18" t="s">
        <v>66</v>
      </c>
    </row>
    <row r="19" spans="2:5" x14ac:dyDescent="0.25">
      <c r="B19" s="18"/>
      <c r="C19" s="19" t="s">
        <v>58</v>
      </c>
      <c r="D19" s="19" t="s">
        <v>59</v>
      </c>
      <c r="E19" s="20" t="s">
        <v>60</v>
      </c>
    </row>
    <row r="20" spans="2:5" x14ac:dyDescent="0.25">
      <c r="B20" s="21" t="s">
        <v>61</v>
      </c>
      <c r="C20" s="27">
        <f>C21/C22</f>
        <v>3.9393939393939394</v>
      </c>
      <c r="D20" s="27">
        <f>D21/D22</f>
        <v>0.46666666666666667</v>
      </c>
      <c r="E20" s="28">
        <f>E21/E22</f>
        <v>0.51702127659574471</v>
      </c>
    </row>
    <row r="21" spans="2:5" x14ac:dyDescent="0.25">
      <c r="B21" s="21" t="s">
        <v>65</v>
      </c>
      <c r="C21" s="22">
        <v>1300</v>
      </c>
      <c r="D21" s="22">
        <v>700</v>
      </c>
      <c r="E21" s="23">
        <v>243</v>
      </c>
    </row>
    <row r="22" spans="2:5" x14ac:dyDescent="0.25">
      <c r="B22" s="24" t="s">
        <v>63</v>
      </c>
      <c r="C22" s="25">
        <v>330</v>
      </c>
      <c r="D22" s="25">
        <v>1500</v>
      </c>
      <c r="E22" s="26">
        <v>470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7"/>
  <sheetViews>
    <sheetView zoomScaleNormal="100" workbookViewId="0">
      <selection activeCell="D47" sqref="D47"/>
    </sheetView>
  </sheetViews>
  <sheetFormatPr baseColWidth="10" defaultColWidth="10.7109375" defaultRowHeight="15" x14ac:dyDescent="0.25"/>
  <cols>
    <col min="9" max="9" width="13.140625" customWidth="1"/>
  </cols>
  <sheetData>
    <row r="1" spans="1:11" x14ac:dyDescent="0.25">
      <c r="A1" t="s">
        <v>67</v>
      </c>
      <c r="C1" s="49" t="s">
        <v>68</v>
      </c>
      <c r="D1" s="49"/>
      <c r="E1" s="49"/>
      <c r="F1" s="49" t="s">
        <v>69</v>
      </c>
      <c r="G1" s="49"/>
      <c r="H1" s="49"/>
      <c r="J1" t="s">
        <v>70</v>
      </c>
    </row>
    <row r="2" spans="1:11" x14ac:dyDescent="0.25">
      <c r="C2" t="s">
        <v>71</v>
      </c>
      <c r="D2" t="s">
        <v>61</v>
      </c>
      <c r="E2" t="s">
        <v>72</v>
      </c>
      <c r="F2" t="s">
        <v>71</v>
      </c>
      <c r="G2" t="s">
        <v>61</v>
      </c>
      <c r="H2" t="s">
        <v>72</v>
      </c>
      <c r="I2" t="s">
        <v>73</v>
      </c>
      <c r="J2" t="s">
        <v>74</v>
      </c>
    </row>
    <row r="3" spans="1:11" x14ac:dyDescent="0.25">
      <c r="C3">
        <v>5</v>
      </c>
      <c r="D3">
        <v>133</v>
      </c>
      <c r="E3" s="29">
        <f t="shared" ref="E3:E10" si="0">C3*D3/1000</f>
        <v>0.66500000000000004</v>
      </c>
      <c r="F3">
        <v>20.11</v>
      </c>
      <c r="G3">
        <v>18.63</v>
      </c>
      <c r="H3" s="29">
        <f t="shared" ref="H3:H10" si="1">F3*G3/1000</f>
        <v>0.37464929999999996</v>
      </c>
      <c r="I3" s="30">
        <f t="shared" ref="I3:I10" si="2">H3/E3</f>
        <v>0.56338240601503753</v>
      </c>
    </row>
    <row r="4" spans="1:11" x14ac:dyDescent="0.25">
      <c r="C4">
        <v>5</v>
      </c>
      <c r="D4">
        <v>270.39999999999998</v>
      </c>
      <c r="E4" s="29">
        <f t="shared" si="0"/>
        <v>1.3520000000000001</v>
      </c>
      <c r="F4">
        <v>20.12</v>
      </c>
      <c r="G4">
        <v>50.57</v>
      </c>
      <c r="H4" s="29">
        <f t="shared" si="1"/>
        <v>1.0174684000000001</v>
      </c>
      <c r="I4" s="30">
        <f t="shared" si="2"/>
        <v>0.75256538461538458</v>
      </c>
    </row>
    <row r="5" spans="1:11" x14ac:dyDescent="0.25">
      <c r="C5">
        <v>5</v>
      </c>
      <c r="D5">
        <v>485.1</v>
      </c>
      <c r="E5" s="29">
        <f t="shared" si="0"/>
        <v>2.4255</v>
      </c>
      <c r="F5">
        <v>20.14</v>
      </c>
      <c r="G5">
        <v>99.43</v>
      </c>
      <c r="H5" s="29">
        <f t="shared" si="1"/>
        <v>2.0025202000000002</v>
      </c>
      <c r="I5" s="30">
        <f t="shared" si="2"/>
        <v>0.8256112966398681</v>
      </c>
    </row>
    <row r="6" spans="1:11" x14ac:dyDescent="0.25">
      <c r="C6">
        <v>5</v>
      </c>
      <c r="D6">
        <v>861</v>
      </c>
      <c r="E6" s="29">
        <f t="shared" si="0"/>
        <v>4.3049999999999997</v>
      </c>
      <c r="F6">
        <v>20.16</v>
      </c>
      <c r="G6">
        <v>180</v>
      </c>
      <c r="H6" s="29">
        <f t="shared" si="1"/>
        <v>3.6288</v>
      </c>
      <c r="I6" s="30">
        <f t="shared" si="2"/>
        <v>0.84292682926829277</v>
      </c>
    </row>
    <row r="7" spans="1:11" x14ac:dyDescent="0.25">
      <c r="C7">
        <v>5</v>
      </c>
      <c r="D7">
        <v>970</v>
      </c>
      <c r="E7" s="29">
        <f t="shared" si="0"/>
        <v>4.8499999999999996</v>
      </c>
      <c r="F7">
        <v>20.16</v>
      </c>
      <c r="G7">
        <v>204</v>
      </c>
      <c r="H7" s="29">
        <f t="shared" si="1"/>
        <v>4.1126400000000007</v>
      </c>
      <c r="I7" s="30">
        <f t="shared" si="2"/>
        <v>0.84796701030927857</v>
      </c>
      <c r="J7">
        <v>20</v>
      </c>
    </row>
    <row r="8" spans="1:11" x14ac:dyDescent="0.25">
      <c r="C8">
        <v>5</v>
      </c>
      <c r="D8">
        <v>1058</v>
      </c>
      <c r="E8" s="29">
        <f t="shared" si="0"/>
        <v>5.29</v>
      </c>
      <c r="F8">
        <v>20.16</v>
      </c>
      <c r="G8">
        <v>220</v>
      </c>
      <c r="H8" s="29">
        <f t="shared" si="1"/>
        <v>4.4352</v>
      </c>
      <c r="I8" s="30">
        <f t="shared" si="2"/>
        <v>0.8384120982986768</v>
      </c>
    </row>
    <row r="9" spans="1:11" x14ac:dyDescent="0.25">
      <c r="C9">
        <v>5</v>
      </c>
      <c r="D9">
        <v>1206</v>
      </c>
      <c r="E9" s="29">
        <f t="shared" si="0"/>
        <v>6.03</v>
      </c>
      <c r="F9">
        <v>20.16</v>
      </c>
      <c r="G9">
        <v>249.5</v>
      </c>
      <c r="H9" s="29">
        <f t="shared" si="1"/>
        <v>5.0299199999999997</v>
      </c>
      <c r="I9" s="30">
        <f t="shared" si="2"/>
        <v>0.83414925373134319</v>
      </c>
    </row>
    <row r="10" spans="1:11" x14ac:dyDescent="0.25">
      <c r="C10">
        <v>5</v>
      </c>
      <c r="D10">
        <v>1480</v>
      </c>
      <c r="E10" s="29">
        <f t="shared" si="0"/>
        <v>7.4</v>
      </c>
      <c r="F10">
        <v>20.02</v>
      </c>
      <c r="G10">
        <v>303</v>
      </c>
      <c r="H10" s="29">
        <f t="shared" si="1"/>
        <v>6.0660599999999993</v>
      </c>
      <c r="I10" s="30">
        <f t="shared" si="2"/>
        <v>0.81973783783783771</v>
      </c>
    </row>
    <row r="11" spans="1:11" x14ac:dyDescent="0.25">
      <c r="E11" s="29"/>
      <c r="H11" s="29"/>
      <c r="I11" s="30"/>
    </row>
    <row r="12" spans="1:11" x14ac:dyDescent="0.25">
      <c r="C12" t="s">
        <v>71</v>
      </c>
      <c r="D12" t="s">
        <v>61</v>
      </c>
      <c r="E12" t="s">
        <v>72</v>
      </c>
      <c r="F12" t="s">
        <v>71</v>
      </c>
      <c r="G12" t="s">
        <v>61</v>
      </c>
      <c r="H12" t="s">
        <v>72</v>
      </c>
      <c r="I12" t="s">
        <v>75</v>
      </c>
    </row>
    <row r="13" spans="1:11" x14ac:dyDescent="0.25">
      <c r="C13">
        <v>7</v>
      </c>
      <c r="D13">
        <v>96</v>
      </c>
      <c r="E13" s="29">
        <f t="shared" ref="E13:E18" si="3">C13*D13/1000</f>
        <v>0.67200000000000004</v>
      </c>
      <c r="F13">
        <v>20.12</v>
      </c>
      <c r="G13">
        <v>18.600000000000001</v>
      </c>
      <c r="H13" s="29">
        <f t="shared" ref="H13:H18" si="4">F13*G13/1000</f>
        <v>0.37423200000000001</v>
      </c>
      <c r="I13" s="30">
        <f t="shared" ref="I13:I18" si="5">H13/E13</f>
        <v>0.55689285714285708</v>
      </c>
    </row>
    <row r="14" spans="1:11" x14ac:dyDescent="0.25">
      <c r="C14">
        <v>7</v>
      </c>
      <c r="D14">
        <v>193</v>
      </c>
      <c r="E14" s="29">
        <f t="shared" si="3"/>
        <v>1.351</v>
      </c>
      <c r="F14">
        <v>20.100000000000001</v>
      </c>
      <c r="G14">
        <v>50.4</v>
      </c>
      <c r="H14" s="29">
        <f t="shared" si="4"/>
        <v>1.0130400000000002</v>
      </c>
      <c r="I14" s="30">
        <f t="shared" si="5"/>
        <v>0.74984455958549234</v>
      </c>
    </row>
    <row r="15" spans="1:11" x14ac:dyDescent="0.25">
      <c r="C15">
        <v>7</v>
      </c>
      <c r="D15">
        <v>345</v>
      </c>
      <c r="E15" s="29">
        <f t="shared" si="3"/>
        <v>2.415</v>
      </c>
      <c r="F15">
        <v>20.100000000000001</v>
      </c>
      <c r="G15">
        <v>101</v>
      </c>
      <c r="H15" s="29">
        <f t="shared" si="4"/>
        <v>2.0301</v>
      </c>
      <c r="I15" s="30">
        <f t="shared" si="5"/>
        <v>0.84062111801242234</v>
      </c>
    </row>
    <row r="16" spans="1:11" x14ac:dyDescent="0.25">
      <c r="C16">
        <v>7</v>
      </c>
      <c r="D16">
        <v>652</v>
      </c>
      <c r="E16" s="29">
        <f t="shared" si="3"/>
        <v>4.5640000000000001</v>
      </c>
      <c r="F16">
        <v>20.100000000000001</v>
      </c>
      <c r="G16">
        <v>200</v>
      </c>
      <c r="H16" s="29">
        <f t="shared" si="4"/>
        <v>4.0200000000000005</v>
      </c>
      <c r="I16" s="30">
        <f t="shared" si="5"/>
        <v>0.88080631025416312</v>
      </c>
      <c r="J16">
        <v>20</v>
      </c>
      <c r="K16" s="31" t="s">
        <v>76</v>
      </c>
    </row>
    <row r="17" spans="1:10" x14ac:dyDescent="0.25">
      <c r="C17">
        <v>7</v>
      </c>
      <c r="D17">
        <v>802</v>
      </c>
      <c r="E17" s="29">
        <f t="shared" si="3"/>
        <v>5.6139999999999999</v>
      </c>
      <c r="F17">
        <v>20.100000000000001</v>
      </c>
      <c r="G17">
        <v>248</v>
      </c>
      <c r="H17" s="29">
        <f t="shared" si="4"/>
        <v>4.9847999999999999</v>
      </c>
      <c r="I17" s="30">
        <f t="shared" si="5"/>
        <v>0.88792304951905954</v>
      </c>
    </row>
    <row r="18" spans="1:10" x14ac:dyDescent="0.25">
      <c r="C18">
        <v>7</v>
      </c>
      <c r="D18">
        <v>1474</v>
      </c>
      <c r="E18" s="29">
        <f t="shared" si="3"/>
        <v>10.318</v>
      </c>
      <c r="F18">
        <v>20.100000000000001</v>
      </c>
      <c r="G18">
        <v>453</v>
      </c>
      <c r="H18" s="29">
        <f t="shared" si="4"/>
        <v>9.1053000000000015</v>
      </c>
      <c r="I18" s="30">
        <f t="shared" si="5"/>
        <v>0.88246753246753262</v>
      </c>
    </row>
    <row r="19" spans="1:10" x14ac:dyDescent="0.25">
      <c r="E19" s="29"/>
      <c r="H19" s="29"/>
      <c r="I19" s="30"/>
    </row>
    <row r="20" spans="1:10" x14ac:dyDescent="0.25">
      <c r="E20" s="29"/>
      <c r="H20" s="29"/>
      <c r="I20" s="30"/>
    </row>
    <row r="22" spans="1:10" x14ac:dyDescent="0.25">
      <c r="A22" t="s">
        <v>77</v>
      </c>
      <c r="C22" s="49" t="s">
        <v>68</v>
      </c>
      <c r="D22" s="49"/>
      <c r="E22" s="49"/>
      <c r="F22" s="49" t="s">
        <v>69</v>
      </c>
      <c r="G22" s="49"/>
      <c r="H22" s="49"/>
      <c r="J22" t="s">
        <v>70</v>
      </c>
    </row>
    <row r="23" spans="1:10" x14ac:dyDescent="0.25">
      <c r="C23" t="s">
        <v>71</v>
      </c>
      <c r="D23" t="s">
        <v>61</v>
      </c>
      <c r="E23" t="s">
        <v>72</v>
      </c>
      <c r="F23" t="s">
        <v>71</v>
      </c>
      <c r="G23" t="s">
        <v>61</v>
      </c>
      <c r="H23" t="s">
        <v>72</v>
      </c>
      <c r="I23" t="s">
        <v>78</v>
      </c>
      <c r="J23" t="s">
        <v>74</v>
      </c>
    </row>
    <row r="24" spans="1:10" x14ac:dyDescent="0.25">
      <c r="C24">
        <v>5</v>
      </c>
      <c r="D24">
        <v>135</v>
      </c>
      <c r="E24" s="29">
        <f>C24*D24/1000</f>
        <v>0.67500000000000004</v>
      </c>
      <c r="F24">
        <v>20.100000000000001</v>
      </c>
      <c r="G24">
        <v>18.7</v>
      </c>
      <c r="H24" s="29">
        <f>F24*G24/1000</f>
        <v>0.37586999999999998</v>
      </c>
      <c r="I24" s="30">
        <f>H24/E24</f>
        <v>0.55684444444444436</v>
      </c>
    </row>
    <row r="25" spans="1:10" x14ac:dyDescent="0.25">
      <c r="C25">
        <v>5</v>
      </c>
      <c r="D25">
        <v>267</v>
      </c>
      <c r="E25" s="29">
        <f>C25*D25/1000</f>
        <v>1.335</v>
      </c>
      <c r="F25">
        <v>20.100000000000001</v>
      </c>
      <c r="G25">
        <v>49.7</v>
      </c>
      <c r="H25" s="29">
        <f>F25*G25/1000</f>
        <v>0.99897000000000014</v>
      </c>
      <c r="I25" s="30">
        <f>H25/E25</f>
        <v>0.74829213483146084</v>
      </c>
    </row>
    <row r="26" spans="1:10" x14ac:dyDescent="0.25">
      <c r="C26">
        <v>5</v>
      </c>
      <c r="D26">
        <v>488</v>
      </c>
      <c r="E26" s="29">
        <f>C26*D26/1000</f>
        <v>2.44</v>
      </c>
      <c r="F26">
        <v>20.100000000000001</v>
      </c>
      <c r="G26">
        <v>101</v>
      </c>
      <c r="H26" s="29">
        <f>F26*G26/1000</f>
        <v>2.0301</v>
      </c>
      <c r="I26" s="30">
        <f>H26/E26</f>
        <v>0.83200819672131154</v>
      </c>
    </row>
    <row r="27" spans="1:10" x14ac:dyDescent="0.25">
      <c r="C27">
        <v>5</v>
      </c>
      <c r="D27">
        <v>942</v>
      </c>
      <c r="E27" s="29">
        <f>C27*D27/1000</f>
        <v>4.71</v>
      </c>
      <c r="F27">
        <v>20.100000000000001</v>
      </c>
      <c r="G27">
        <v>201</v>
      </c>
      <c r="H27" s="29">
        <f>F27*G27/1000</f>
        <v>4.0401000000000007</v>
      </c>
      <c r="I27" s="30">
        <f>H27/E27</f>
        <v>0.85777070063694283</v>
      </c>
      <c r="J27">
        <v>30</v>
      </c>
    </row>
    <row r="28" spans="1:10" x14ac:dyDescent="0.25">
      <c r="C28">
        <v>5</v>
      </c>
      <c r="D28">
        <v>1390</v>
      </c>
      <c r="E28" s="29">
        <f>C28*D28/1000</f>
        <v>6.95</v>
      </c>
      <c r="F28">
        <v>20</v>
      </c>
      <c r="G28">
        <v>291</v>
      </c>
      <c r="H28" s="29">
        <f>F28*G28/1000</f>
        <v>5.82</v>
      </c>
      <c r="I28" s="30">
        <f>H28/E28</f>
        <v>0.8374100719424461</v>
      </c>
    </row>
    <row r="29" spans="1:10" x14ac:dyDescent="0.25">
      <c r="E29" s="29"/>
      <c r="H29" s="29"/>
      <c r="I29" s="30"/>
    </row>
    <row r="30" spans="1:10" x14ac:dyDescent="0.25">
      <c r="C30" t="s">
        <v>71</v>
      </c>
      <c r="D30" t="s">
        <v>61</v>
      </c>
      <c r="E30" t="s">
        <v>72</v>
      </c>
      <c r="F30" t="s">
        <v>71</v>
      </c>
      <c r="G30" t="s">
        <v>61</v>
      </c>
      <c r="H30" t="s">
        <v>72</v>
      </c>
      <c r="I30" s="30" t="s">
        <v>79</v>
      </c>
    </row>
    <row r="31" spans="1:10" x14ac:dyDescent="0.25">
      <c r="C31">
        <v>7</v>
      </c>
      <c r="D31">
        <v>97.1</v>
      </c>
      <c r="E31" s="29">
        <f t="shared" ref="E31:E36" si="6">C31*D31/1000</f>
        <v>0.67969999999999997</v>
      </c>
      <c r="F31">
        <v>20.100000000000001</v>
      </c>
      <c r="G31">
        <v>18.7</v>
      </c>
      <c r="H31" s="29">
        <f t="shared" ref="H31:H36" si="7">F31*G31/1000</f>
        <v>0.37586999999999998</v>
      </c>
      <c r="I31" s="30">
        <f t="shared" ref="I31:I36" si="8">H31/E31</f>
        <v>0.5529939679270266</v>
      </c>
    </row>
    <row r="32" spans="1:10" x14ac:dyDescent="0.25">
      <c r="C32">
        <v>7</v>
      </c>
      <c r="D32">
        <v>196</v>
      </c>
      <c r="E32" s="29">
        <f t="shared" si="6"/>
        <v>1.3720000000000001</v>
      </c>
      <c r="F32">
        <v>20.100000000000001</v>
      </c>
      <c r="G32">
        <v>50.7</v>
      </c>
      <c r="H32" s="29">
        <f t="shared" si="7"/>
        <v>1.0190700000000001</v>
      </c>
      <c r="I32" s="30">
        <f t="shared" si="8"/>
        <v>0.74276239067055394</v>
      </c>
    </row>
    <row r="33" spans="1:11" x14ac:dyDescent="0.25">
      <c r="C33">
        <v>7</v>
      </c>
      <c r="D33">
        <v>346</v>
      </c>
      <c r="E33" s="29">
        <f t="shared" si="6"/>
        <v>2.4220000000000002</v>
      </c>
      <c r="F33">
        <v>20.100000000000001</v>
      </c>
      <c r="G33">
        <v>101</v>
      </c>
      <c r="H33" s="29">
        <f t="shared" si="7"/>
        <v>2.0301</v>
      </c>
      <c r="I33" s="30">
        <f t="shared" si="8"/>
        <v>0.83819157720891824</v>
      </c>
    </row>
    <row r="34" spans="1:11" x14ac:dyDescent="0.25">
      <c r="C34">
        <v>7</v>
      </c>
      <c r="D34">
        <v>652</v>
      </c>
      <c r="E34" s="29">
        <f t="shared" si="6"/>
        <v>4.5640000000000001</v>
      </c>
      <c r="F34">
        <v>20.100000000000001</v>
      </c>
      <c r="G34">
        <v>201</v>
      </c>
      <c r="H34" s="29">
        <f t="shared" si="7"/>
        <v>4.0401000000000007</v>
      </c>
      <c r="I34" s="30">
        <f t="shared" si="8"/>
        <v>0.88521034180543401</v>
      </c>
    </row>
    <row r="35" spans="1:11" x14ac:dyDescent="0.25">
      <c r="C35">
        <v>7</v>
      </c>
      <c r="D35">
        <v>811</v>
      </c>
      <c r="E35" s="29">
        <f t="shared" si="6"/>
        <v>5.6769999999999996</v>
      </c>
      <c r="F35">
        <v>20.100000000000001</v>
      </c>
      <c r="G35">
        <v>252</v>
      </c>
      <c r="H35" s="29">
        <f t="shared" si="7"/>
        <v>5.0652000000000008</v>
      </c>
      <c r="I35" s="30">
        <f t="shared" si="8"/>
        <v>0.89223181257706552</v>
      </c>
    </row>
    <row r="36" spans="1:11" x14ac:dyDescent="0.25">
      <c r="C36">
        <v>7</v>
      </c>
      <c r="D36">
        <v>1452</v>
      </c>
      <c r="E36" s="29">
        <f t="shared" si="6"/>
        <v>10.164</v>
      </c>
      <c r="F36">
        <v>20</v>
      </c>
      <c r="G36">
        <v>454</v>
      </c>
      <c r="H36" s="29">
        <f t="shared" si="7"/>
        <v>9.08</v>
      </c>
      <c r="I36" s="30">
        <f t="shared" si="8"/>
        <v>0.89334907516725703</v>
      </c>
    </row>
    <row r="39" spans="1:11" x14ac:dyDescent="0.25">
      <c r="A39" t="s">
        <v>67</v>
      </c>
      <c r="C39" t="s">
        <v>71</v>
      </c>
      <c r="D39" t="s">
        <v>61</v>
      </c>
      <c r="E39" t="s">
        <v>72</v>
      </c>
      <c r="F39" t="s">
        <v>71</v>
      </c>
      <c r="G39" t="s">
        <v>61</v>
      </c>
      <c r="H39" t="s">
        <v>72</v>
      </c>
      <c r="I39" t="s">
        <v>75</v>
      </c>
    </row>
    <row r="40" spans="1:11" x14ac:dyDescent="0.25">
      <c r="B40" s="3" t="s">
        <v>80</v>
      </c>
      <c r="C40">
        <v>7</v>
      </c>
      <c r="D40">
        <v>658</v>
      </c>
      <c r="E40" s="29">
        <f t="shared" ref="E40:E47" si="9">C40*D40/1000</f>
        <v>4.6059999999999999</v>
      </c>
      <c r="F40">
        <v>20.2</v>
      </c>
      <c r="G40">
        <v>201.7</v>
      </c>
      <c r="H40" s="29">
        <f t="shared" ref="H40:H47" si="10">F40*G40/1000</f>
        <v>4.0743399999999994</v>
      </c>
      <c r="I40" s="30">
        <f t="shared" ref="I40:I47" si="11">H40/E40</f>
        <v>0.88457229700390783</v>
      </c>
      <c r="J40">
        <v>20</v>
      </c>
      <c r="K40" s="31" t="s">
        <v>76</v>
      </c>
    </row>
    <row r="41" spans="1:11" x14ac:dyDescent="0.25">
      <c r="B41" s="3" t="s">
        <v>81</v>
      </c>
      <c r="C41">
        <v>7</v>
      </c>
      <c r="D41">
        <v>656</v>
      </c>
      <c r="E41" s="29">
        <f t="shared" si="9"/>
        <v>4.5919999999999996</v>
      </c>
      <c r="F41">
        <v>20.2</v>
      </c>
      <c r="G41">
        <v>201.7</v>
      </c>
      <c r="H41" s="29">
        <f t="shared" si="10"/>
        <v>4.0743399999999994</v>
      </c>
      <c r="I41" s="30">
        <f t="shared" si="11"/>
        <v>0.88726916376306619</v>
      </c>
      <c r="J41">
        <v>20</v>
      </c>
      <c r="K41" s="31" t="s">
        <v>82</v>
      </c>
    </row>
    <row r="42" spans="1:11" x14ac:dyDescent="0.25">
      <c r="B42" s="3" t="s">
        <v>83</v>
      </c>
      <c r="C42">
        <v>7</v>
      </c>
      <c r="D42">
        <v>659</v>
      </c>
      <c r="E42" s="29">
        <f t="shared" si="9"/>
        <v>4.6130000000000004</v>
      </c>
      <c r="F42">
        <v>20.2</v>
      </c>
      <c r="G42">
        <v>201.5</v>
      </c>
      <c r="H42" s="29">
        <f t="shared" si="10"/>
        <v>4.0702999999999996</v>
      </c>
      <c r="I42" s="30">
        <f t="shared" si="11"/>
        <v>0.88235421634511146</v>
      </c>
      <c r="J42">
        <v>20</v>
      </c>
      <c r="K42" s="31" t="s">
        <v>76</v>
      </c>
    </row>
    <row r="43" spans="1:11" x14ac:dyDescent="0.25">
      <c r="B43" s="3" t="s">
        <v>84</v>
      </c>
      <c r="C43">
        <v>7</v>
      </c>
      <c r="D43">
        <v>656</v>
      </c>
      <c r="E43" s="29">
        <f t="shared" si="9"/>
        <v>4.5919999999999996</v>
      </c>
      <c r="F43">
        <v>20.2</v>
      </c>
      <c r="G43">
        <v>201.5</v>
      </c>
      <c r="H43" s="29">
        <f t="shared" si="10"/>
        <v>4.0702999999999996</v>
      </c>
      <c r="I43" s="30">
        <f t="shared" si="11"/>
        <v>0.88638937282229968</v>
      </c>
      <c r="J43">
        <v>20</v>
      </c>
      <c r="K43" s="31" t="s">
        <v>85</v>
      </c>
    </row>
    <row r="44" spans="1:11" x14ac:dyDescent="0.25">
      <c r="B44" s="3" t="s">
        <v>86</v>
      </c>
      <c r="C44">
        <v>7</v>
      </c>
      <c r="D44">
        <v>666</v>
      </c>
      <c r="E44" s="29">
        <f t="shared" si="9"/>
        <v>4.6619999999999999</v>
      </c>
      <c r="F44">
        <v>20.2</v>
      </c>
      <c r="G44">
        <v>201.5</v>
      </c>
      <c r="H44" s="29">
        <f t="shared" si="10"/>
        <v>4.0702999999999996</v>
      </c>
      <c r="I44" s="30">
        <f t="shared" si="11"/>
        <v>0.87308022308022304</v>
      </c>
      <c r="J44">
        <v>20</v>
      </c>
      <c r="K44" s="31" t="s">
        <v>82</v>
      </c>
    </row>
    <row r="45" spans="1:11" x14ac:dyDescent="0.25">
      <c r="B45" s="3" t="s">
        <v>87</v>
      </c>
      <c r="C45">
        <v>7</v>
      </c>
      <c r="D45">
        <v>656</v>
      </c>
      <c r="E45" s="29">
        <f t="shared" si="9"/>
        <v>4.5919999999999996</v>
      </c>
      <c r="F45">
        <v>20.2</v>
      </c>
      <c r="G45">
        <v>201.5</v>
      </c>
      <c r="H45" s="29">
        <f t="shared" si="10"/>
        <v>4.0702999999999996</v>
      </c>
      <c r="I45" s="30">
        <f t="shared" si="11"/>
        <v>0.88638937282229968</v>
      </c>
      <c r="J45">
        <v>20</v>
      </c>
      <c r="K45" s="31" t="s">
        <v>85</v>
      </c>
    </row>
    <row r="46" spans="1:11" x14ac:dyDescent="0.25">
      <c r="B46" s="3" t="s">
        <v>88</v>
      </c>
      <c r="C46">
        <v>7</v>
      </c>
      <c r="D46">
        <v>657</v>
      </c>
      <c r="E46" s="29">
        <f t="shared" si="9"/>
        <v>4.5990000000000002</v>
      </c>
      <c r="F46">
        <v>20.2</v>
      </c>
      <c r="G46">
        <v>201.5</v>
      </c>
      <c r="H46" s="29">
        <f t="shared" si="10"/>
        <v>4.0702999999999996</v>
      </c>
      <c r="I46" s="30">
        <f t="shared" si="11"/>
        <v>0.88504022613611644</v>
      </c>
      <c r="J46">
        <v>20</v>
      </c>
      <c r="K46" s="31" t="s">
        <v>85</v>
      </c>
    </row>
    <row r="47" spans="1:11" x14ac:dyDescent="0.25">
      <c r="B47" s="3" t="s">
        <v>89</v>
      </c>
      <c r="C47">
        <v>7</v>
      </c>
      <c r="D47">
        <v>657</v>
      </c>
      <c r="E47" s="29">
        <f t="shared" si="9"/>
        <v>4.5990000000000002</v>
      </c>
      <c r="F47">
        <v>20.2</v>
      </c>
      <c r="G47">
        <v>201.5</v>
      </c>
      <c r="H47" s="29">
        <f t="shared" si="10"/>
        <v>4.0702999999999996</v>
      </c>
      <c r="I47" s="30">
        <f t="shared" si="11"/>
        <v>0.88504022613611644</v>
      </c>
      <c r="J47">
        <v>20</v>
      </c>
      <c r="K47" s="31" t="s">
        <v>85</v>
      </c>
    </row>
  </sheetData>
  <mergeCells count="4">
    <mergeCell ref="C1:E1"/>
    <mergeCell ref="F1:H1"/>
    <mergeCell ref="C22:E22"/>
    <mergeCell ref="F22:H2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showGridLines="0" topLeftCell="B7" zoomScaleNormal="100" workbookViewId="0">
      <selection activeCell="B20" sqref="B20"/>
    </sheetView>
  </sheetViews>
  <sheetFormatPr baseColWidth="10" defaultColWidth="10.7109375" defaultRowHeight="15" x14ac:dyDescent="0.25"/>
  <cols>
    <col min="1" max="1" width="3.85546875" customWidth="1"/>
    <col min="2" max="2" width="200.7109375" customWidth="1"/>
    <col min="3" max="3" width="3.5703125" customWidth="1"/>
    <col min="5" max="5" width="13.42578125" customWidth="1"/>
    <col min="6" max="6" width="8" customWidth="1"/>
    <col min="10" max="10" width="30.42578125" customWidth="1"/>
  </cols>
  <sheetData>
    <row r="1" spans="1:10" ht="21" x14ac:dyDescent="0.35">
      <c r="A1" s="32" t="s">
        <v>90</v>
      </c>
    </row>
    <row r="2" spans="1:10" ht="15" customHeight="1" x14ac:dyDescent="0.25"/>
    <row r="3" spans="1:10" ht="15" customHeight="1" x14ac:dyDescent="0.25">
      <c r="B3" s="33" t="s">
        <v>91</v>
      </c>
      <c r="D3" s="34" t="s">
        <v>92</v>
      </c>
      <c r="E3" s="35"/>
      <c r="F3" s="35"/>
      <c r="G3" s="35"/>
      <c r="H3" s="35"/>
      <c r="I3" s="35"/>
      <c r="J3" s="36"/>
    </row>
    <row r="4" spans="1:10" ht="15" customHeight="1" x14ac:dyDescent="0.25">
      <c r="B4" s="37"/>
      <c r="D4" s="38"/>
      <c r="J4" s="39"/>
    </row>
    <row r="5" spans="1:10" ht="15" customHeight="1" x14ac:dyDescent="0.25">
      <c r="B5" s="40" t="s">
        <v>131</v>
      </c>
      <c r="D5" s="38"/>
      <c r="E5" s="41" t="s">
        <v>93</v>
      </c>
      <c r="F5">
        <v>0</v>
      </c>
      <c r="J5" s="39"/>
    </row>
    <row r="6" spans="1:10" ht="15" customHeight="1" x14ac:dyDescent="0.25">
      <c r="B6" s="40" t="s">
        <v>94</v>
      </c>
      <c r="D6" s="38"/>
      <c r="E6" s="41" t="s">
        <v>95</v>
      </c>
      <c r="F6">
        <v>100</v>
      </c>
      <c r="G6" t="s">
        <v>96</v>
      </c>
      <c r="J6" s="39"/>
    </row>
    <row r="7" spans="1:10" ht="15" customHeight="1" x14ac:dyDescent="0.25">
      <c r="B7" s="40" t="s">
        <v>97</v>
      </c>
      <c r="D7" s="38"/>
      <c r="E7" s="41" t="s">
        <v>98</v>
      </c>
      <c r="F7">
        <v>1.36</v>
      </c>
      <c r="J7" s="39"/>
    </row>
    <row r="8" spans="1:10" ht="15" customHeight="1" x14ac:dyDescent="0.25">
      <c r="B8" s="40" t="s">
        <v>99</v>
      </c>
      <c r="D8" s="38"/>
      <c r="E8" s="41" t="s">
        <v>100</v>
      </c>
      <c r="F8">
        <f>F6*F7</f>
        <v>136</v>
      </c>
      <c r="G8" t="s">
        <v>96</v>
      </c>
      <c r="J8" s="39"/>
    </row>
    <row r="9" spans="1:10" ht="15" customHeight="1" x14ac:dyDescent="0.25">
      <c r="D9" s="38"/>
      <c r="E9" s="41" t="s">
        <v>101</v>
      </c>
      <c r="F9">
        <v>300</v>
      </c>
      <c r="G9" t="s">
        <v>102</v>
      </c>
      <c r="J9" s="39"/>
    </row>
    <row r="10" spans="1:10" ht="15" customHeight="1" x14ac:dyDescent="0.25">
      <c r="B10" s="33" t="s">
        <v>103</v>
      </c>
      <c r="D10" s="38"/>
      <c r="E10" s="41" t="s">
        <v>104</v>
      </c>
      <c r="F10">
        <v>1.2</v>
      </c>
      <c r="G10" t="s">
        <v>22</v>
      </c>
      <c r="J10" s="39"/>
    </row>
    <row r="11" spans="1:10" ht="15" customHeight="1" x14ac:dyDescent="0.25">
      <c r="B11" s="37"/>
      <c r="D11" s="38"/>
      <c r="E11" s="41" t="s">
        <v>105</v>
      </c>
      <c r="F11">
        <f>ROUND(F9*60/F10,0)</f>
        <v>15000</v>
      </c>
      <c r="J11" s="39"/>
    </row>
    <row r="12" spans="1:10" ht="15" customHeight="1" x14ac:dyDescent="0.25">
      <c r="B12" s="40" t="s">
        <v>106</v>
      </c>
      <c r="D12" s="38"/>
      <c r="E12" s="41" t="s">
        <v>107</v>
      </c>
      <c r="F12">
        <f>F5+F11*F8</f>
        <v>2040000</v>
      </c>
      <c r="J12" s="39"/>
    </row>
    <row r="13" spans="1:10" ht="15" customHeight="1" x14ac:dyDescent="0.25">
      <c r="B13" s="40" t="s">
        <v>108</v>
      </c>
      <c r="D13" s="38"/>
      <c r="E13" s="41" t="s">
        <v>109</v>
      </c>
      <c r="F13" s="2">
        <f>F12/(4*4096)</f>
        <v>124.51171875</v>
      </c>
      <c r="G13" s="2">
        <f>F13</f>
        <v>124.51171875</v>
      </c>
      <c r="J13" s="39"/>
    </row>
    <row r="14" spans="1:10" ht="15" customHeight="1" x14ac:dyDescent="0.25">
      <c r="D14" s="38"/>
      <c r="J14" s="39"/>
    </row>
    <row r="15" spans="1:10" ht="15" customHeight="1" x14ac:dyDescent="0.25">
      <c r="B15" s="33" t="s">
        <v>110</v>
      </c>
      <c r="D15" s="38" t="s">
        <v>111</v>
      </c>
      <c r="J15" s="39"/>
    </row>
    <row r="16" spans="1:10" ht="15" customHeight="1" x14ac:dyDescent="0.25">
      <c r="B16" s="37"/>
      <c r="D16" s="42" t="s">
        <v>112</v>
      </c>
      <c r="E16" s="43"/>
      <c r="F16" s="43"/>
      <c r="G16" s="43"/>
      <c r="H16" s="43"/>
      <c r="I16" s="43"/>
      <c r="J16" s="44"/>
    </row>
    <row r="17" spans="2:10" ht="15" customHeight="1" x14ac:dyDescent="0.25">
      <c r="B17" s="40" t="s">
        <v>113</v>
      </c>
      <c r="D17" s="34" t="s">
        <v>114</v>
      </c>
      <c r="E17" s="35"/>
      <c r="F17" s="35"/>
      <c r="G17" s="35"/>
      <c r="H17" s="35"/>
      <c r="I17" s="35"/>
      <c r="J17" s="36"/>
    </row>
    <row r="18" spans="2:10" x14ac:dyDescent="0.25">
      <c r="B18" s="40" t="s">
        <v>115</v>
      </c>
      <c r="D18" s="50" t="s">
        <v>61</v>
      </c>
      <c r="E18" s="50"/>
      <c r="F18" s="7"/>
      <c r="J18" s="39"/>
    </row>
    <row r="19" spans="2:10" ht="22.5" x14ac:dyDescent="0.25">
      <c r="B19" s="40" t="s">
        <v>130</v>
      </c>
      <c r="D19" s="45" t="s">
        <v>116</v>
      </c>
      <c r="E19" s="13" t="s">
        <v>117</v>
      </c>
      <c r="F19" s="15"/>
      <c r="J19" s="39"/>
    </row>
    <row r="20" spans="2:10" ht="15" customHeight="1" x14ac:dyDescent="0.25">
      <c r="B20" s="40" t="s">
        <v>133</v>
      </c>
      <c r="D20" s="46">
        <v>180</v>
      </c>
      <c r="E20">
        <v>230</v>
      </c>
      <c r="F20" s="10"/>
      <c r="J20" s="39"/>
    </row>
    <row r="21" spans="2:10" ht="15" customHeight="1" x14ac:dyDescent="0.25">
      <c r="B21" s="40" t="s">
        <v>129</v>
      </c>
      <c r="D21" s="46">
        <v>-110</v>
      </c>
      <c r="E21">
        <v>-150</v>
      </c>
      <c r="F21" s="10"/>
      <c r="J21" s="39"/>
    </row>
    <row r="22" spans="2:10" ht="15" customHeight="1" x14ac:dyDescent="0.25">
      <c r="B22" s="40" t="s">
        <v>128</v>
      </c>
      <c r="D22" s="46">
        <v>-250</v>
      </c>
      <c r="E22">
        <v>-339</v>
      </c>
      <c r="F22" s="10"/>
      <c r="J22" s="39"/>
    </row>
    <row r="23" spans="2:10" ht="15" customHeight="1" x14ac:dyDescent="0.25">
      <c r="B23" s="40" t="s">
        <v>118</v>
      </c>
      <c r="D23" s="46">
        <v>-500</v>
      </c>
      <c r="E23">
        <v>-682</v>
      </c>
      <c r="F23" s="10"/>
      <c r="J23" s="39"/>
    </row>
    <row r="24" spans="2:10" ht="15" customHeight="1" x14ac:dyDescent="0.25">
      <c r="B24" s="40" t="s">
        <v>119</v>
      </c>
      <c r="D24" s="46">
        <v>-1000</v>
      </c>
      <c r="E24">
        <v>-1360</v>
      </c>
      <c r="F24" s="10"/>
      <c r="J24" s="39"/>
    </row>
    <row r="25" spans="2:10" ht="15" customHeight="1" x14ac:dyDescent="0.25">
      <c r="B25" s="40" t="s">
        <v>120</v>
      </c>
      <c r="D25" s="45">
        <v>-1050</v>
      </c>
      <c r="E25" s="13">
        <v>-1420</v>
      </c>
      <c r="F25" s="15"/>
      <c r="J25" s="39"/>
    </row>
    <row r="26" spans="2:10" ht="15" customHeight="1" x14ac:dyDescent="0.25">
      <c r="B26" s="40" t="s">
        <v>121</v>
      </c>
      <c r="D26" s="38"/>
      <c r="J26" s="39"/>
    </row>
    <row r="27" spans="2:10" ht="15" customHeight="1" x14ac:dyDescent="0.25">
      <c r="B27" s="40" t="s">
        <v>122</v>
      </c>
      <c r="D27" s="38"/>
      <c r="J27" s="39"/>
    </row>
    <row r="28" spans="2:10" ht="15" customHeight="1" x14ac:dyDescent="0.25">
      <c r="B28" s="40" t="s">
        <v>123</v>
      </c>
      <c r="D28" s="38"/>
      <c r="J28" s="39"/>
    </row>
    <row r="29" spans="2:10" ht="15" customHeight="1" x14ac:dyDescent="0.25">
      <c r="B29" s="40"/>
      <c r="D29" s="38"/>
      <c r="J29" s="39"/>
    </row>
    <row r="30" spans="2:10" ht="15" customHeight="1" x14ac:dyDescent="0.25">
      <c r="B30" s="33" t="s">
        <v>124</v>
      </c>
      <c r="D30" s="38"/>
      <c r="J30" s="39"/>
    </row>
    <row r="31" spans="2:10" ht="15" customHeight="1" x14ac:dyDescent="0.25">
      <c r="B31" s="37"/>
      <c r="D31" s="38"/>
      <c r="J31" s="39"/>
    </row>
    <row r="32" spans="2:10" x14ac:dyDescent="0.25">
      <c r="B32" s="47" t="s">
        <v>125</v>
      </c>
      <c r="D32" s="38"/>
      <c r="J32" s="39"/>
    </row>
    <row r="33" spans="2:10" x14ac:dyDescent="0.25">
      <c r="D33" s="38"/>
      <c r="J33" s="39"/>
    </row>
    <row r="34" spans="2:10" x14ac:dyDescent="0.25">
      <c r="B34" s="33" t="s">
        <v>126</v>
      </c>
      <c r="D34" s="42"/>
      <c r="E34" s="43"/>
      <c r="F34" s="43"/>
      <c r="G34" s="43"/>
      <c r="H34" s="43"/>
      <c r="I34" s="43"/>
      <c r="J34" s="44"/>
    </row>
    <row r="35" spans="2:10" x14ac:dyDescent="0.25">
      <c r="B35" s="37"/>
    </row>
    <row r="36" spans="2:10" x14ac:dyDescent="0.25">
      <c r="B36" s="40" t="s">
        <v>127</v>
      </c>
    </row>
    <row r="37" spans="2:10" x14ac:dyDescent="0.25">
      <c r="B37" s="47" t="s">
        <v>132</v>
      </c>
    </row>
  </sheetData>
  <mergeCells count="1">
    <mergeCell ref="D18:E18"/>
  </mergeCells>
  <conditionalFormatting sqref="G13">
    <cfRule type="colorScale" priority="2">
      <colorScale>
        <cfvo type="num" val="0"/>
        <cfvo type="num" val="255"/>
        <color rgb="FFFF0000"/>
        <color rgb="FF00B050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6</vt:i4>
      </vt:variant>
    </vt:vector>
  </HeadingPairs>
  <TitlesOfParts>
    <vt:vector size="14" baseType="lpstr">
      <vt:lpstr>Laderegler</vt:lpstr>
      <vt:lpstr>Pushbutton Controller</vt:lpstr>
      <vt:lpstr>StepDownConverter LMZM23600SILT</vt:lpstr>
      <vt:lpstr>AnalogeingängeESP32</vt:lpstr>
      <vt:lpstr>BrownOut 24V Input</vt:lpstr>
      <vt:lpstr>LED-Ströme</vt:lpstr>
      <vt:lpstr>Messung Wirkungsgrad stepup</vt:lpstr>
      <vt:lpstr>Akkumonitor</vt:lpstr>
      <vt:lpstr>I_FB</vt:lpstr>
      <vt:lpstr>K_ILIM</vt:lpstr>
      <vt:lpstr>K_ISET</vt:lpstr>
      <vt:lpstr>R_10</vt:lpstr>
      <vt:lpstr>R_11</vt:lpstr>
      <vt:lpstr>V_FB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Tau Phi</dc:creator>
  <dc:description/>
  <cp:lastModifiedBy>Tau Phi</cp:lastModifiedBy>
  <cp:revision>1</cp:revision>
  <cp:lastPrinted>2018-08-11T09:58:28Z</cp:lastPrinted>
  <dcterms:created xsi:type="dcterms:W3CDTF">2018-08-07T06:17:55Z</dcterms:created>
  <dcterms:modified xsi:type="dcterms:W3CDTF">2020-04-02T04:30:06Z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